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drawings/drawing2.xml" ContentType="application/vnd.openxmlformats-officedocument.drawing+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style54.xml" ContentType="application/vnd.ms-office.chartstyle+xml"/>
  <Override PartName="/xl/charts/colors54.xml" ContentType="application/vnd.ms-office.chartcolorstyle+xml"/>
  <Override PartName="/xl/charts/chart59.xml" ContentType="application/vnd.openxmlformats-officedocument.drawingml.chart+xml"/>
  <Override PartName="/xl/charts/style55.xml" ContentType="application/vnd.ms-office.chartstyle+xml"/>
  <Override PartName="/xl/charts/colors55.xml" ContentType="application/vnd.ms-office.chartcolorstyle+xml"/>
  <Override PartName="/xl/charts/chart60.xml" ContentType="application/vnd.openxmlformats-officedocument.drawingml.chart+xml"/>
  <Override PartName="/xl/charts/style56.xml" ContentType="application/vnd.ms-office.chartstyle+xml"/>
  <Override PartName="/xl/charts/colors56.xml" ContentType="application/vnd.ms-office.chartcolorstyle+xml"/>
  <Override PartName="/xl/charts/chart61.xml" ContentType="application/vnd.openxmlformats-officedocument.drawingml.chart+xml"/>
  <Override PartName="/xl/charts/style57.xml" ContentType="application/vnd.ms-office.chartstyle+xml"/>
  <Override PartName="/xl/charts/colors57.xml" ContentType="application/vnd.ms-office.chartcolorstyle+xml"/>
  <Override PartName="/xl/charts/chart62.xml" ContentType="application/vnd.openxmlformats-officedocument.drawingml.chart+xml"/>
  <Override PartName="/xl/charts/style58.xml" ContentType="application/vnd.ms-office.chartstyle+xml"/>
  <Override PartName="/xl/charts/colors58.xml" ContentType="application/vnd.ms-office.chartcolorstyle+xml"/>
  <Override PartName="/xl/charts/chart63.xml" ContentType="application/vnd.openxmlformats-officedocument.drawingml.chart+xml"/>
  <Override PartName="/xl/charts/style59.xml" ContentType="application/vnd.ms-office.chartstyle+xml"/>
  <Override PartName="/xl/charts/colors59.xml" ContentType="application/vnd.ms-office.chartcolorstyle+xml"/>
  <Override PartName="/xl/drawings/drawing3.xml" ContentType="application/vnd.openxmlformats-officedocument.drawing+xml"/>
  <Override PartName="/xl/charts/chart64.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4.xml" ContentType="application/vnd.openxmlformats-officedocument.drawing+xml"/>
  <Override PartName="/xl/charts/chart65.xml" ContentType="application/vnd.openxmlformats-officedocument.drawingml.chart+xml"/>
  <Override PartName="/xl/charts/style61.xml" ContentType="application/vnd.ms-office.chartstyle+xml"/>
  <Override PartName="/xl/charts/colors61.xml" ContentType="application/vnd.ms-office.chartcolorstyle+xml"/>
  <Override PartName="/xl/charts/chart66.xml" ContentType="application/vnd.openxmlformats-officedocument.drawingml.chart+xml"/>
  <Override PartName="/xl/charts/style62.xml" ContentType="application/vnd.ms-office.chartstyle+xml"/>
  <Override PartName="/xl/charts/colors62.xml" ContentType="application/vnd.ms-office.chartcolorstyle+xml"/>
  <Override PartName="/xl/charts/chart67.xml" ContentType="application/vnd.openxmlformats-officedocument.drawingml.chart+xml"/>
  <Override PartName="/xl/charts/style63.xml" ContentType="application/vnd.ms-office.chartstyle+xml"/>
  <Override PartName="/xl/charts/colors6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My Drive\Consulting\2020Projects\AFOLU NDC\Agriculture modelling\"/>
    </mc:Choice>
  </mc:AlternateContent>
  <bookViews>
    <workbookView xWindow="0" yWindow="0" windowWidth="16215" windowHeight="7935" firstSheet="1" activeTab="8"/>
  </bookViews>
  <sheets>
    <sheet name="Notes" sheetId="56" r:id="rId1"/>
    <sheet name="IPCC Categories" sheetId="35" r:id="rId2"/>
    <sheet name="Drivers" sheetId="47" r:id="rId3"/>
    <sheet name="Intermediate calcs" sheetId="50" r:id="rId4"/>
    <sheet name="Constants" sheetId="46" r:id="rId5"/>
    <sheet name="Relationships" sheetId="48" state="hidden" r:id="rId6"/>
    <sheet name="BFAP verification" sheetId="55" state="hidden" r:id="rId7"/>
    <sheet name="Mitigation drivers" sheetId="51" r:id="rId8"/>
    <sheet name="Activity data" sheetId="36" r:id="rId9"/>
    <sheet name="EF" sheetId="33" r:id="rId10"/>
    <sheet name="Aggregated EF" sheetId="39" r:id="rId11"/>
    <sheet name="Emissions" sheetId="34" r:id="rId12"/>
    <sheet name="Emissions summary" sheetId="45" r:id="rId13"/>
  </sheets>
  <externalReferences>
    <externalReference r:id="rId14"/>
  </externalReferences>
  <definedNames>
    <definedName name="AllYears">OFFSET(#REF!,0,COUNTIF(#REF!,"a"),1,COUNTIF(#REF!,"x"))</definedName>
    <definedName name="CH4GWP">Constants!$B$3</definedName>
    <definedName name="CO2toC">Constants!$B$6</definedName>
    <definedName name="CompostN2O">EF!$H$78</definedName>
    <definedName name="CREF">EF!$H$194</definedName>
    <definedName name="CtoCO2">Constants!$B$5</definedName>
    <definedName name="DailyspreadN2O">EF!$H$77</definedName>
    <definedName name="DigesterN2OEF">EF!$H$82</definedName>
    <definedName name="DrylotN2O">EF!$H$75</definedName>
    <definedName name="FracGASF">EF!$H$196</definedName>
    <definedName name="FracGASM">EF!$H$197</definedName>
    <definedName name="FracLEACH">EF!$H$198</definedName>
    <definedName name="FracLEACHMM">EF!$H$203</definedName>
    <definedName name="FracLEACHUD">EF!$H$199</definedName>
    <definedName name="FSOMEF">EF!$H$193</definedName>
    <definedName name="Ggtot">Constants!$B$13</definedName>
    <definedName name="HistoricYears">OFFSET(#REF!,0,COUNTIF(#REF!,"a"),1,COUNTIF(#REF!,"x"))</definedName>
    <definedName name="InputData">OFFSET(#REF!,0,COUNTIF(#REF!,"a"),1,COUNTIF(#REF!,"x"))</definedName>
    <definedName name="kgtoGg">Constants!$B$9</definedName>
    <definedName name="kgtot">Constants!$B$10</definedName>
    <definedName name="LagoonN2O">EF!$H$73</definedName>
    <definedName name="LiquidN2O">EF!$H$74</definedName>
    <definedName name="ManureNEF">EF!$H$190</definedName>
    <definedName name="ManwithbedN2O">EF!$H$79</definedName>
    <definedName name="MMLeachEF">EF!$H$205</definedName>
    <definedName name="MMVolatEF">EF!$H$204</definedName>
    <definedName name="MSLeachEF">EF!$H$201</definedName>
    <definedName name="MSVolatEF">EF!$H$200</definedName>
    <definedName name="N2OGWP">Constants!$B$4</definedName>
    <definedName name="NtoN2O">Constants!$B$8</definedName>
    <definedName name="ONEF">EF!$H$189</definedName>
    <definedName name="PMwithlitterN2O">EF!$H$81</definedName>
    <definedName name="PMwithoutlitterN2O">EF!$H$80</definedName>
    <definedName name="ProjectedAD">OFFSET(#REF!,0,COUNTIF(#REF!,"a"),1,COUNTIF(#REF!,"x"))</definedName>
    <definedName name="Proxy1_historic">OFFSET(#REF!,0,COUNTIF(#REF!,"a"),1,COUNTIF(#REF!,"x"))</definedName>
    <definedName name="Proxy2_historic">OFFSET(#REF!,0,COUNTIF(#REF!,"a"),1,COUNTIF(#REF!,"x"))</definedName>
    <definedName name="Proxy3_historic">OFFSET(#REF!,0,COUNTIF(#REF!,"a"),1,COUNTIF(#REF!,"x"))</definedName>
    <definedName name="ProxyList">OFFSET(#REF!,0,0,COUNTA(#REF!,0)-1,1)</definedName>
    <definedName name="SNEF">EF!$H$188</definedName>
    <definedName name="SolidStorageN2O">EF!$H$76</definedName>
    <definedName name="ttoGg">Constants!$B$11</definedName>
    <definedName name="ttokg">Constants!$B$12</definedName>
    <definedName name="UDCPPEF">EF!$H$191</definedName>
    <definedName name="UDSOEF">EF!$H$192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46" i="34" l="1"/>
  <c r="D147" i="34"/>
  <c r="D148" i="34"/>
  <c r="D149" i="34"/>
  <c r="D150" i="34"/>
  <c r="D151" i="34"/>
  <c r="D152" i="34"/>
  <c r="D153" i="34"/>
  <c r="D154" i="34"/>
  <c r="D155" i="34"/>
  <c r="D156" i="34"/>
  <c r="D145" i="34"/>
  <c r="A157" i="34"/>
  <c r="A158" i="34" s="1"/>
  <c r="A159" i="34" s="1"/>
  <c r="A160" i="34" s="1"/>
  <c r="A161" i="34" s="1"/>
  <c r="A162" i="34" s="1"/>
  <c r="A163" i="34" s="1"/>
  <c r="A164" i="34" s="1"/>
  <c r="A165" i="34" s="1"/>
  <c r="A166" i="34" s="1"/>
  <c r="A167" i="34" s="1"/>
  <c r="A168" i="34" s="1"/>
  <c r="A169" i="34" s="1"/>
  <c r="A170" i="34" s="1"/>
  <c r="A171" i="34" s="1"/>
  <c r="A172" i="34" s="1"/>
  <c r="A173" i="34" s="1"/>
  <c r="A174" i="34" s="1"/>
  <c r="A175" i="34" s="1"/>
  <c r="A176" i="34" s="1"/>
  <c r="A177" i="34" s="1"/>
  <c r="A178" i="34" s="1"/>
  <c r="A179" i="34" s="1"/>
  <c r="A180" i="34" s="1"/>
  <c r="A181" i="34" s="1"/>
  <c r="A182" i="34" s="1"/>
  <c r="A183" i="34" s="1"/>
  <c r="A184" i="34" s="1"/>
  <c r="A185" i="34" s="1"/>
  <c r="A186" i="34" s="1"/>
  <c r="A187" i="34" s="1"/>
  <c r="A188" i="34" s="1"/>
  <c r="H124" i="34"/>
  <c r="H125" i="34"/>
  <c r="H126" i="34"/>
  <c r="H127" i="34"/>
  <c r="H128" i="34"/>
  <c r="H129" i="34"/>
  <c r="H130" i="34"/>
  <c r="H131" i="34"/>
  <c r="H132" i="34"/>
  <c r="H134" i="34"/>
  <c r="H135" i="34"/>
  <c r="D130" i="34"/>
  <c r="E130" i="34" s="1"/>
  <c r="D131" i="34"/>
  <c r="E131" i="34" s="1"/>
  <c r="D132" i="34"/>
  <c r="E132" i="34" s="1"/>
  <c r="D133" i="34"/>
  <c r="E133" i="34" s="1"/>
  <c r="D134" i="34"/>
  <c r="E134" i="34" s="1"/>
  <c r="D124" i="34"/>
  <c r="E124" i="34" s="1"/>
  <c r="D125" i="34"/>
  <c r="E125" i="34" s="1"/>
  <c r="D126" i="34"/>
  <c r="E126" i="34" s="1"/>
  <c r="D127" i="34"/>
  <c r="E127" i="34" s="1"/>
  <c r="D128" i="34"/>
  <c r="E128" i="34" s="1"/>
  <c r="AK24" i="36" l="1"/>
  <c r="AL24" i="36"/>
  <c r="AM24" i="36"/>
  <c r="AN24" i="36"/>
  <c r="AO24" i="36"/>
  <c r="AP24" i="36"/>
  <c r="AQ24" i="36"/>
  <c r="AR24" i="36"/>
  <c r="AS24" i="36"/>
  <c r="AT24" i="36"/>
  <c r="AU24" i="36"/>
  <c r="AV24" i="36"/>
  <c r="AW24" i="36"/>
  <c r="AX24" i="36"/>
  <c r="AY24" i="36"/>
  <c r="AZ24" i="36"/>
  <c r="BA24" i="36"/>
  <c r="BB24" i="36"/>
  <c r="BC24" i="36"/>
  <c r="BD24" i="36"/>
  <c r="BE24" i="36"/>
  <c r="BF24" i="36"/>
  <c r="BG24" i="36"/>
  <c r="BH24" i="36"/>
  <c r="BI24" i="36"/>
  <c r="BJ24" i="36"/>
  <c r="BK24" i="36"/>
  <c r="BL24" i="36"/>
  <c r="BM24" i="36"/>
  <c r="BN24" i="36"/>
  <c r="BO24" i="36"/>
  <c r="BP24" i="36"/>
  <c r="AK25" i="36"/>
  <c r="AL25" i="36"/>
  <c r="AM25" i="36"/>
  <c r="AN25" i="36"/>
  <c r="AO25" i="36"/>
  <c r="AP25" i="36"/>
  <c r="AQ25" i="36"/>
  <c r="AR25" i="36"/>
  <c r="AS25" i="36"/>
  <c r="AT25" i="36"/>
  <c r="AU25" i="36"/>
  <c r="AV25" i="36"/>
  <c r="AW25" i="36"/>
  <c r="AX25" i="36"/>
  <c r="AY25" i="36"/>
  <c r="AZ25" i="36"/>
  <c r="BA25" i="36"/>
  <c r="BB25" i="36"/>
  <c r="BC25" i="36"/>
  <c r="BD25" i="36"/>
  <c r="BE25" i="36"/>
  <c r="BF25" i="36"/>
  <c r="BG25" i="36"/>
  <c r="BH25" i="36"/>
  <c r="BI25" i="36"/>
  <c r="BJ25" i="36"/>
  <c r="BK25" i="36"/>
  <c r="BL25" i="36"/>
  <c r="BM25" i="36"/>
  <c r="BN25" i="36"/>
  <c r="BO25" i="36"/>
  <c r="BP25" i="36"/>
  <c r="AK26" i="36"/>
  <c r="AL26" i="36"/>
  <c r="AM26" i="36"/>
  <c r="AN26" i="36"/>
  <c r="AO26" i="36"/>
  <c r="AP26" i="36"/>
  <c r="AQ26" i="36"/>
  <c r="AR26" i="36"/>
  <c r="AS26" i="36"/>
  <c r="AT26" i="36"/>
  <c r="AU26" i="36"/>
  <c r="AV26" i="36"/>
  <c r="AW26" i="36"/>
  <c r="AX26" i="36"/>
  <c r="AY26" i="36"/>
  <c r="AZ26" i="36"/>
  <c r="BA26" i="36"/>
  <c r="BB26" i="36"/>
  <c r="BC26" i="36"/>
  <c r="BD26" i="36"/>
  <c r="BE26" i="36"/>
  <c r="BF26" i="36"/>
  <c r="BG26" i="36"/>
  <c r="BH26" i="36"/>
  <c r="BI26" i="36"/>
  <c r="BJ26" i="36"/>
  <c r="BK26" i="36"/>
  <c r="BL26" i="36"/>
  <c r="BM26" i="36"/>
  <c r="BN26" i="36"/>
  <c r="BO26" i="36"/>
  <c r="BP26" i="36"/>
  <c r="AK27" i="36"/>
  <c r="AL27" i="36"/>
  <c r="AM27" i="36"/>
  <c r="AN27" i="36"/>
  <c r="AO27" i="36"/>
  <c r="AP27" i="36"/>
  <c r="AQ27" i="36"/>
  <c r="AR27" i="36"/>
  <c r="AS27" i="36"/>
  <c r="AT27" i="36"/>
  <c r="AU27" i="36"/>
  <c r="AV27" i="36"/>
  <c r="AW27" i="36"/>
  <c r="AX27" i="36"/>
  <c r="AY27" i="36"/>
  <c r="AZ27" i="36"/>
  <c r="BA27" i="36"/>
  <c r="BB27" i="36"/>
  <c r="BC27" i="36"/>
  <c r="BD27" i="36"/>
  <c r="BE27" i="36"/>
  <c r="BF27" i="36"/>
  <c r="BG27" i="36"/>
  <c r="BH27" i="36"/>
  <c r="BI27" i="36"/>
  <c r="BJ27" i="36"/>
  <c r="BK27" i="36"/>
  <c r="BL27" i="36"/>
  <c r="BM27" i="36"/>
  <c r="BN27" i="36"/>
  <c r="BO27" i="36"/>
  <c r="BP27" i="36"/>
  <c r="AK28" i="36"/>
  <c r="AL28" i="36"/>
  <c r="AM28" i="36"/>
  <c r="AN28" i="36"/>
  <c r="AO28" i="36"/>
  <c r="AP28" i="36"/>
  <c r="AQ28" i="36"/>
  <c r="AR28" i="36"/>
  <c r="AS28" i="36"/>
  <c r="AT28" i="36"/>
  <c r="AU28" i="36"/>
  <c r="AV28" i="36"/>
  <c r="AW28" i="36"/>
  <c r="AX28" i="36"/>
  <c r="AY28" i="36"/>
  <c r="AZ28" i="36"/>
  <c r="BA28" i="36"/>
  <c r="BB28" i="36"/>
  <c r="BC28" i="36"/>
  <c r="BD28" i="36"/>
  <c r="BE28" i="36"/>
  <c r="BF28" i="36"/>
  <c r="BG28" i="36"/>
  <c r="BH28" i="36"/>
  <c r="BI28" i="36"/>
  <c r="BJ28" i="36"/>
  <c r="BK28" i="36"/>
  <c r="BL28" i="36"/>
  <c r="BM28" i="36"/>
  <c r="BN28" i="36"/>
  <c r="BO28" i="36"/>
  <c r="BP28" i="36"/>
  <c r="AK29" i="36"/>
  <c r="AL29" i="36"/>
  <c r="AM29" i="36"/>
  <c r="AN29" i="36"/>
  <c r="AO29" i="36"/>
  <c r="AP29" i="36"/>
  <c r="AQ29" i="36"/>
  <c r="AR29" i="36"/>
  <c r="AS29" i="36"/>
  <c r="AT29" i="36"/>
  <c r="AU29" i="36"/>
  <c r="AV29" i="36"/>
  <c r="AW29" i="36"/>
  <c r="AX29" i="36"/>
  <c r="AY29" i="36"/>
  <c r="AZ29" i="36"/>
  <c r="BA29" i="36"/>
  <c r="BB29" i="36"/>
  <c r="BC29" i="36"/>
  <c r="BD29" i="36"/>
  <c r="BE29" i="36"/>
  <c r="BF29" i="36"/>
  <c r="BG29" i="36"/>
  <c r="BH29" i="36"/>
  <c r="BI29" i="36"/>
  <c r="BJ29" i="36"/>
  <c r="BK29" i="36"/>
  <c r="BL29" i="36"/>
  <c r="BM29" i="36"/>
  <c r="BN29" i="36"/>
  <c r="BO29" i="36"/>
  <c r="BP29" i="36"/>
  <c r="AK30" i="36"/>
  <c r="AL30" i="36"/>
  <c r="AM30" i="36"/>
  <c r="AN30" i="36"/>
  <c r="AO30" i="36"/>
  <c r="AP30" i="36"/>
  <c r="AQ30" i="36"/>
  <c r="AR30" i="36"/>
  <c r="AS30" i="36"/>
  <c r="AT30" i="36"/>
  <c r="AU30" i="36"/>
  <c r="AV30" i="36"/>
  <c r="AW30" i="36"/>
  <c r="AX30" i="36"/>
  <c r="AY30" i="36"/>
  <c r="AZ30" i="36"/>
  <c r="BA30" i="36"/>
  <c r="BB30" i="36"/>
  <c r="BC30" i="36"/>
  <c r="BD30" i="36"/>
  <c r="BE30" i="36"/>
  <c r="BF30" i="36"/>
  <c r="BG30" i="36"/>
  <c r="BH30" i="36"/>
  <c r="BI30" i="36"/>
  <c r="BJ30" i="36"/>
  <c r="BK30" i="36"/>
  <c r="BL30" i="36"/>
  <c r="BM30" i="36"/>
  <c r="BN30" i="36"/>
  <c r="BO30" i="36"/>
  <c r="BP30" i="36"/>
  <c r="AK31" i="36"/>
  <c r="AL31" i="36"/>
  <c r="AM31" i="36"/>
  <c r="AN31" i="36"/>
  <c r="AO31" i="36"/>
  <c r="AP31" i="36"/>
  <c r="AQ31" i="36"/>
  <c r="AR31" i="36"/>
  <c r="AS31" i="36"/>
  <c r="AT31" i="36"/>
  <c r="AU31" i="36"/>
  <c r="AV31" i="36"/>
  <c r="AW31" i="36"/>
  <c r="AX31" i="36"/>
  <c r="AY31" i="36"/>
  <c r="AZ31" i="36"/>
  <c r="BA31" i="36"/>
  <c r="BB31" i="36"/>
  <c r="BC31" i="36"/>
  <c r="BD31" i="36"/>
  <c r="BE31" i="36"/>
  <c r="BF31" i="36"/>
  <c r="BG31" i="36"/>
  <c r="BH31" i="36"/>
  <c r="BI31" i="36"/>
  <c r="BJ31" i="36"/>
  <c r="BK31" i="36"/>
  <c r="BL31" i="36"/>
  <c r="BM31" i="36"/>
  <c r="BN31" i="36"/>
  <c r="BO31" i="36"/>
  <c r="BP31" i="36"/>
  <c r="AK32" i="36"/>
  <c r="AL32" i="36"/>
  <c r="AM32" i="36"/>
  <c r="AN32" i="36"/>
  <c r="AO32" i="36"/>
  <c r="AP32" i="36"/>
  <c r="AQ32" i="36"/>
  <c r="AR32" i="36"/>
  <c r="AS32" i="36"/>
  <c r="AT32" i="36"/>
  <c r="AU32" i="36"/>
  <c r="AV32" i="36"/>
  <c r="AW32" i="36"/>
  <c r="AX32" i="36"/>
  <c r="AY32" i="36"/>
  <c r="AZ32" i="36"/>
  <c r="BA32" i="36"/>
  <c r="BB32" i="36"/>
  <c r="BC32" i="36"/>
  <c r="BD32" i="36"/>
  <c r="BE32" i="36"/>
  <c r="BF32" i="36"/>
  <c r="BG32" i="36"/>
  <c r="BH32" i="36"/>
  <c r="BI32" i="36"/>
  <c r="BJ32" i="36"/>
  <c r="BK32" i="36"/>
  <c r="BL32" i="36"/>
  <c r="BM32" i="36"/>
  <c r="BN32" i="36"/>
  <c r="BO32" i="36"/>
  <c r="BP32" i="36"/>
  <c r="AK33" i="36"/>
  <c r="AL33" i="36"/>
  <c r="AM33" i="36"/>
  <c r="AN33" i="36"/>
  <c r="AO33" i="36"/>
  <c r="AP33" i="36"/>
  <c r="AQ33" i="36"/>
  <c r="AR33" i="36"/>
  <c r="AS33" i="36"/>
  <c r="AT33" i="36"/>
  <c r="AU33" i="36"/>
  <c r="AV33" i="36"/>
  <c r="AW33" i="36"/>
  <c r="AX33" i="36"/>
  <c r="AY33" i="36"/>
  <c r="AZ33" i="36"/>
  <c r="BA33" i="36"/>
  <c r="BB33" i="36"/>
  <c r="BC33" i="36"/>
  <c r="BD33" i="36"/>
  <c r="BE33" i="36"/>
  <c r="BF33" i="36"/>
  <c r="BG33" i="36"/>
  <c r="BH33" i="36"/>
  <c r="BI33" i="36"/>
  <c r="BJ33" i="36"/>
  <c r="BK33" i="36"/>
  <c r="BL33" i="36"/>
  <c r="BM33" i="36"/>
  <c r="BN33" i="36"/>
  <c r="BO33" i="36"/>
  <c r="BP33" i="36"/>
  <c r="AK34" i="36"/>
  <c r="AL34" i="36"/>
  <c r="AM34" i="36"/>
  <c r="AN34" i="36"/>
  <c r="AO34" i="36"/>
  <c r="AP34" i="36"/>
  <c r="AQ34" i="36"/>
  <c r="AR34" i="36"/>
  <c r="AS34" i="36"/>
  <c r="AT34" i="36"/>
  <c r="AU34" i="36"/>
  <c r="AV34" i="36"/>
  <c r="AW34" i="36"/>
  <c r="AX34" i="36"/>
  <c r="AY34" i="36"/>
  <c r="AZ34" i="36"/>
  <c r="BA34" i="36"/>
  <c r="BB34" i="36"/>
  <c r="BC34" i="36"/>
  <c r="BD34" i="36"/>
  <c r="BE34" i="36"/>
  <c r="BF34" i="36"/>
  <c r="BG34" i="36"/>
  <c r="BH34" i="36"/>
  <c r="BI34" i="36"/>
  <c r="BJ34" i="36"/>
  <c r="BK34" i="36"/>
  <c r="BL34" i="36"/>
  <c r="BM34" i="36"/>
  <c r="BN34" i="36"/>
  <c r="BO34" i="36"/>
  <c r="BP34" i="36"/>
  <c r="AK35" i="36"/>
  <c r="AL35" i="36"/>
  <c r="AM35" i="36"/>
  <c r="AN35" i="36"/>
  <c r="AO35" i="36"/>
  <c r="AP35" i="36"/>
  <c r="AQ35" i="36"/>
  <c r="AR35" i="36"/>
  <c r="AS35" i="36"/>
  <c r="AT35" i="36"/>
  <c r="AU35" i="36"/>
  <c r="AV35" i="36"/>
  <c r="AW35" i="36"/>
  <c r="AX35" i="36"/>
  <c r="AY35" i="36"/>
  <c r="AZ35" i="36"/>
  <c r="BA35" i="36"/>
  <c r="BB35" i="36"/>
  <c r="BC35" i="36"/>
  <c r="BD35" i="36"/>
  <c r="BE35" i="36"/>
  <c r="BF35" i="36"/>
  <c r="BG35" i="36"/>
  <c r="BH35" i="36"/>
  <c r="BI35" i="36"/>
  <c r="BJ35" i="36"/>
  <c r="BK35" i="36"/>
  <c r="BL35" i="36"/>
  <c r="BM35" i="36"/>
  <c r="BN35" i="36"/>
  <c r="BO35" i="36"/>
  <c r="BP35" i="36"/>
  <c r="AK36" i="36"/>
  <c r="AL36" i="36"/>
  <c r="AM36" i="36"/>
  <c r="AN36" i="36"/>
  <c r="AO36" i="36"/>
  <c r="AP36" i="36"/>
  <c r="AQ36" i="36"/>
  <c r="AR36" i="36"/>
  <c r="AS36" i="36"/>
  <c r="AT36" i="36"/>
  <c r="AU36" i="36"/>
  <c r="AV36" i="36"/>
  <c r="AW36" i="36"/>
  <c r="AX36" i="36"/>
  <c r="AY36" i="36"/>
  <c r="AZ36" i="36"/>
  <c r="BA36" i="36"/>
  <c r="BB36" i="36"/>
  <c r="BC36" i="36"/>
  <c r="BD36" i="36"/>
  <c r="BE36" i="36"/>
  <c r="BF36" i="36"/>
  <c r="BG36" i="36"/>
  <c r="BH36" i="36"/>
  <c r="BI36" i="36"/>
  <c r="BJ36" i="36"/>
  <c r="BK36" i="36"/>
  <c r="BL36" i="36"/>
  <c r="BM36" i="36"/>
  <c r="BN36" i="36"/>
  <c r="BO36" i="36"/>
  <c r="BP36" i="36"/>
  <c r="AK37" i="36"/>
  <c r="AL37" i="36"/>
  <c r="AM37" i="36"/>
  <c r="AN37" i="36"/>
  <c r="AO37" i="36"/>
  <c r="AP37" i="36"/>
  <c r="AQ37" i="36"/>
  <c r="AR37" i="36"/>
  <c r="AS37" i="36"/>
  <c r="AT37" i="36"/>
  <c r="AU37" i="36"/>
  <c r="AV37" i="36"/>
  <c r="AW37" i="36"/>
  <c r="AX37" i="36"/>
  <c r="AY37" i="36"/>
  <c r="AZ37" i="36"/>
  <c r="BA37" i="36"/>
  <c r="BB37" i="36"/>
  <c r="BC37" i="36"/>
  <c r="BD37" i="36"/>
  <c r="BE37" i="36"/>
  <c r="BF37" i="36"/>
  <c r="BG37" i="36"/>
  <c r="BH37" i="36"/>
  <c r="BI37" i="36"/>
  <c r="BJ37" i="36"/>
  <c r="BK37" i="36"/>
  <c r="BL37" i="36"/>
  <c r="BM37" i="36"/>
  <c r="BN37" i="36"/>
  <c r="BO37" i="36"/>
  <c r="BP37" i="36"/>
  <c r="AK38" i="36"/>
  <c r="AL38" i="36"/>
  <c r="AM38" i="36"/>
  <c r="AN38" i="36"/>
  <c r="AO38" i="36"/>
  <c r="AP38" i="36"/>
  <c r="AQ38" i="36"/>
  <c r="AR38" i="36"/>
  <c r="AS38" i="36"/>
  <c r="AT38" i="36"/>
  <c r="AU38" i="36"/>
  <c r="AV38" i="36"/>
  <c r="AW38" i="36"/>
  <c r="AX38" i="36"/>
  <c r="AY38" i="36"/>
  <c r="AZ38" i="36"/>
  <c r="BA38" i="36"/>
  <c r="BB38" i="36"/>
  <c r="BC38" i="36"/>
  <c r="BD38" i="36"/>
  <c r="BE38" i="36"/>
  <c r="BF38" i="36"/>
  <c r="BG38" i="36"/>
  <c r="BH38" i="36"/>
  <c r="BI38" i="36"/>
  <c r="BJ38" i="36"/>
  <c r="BK38" i="36"/>
  <c r="BL38" i="36"/>
  <c r="BM38" i="36"/>
  <c r="BN38" i="36"/>
  <c r="BO38" i="36"/>
  <c r="BP38" i="36"/>
  <c r="AK39" i="36"/>
  <c r="AL39" i="36"/>
  <c r="AM39" i="36"/>
  <c r="AN39" i="36"/>
  <c r="AO39" i="36"/>
  <c r="AP39" i="36"/>
  <c r="AQ39" i="36"/>
  <c r="AR39" i="36"/>
  <c r="AS39" i="36"/>
  <c r="AT39" i="36"/>
  <c r="AU39" i="36"/>
  <c r="AV39" i="36"/>
  <c r="AW39" i="36"/>
  <c r="AX39" i="36"/>
  <c r="AY39" i="36"/>
  <c r="AZ39" i="36"/>
  <c r="BA39" i="36"/>
  <c r="BB39" i="36"/>
  <c r="BC39" i="36"/>
  <c r="BD39" i="36"/>
  <c r="BE39" i="36"/>
  <c r="BF39" i="36"/>
  <c r="BG39" i="36"/>
  <c r="BH39" i="36"/>
  <c r="BI39" i="36"/>
  <c r="BJ39" i="36"/>
  <c r="BK39" i="36"/>
  <c r="BL39" i="36"/>
  <c r="BM39" i="36"/>
  <c r="BN39" i="36"/>
  <c r="BO39" i="36"/>
  <c r="BP39" i="36"/>
  <c r="AJ25" i="36"/>
  <c r="AJ26" i="36"/>
  <c r="AJ27" i="36"/>
  <c r="AJ28" i="36"/>
  <c r="AJ29" i="36"/>
  <c r="AJ30" i="36"/>
  <c r="AJ31" i="36"/>
  <c r="AJ32" i="36"/>
  <c r="AJ33" i="36"/>
  <c r="AJ34" i="36"/>
  <c r="AJ35" i="36"/>
  <c r="AJ36" i="36"/>
  <c r="AJ37" i="36"/>
  <c r="AJ38" i="36"/>
  <c r="AJ39" i="36"/>
  <c r="AJ24" i="36"/>
  <c r="AG145" i="34"/>
  <c r="AC145" i="34"/>
  <c r="Y145" i="34"/>
  <c r="U145" i="34"/>
  <c r="T145" i="34"/>
  <c r="Q145" i="34"/>
  <c r="M145" i="34"/>
  <c r="I145" i="34"/>
  <c r="J145" i="34"/>
  <c r="K145" i="34"/>
  <c r="L145" i="34"/>
  <c r="N145" i="34"/>
  <c r="O145" i="34"/>
  <c r="P145" i="34"/>
  <c r="R145" i="34"/>
  <c r="S145" i="34"/>
  <c r="V145" i="34"/>
  <c r="W145" i="34"/>
  <c r="X145" i="34"/>
  <c r="Z145" i="34"/>
  <c r="AA145" i="34"/>
  <c r="AB145" i="34"/>
  <c r="AD145" i="34"/>
  <c r="AE145" i="34"/>
  <c r="AF145" i="34"/>
  <c r="AH145" i="34"/>
  <c r="AI145" i="34"/>
  <c r="BP145" i="34"/>
  <c r="I146" i="34"/>
  <c r="J146" i="34"/>
  <c r="K146" i="34"/>
  <c r="L146" i="34"/>
  <c r="M146" i="34"/>
  <c r="N146" i="34"/>
  <c r="O146" i="34"/>
  <c r="P146" i="34"/>
  <c r="Q146" i="34"/>
  <c r="R146" i="34"/>
  <c r="S146" i="34"/>
  <c r="T146" i="34"/>
  <c r="U146" i="34"/>
  <c r="V146" i="34"/>
  <c r="W146" i="34"/>
  <c r="X146" i="34"/>
  <c r="Y146" i="34"/>
  <c r="Z146" i="34"/>
  <c r="AA146" i="34"/>
  <c r="AB146" i="34"/>
  <c r="AC146" i="34"/>
  <c r="AD146" i="34"/>
  <c r="AE146" i="34"/>
  <c r="AF146" i="34"/>
  <c r="AG146" i="34"/>
  <c r="AH146" i="34"/>
  <c r="AI146" i="34"/>
  <c r="I147" i="34"/>
  <c r="J147" i="34"/>
  <c r="K147" i="34"/>
  <c r="L147" i="34"/>
  <c r="M147" i="34"/>
  <c r="N147" i="34"/>
  <c r="O147" i="34"/>
  <c r="P147" i="34"/>
  <c r="Q147" i="34"/>
  <c r="R147" i="34"/>
  <c r="S147" i="34"/>
  <c r="T147" i="34"/>
  <c r="U147" i="34"/>
  <c r="V147" i="34"/>
  <c r="W147" i="34"/>
  <c r="X147" i="34"/>
  <c r="Y147" i="34"/>
  <c r="Z147" i="34"/>
  <c r="AA147" i="34"/>
  <c r="AB147" i="34"/>
  <c r="AC147" i="34"/>
  <c r="AD147" i="34"/>
  <c r="AE147" i="34"/>
  <c r="AF147" i="34"/>
  <c r="AG147" i="34"/>
  <c r="AH147" i="34"/>
  <c r="AI147" i="34"/>
  <c r="I148" i="34"/>
  <c r="J148" i="34"/>
  <c r="K148" i="34"/>
  <c r="L148" i="34"/>
  <c r="M148" i="34"/>
  <c r="N148" i="34"/>
  <c r="O148" i="34"/>
  <c r="P148" i="34"/>
  <c r="Q148" i="34"/>
  <c r="R148" i="34"/>
  <c r="S148" i="34"/>
  <c r="T148" i="34"/>
  <c r="U148" i="34"/>
  <c r="V148" i="34"/>
  <c r="W148" i="34"/>
  <c r="X148" i="34"/>
  <c r="Y148" i="34"/>
  <c r="Z148" i="34"/>
  <c r="AA148" i="34"/>
  <c r="AB148" i="34"/>
  <c r="AC148" i="34"/>
  <c r="AD148" i="34"/>
  <c r="AE148" i="34"/>
  <c r="AF148" i="34"/>
  <c r="AG148" i="34"/>
  <c r="AH148" i="34"/>
  <c r="AI148" i="34"/>
  <c r="I149" i="34"/>
  <c r="J149" i="34"/>
  <c r="K149" i="34"/>
  <c r="L149" i="34"/>
  <c r="M149" i="34"/>
  <c r="N149" i="34"/>
  <c r="O149" i="34"/>
  <c r="P149" i="34"/>
  <c r="Q149" i="34"/>
  <c r="R149" i="34"/>
  <c r="S149" i="34"/>
  <c r="T149" i="34"/>
  <c r="U149" i="34"/>
  <c r="V149" i="34"/>
  <c r="W149" i="34"/>
  <c r="X149" i="34"/>
  <c r="Y149" i="34"/>
  <c r="Z149" i="34"/>
  <c r="AA149" i="34"/>
  <c r="AB149" i="34"/>
  <c r="AC149" i="34"/>
  <c r="AD149" i="34"/>
  <c r="AE149" i="34"/>
  <c r="AF149" i="34"/>
  <c r="AG149" i="34"/>
  <c r="AH149" i="34"/>
  <c r="AI149" i="34"/>
  <c r="I150" i="34"/>
  <c r="J150" i="34"/>
  <c r="K150" i="34"/>
  <c r="L150" i="34"/>
  <c r="M150" i="34"/>
  <c r="N150" i="34"/>
  <c r="O150" i="34"/>
  <c r="P150" i="34"/>
  <c r="Q150" i="34"/>
  <c r="R150" i="34"/>
  <c r="S150" i="34"/>
  <c r="T150" i="34"/>
  <c r="U150" i="34"/>
  <c r="V150" i="34"/>
  <c r="W150" i="34"/>
  <c r="X150" i="34"/>
  <c r="Y150" i="34"/>
  <c r="Z150" i="34"/>
  <c r="AA150" i="34"/>
  <c r="AB150" i="34"/>
  <c r="AC150" i="34"/>
  <c r="AD150" i="34"/>
  <c r="AE150" i="34"/>
  <c r="AF150" i="34"/>
  <c r="AG150" i="34"/>
  <c r="AH150" i="34"/>
  <c r="AI150" i="34"/>
  <c r="I151" i="34"/>
  <c r="J151" i="34"/>
  <c r="K151" i="34"/>
  <c r="L151" i="34"/>
  <c r="M151" i="34"/>
  <c r="N151" i="34"/>
  <c r="O151" i="34"/>
  <c r="P151" i="34"/>
  <c r="Q151" i="34"/>
  <c r="R151" i="34"/>
  <c r="S151" i="34"/>
  <c r="T151" i="34"/>
  <c r="U151" i="34"/>
  <c r="V151" i="34"/>
  <c r="W151" i="34"/>
  <c r="X151" i="34"/>
  <c r="Y151" i="34"/>
  <c r="Z151" i="34"/>
  <c r="AA151" i="34"/>
  <c r="AB151" i="34"/>
  <c r="AC151" i="34"/>
  <c r="AD151" i="34"/>
  <c r="AE151" i="34"/>
  <c r="AF151" i="34"/>
  <c r="AG151" i="34"/>
  <c r="AH151" i="34"/>
  <c r="AI151" i="34"/>
  <c r="AJ151" i="34"/>
  <c r="AK151" i="34"/>
  <c r="AL151" i="34"/>
  <c r="AM151" i="34"/>
  <c r="AN151" i="34"/>
  <c r="AO151" i="34"/>
  <c r="AP151" i="34"/>
  <c r="AQ151" i="34"/>
  <c r="AR151" i="34"/>
  <c r="AS151" i="34"/>
  <c r="AT151" i="34"/>
  <c r="AU151" i="34"/>
  <c r="AV151" i="34"/>
  <c r="AW151" i="34"/>
  <c r="AX151" i="34"/>
  <c r="AY151" i="34"/>
  <c r="AZ151" i="34"/>
  <c r="BA151" i="34"/>
  <c r="BB151" i="34"/>
  <c r="BC151" i="34"/>
  <c r="BD151" i="34"/>
  <c r="BE151" i="34"/>
  <c r="BF151" i="34"/>
  <c r="BG151" i="34"/>
  <c r="BH151" i="34"/>
  <c r="BI151" i="34"/>
  <c r="BJ151" i="34"/>
  <c r="BK151" i="34"/>
  <c r="BL151" i="34"/>
  <c r="BM151" i="34"/>
  <c r="BN151" i="34"/>
  <c r="BO151" i="34"/>
  <c r="BP151" i="34"/>
  <c r="I152" i="34"/>
  <c r="J152" i="34"/>
  <c r="K152" i="34"/>
  <c r="L152" i="34"/>
  <c r="M152" i="34"/>
  <c r="N152" i="34"/>
  <c r="O152" i="34"/>
  <c r="P152" i="34"/>
  <c r="Q152" i="34"/>
  <c r="R152" i="34"/>
  <c r="S152" i="34"/>
  <c r="T152" i="34"/>
  <c r="U152" i="34"/>
  <c r="V152" i="34"/>
  <c r="W152" i="34"/>
  <c r="X152" i="34"/>
  <c r="Y152" i="34"/>
  <c r="Z152" i="34"/>
  <c r="AA152" i="34"/>
  <c r="AB152" i="34"/>
  <c r="AC152" i="34"/>
  <c r="AD152" i="34"/>
  <c r="AE152" i="34"/>
  <c r="AF152" i="34"/>
  <c r="AG152" i="34"/>
  <c r="AH152" i="34"/>
  <c r="AI152" i="34"/>
  <c r="AJ152" i="34"/>
  <c r="AK152" i="34"/>
  <c r="AL152" i="34"/>
  <c r="AM152" i="34"/>
  <c r="AN152" i="34"/>
  <c r="AO152" i="34"/>
  <c r="AP152" i="34"/>
  <c r="AQ152" i="34"/>
  <c r="AR152" i="34"/>
  <c r="AS152" i="34"/>
  <c r="AT152" i="34"/>
  <c r="AU152" i="34"/>
  <c r="AV152" i="34"/>
  <c r="AW152" i="34"/>
  <c r="AX152" i="34"/>
  <c r="AY152" i="34"/>
  <c r="AZ152" i="34"/>
  <c r="BA152" i="34"/>
  <c r="BB152" i="34"/>
  <c r="BC152" i="34"/>
  <c r="BD152" i="34"/>
  <c r="BE152" i="34"/>
  <c r="BF152" i="34"/>
  <c r="BG152" i="34"/>
  <c r="BH152" i="34"/>
  <c r="BI152" i="34"/>
  <c r="BJ152" i="34"/>
  <c r="BK152" i="34"/>
  <c r="BL152" i="34"/>
  <c r="BM152" i="34"/>
  <c r="BN152" i="34"/>
  <c r="BO152" i="34"/>
  <c r="BP152" i="34"/>
  <c r="I153" i="34"/>
  <c r="J153" i="34"/>
  <c r="K153" i="34"/>
  <c r="L153" i="34"/>
  <c r="M153" i="34"/>
  <c r="N153" i="34"/>
  <c r="O153" i="34"/>
  <c r="P153" i="34"/>
  <c r="Q153" i="34"/>
  <c r="R153" i="34"/>
  <c r="S153" i="34"/>
  <c r="T153" i="34"/>
  <c r="U153" i="34"/>
  <c r="V153" i="34"/>
  <c r="W153" i="34"/>
  <c r="X153" i="34"/>
  <c r="Y153" i="34"/>
  <c r="Z153" i="34"/>
  <c r="AA153" i="34"/>
  <c r="AB153" i="34"/>
  <c r="AC153" i="34"/>
  <c r="AD153" i="34"/>
  <c r="AE153" i="34"/>
  <c r="AF153" i="34"/>
  <c r="AG153" i="34"/>
  <c r="AH153" i="34"/>
  <c r="AI153" i="34"/>
  <c r="BP153" i="34"/>
  <c r="I154" i="34"/>
  <c r="J154" i="34"/>
  <c r="K154" i="34"/>
  <c r="L154" i="34"/>
  <c r="M154" i="34"/>
  <c r="N154" i="34"/>
  <c r="O154" i="34"/>
  <c r="P154" i="34"/>
  <c r="Q154" i="34"/>
  <c r="R154" i="34"/>
  <c r="S154" i="34"/>
  <c r="T154" i="34"/>
  <c r="U154" i="34"/>
  <c r="V154" i="34"/>
  <c r="W154" i="34"/>
  <c r="X154" i="34"/>
  <c r="Y154" i="34"/>
  <c r="Z154" i="34"/>
  <c r="AA154" i="34"/>
  <c r="AB154" i="34"/>
  <c r="AC154" i="34"/>
  <c r="AD154" i="34"/>
  <c r="AE154" i="34"/>
  <c r="AF154" i="34"/>
  <c r="AG154" i="34"/>
  <c r="AH154" i="34"/>
  <c r="AI154" i="34"/>
  <c r="I156" i="34"/>
  <c r="J156" i="34"/>
  <c r="K156" i="34"/>
  <c r="L156" i="34"/>
  <c r="M156" i="34"/>
  <c r="N156" i="34"/>
  <c r="O156" i="34"/>
  <c r="P156" i="34"/>
  <c r="Q156" i="34"/>
  <c r="R156" i="34"/>
  <c r="S156" i="34"/>
  <c r="T156" i="34"/>
  <c r="U156" i="34"/>
  <c r="V156" i="34"/>
  <c r="W156" i="34"/>
  <c r="X156" i="34"/>
  <c r="Y156" i="34"/>
  <c r="Z156" i="34"/>
  <c r="AA156" i="34"/>
  <c r="AB156" i="34"/>
  <c r="AC156" i="34"/>
  <c r="AD156" i="34"/>
  <c r="AE156" i="34"/>
  <c r="AF156" i="34"/>
  <c r="AG156" i="34"/>
  <c r="AH156" i="34"/>
  <c r="AI156" i="34"/>
  <c r="H146" i="34"/>
  <c r="H147" i="34"/>
  <c r="H148" i="34"/>
  <c r="H149" i="34"/>
  <c r="H150" i="34"/>
  <c r="H151" i="34"/>
  <c r="H152" i="34"/>
  <c r="H153" i="34"/>
  <c r="H154" i="34"/>
  <c r="H156" i="34"/>
  <c r="AJ87" i="36"/>
  <c r="AJ145" i="34" s="1"/>
  <c r="AK87" i="36"/>
  <c r="AK145" i="34" s="1"/>
  <c r="AL87" i="36"/>
  <c r="AL145" i="34" s="1"/>
  <c r="AM87" i="36"/>
  <c r="AM145" i="34" s="1"/>
  <c r="AN87" i="36"/>
  <c r="AN145" i="34" s="1"/>
  <c r="AO87" i="36"/>
  <c r="AO145" i="34" s="1"/>
  <c r="AP87" i="36"/>
  <c r="AP145" i="34" s="1"/>
  <c r="AQ87" i="36"/>
  <c r="AQ145" i="34" s="1"/>
  <c r="AR87" i="36"/>
  <c r="AR145" i="34" s="1"/>
  <c r="AS87" i="36"/>
  <c r="AS145" i="34" s="1"/>
  <c r="AT87" i="36"/>
  <c r="AT145" i="34" s="1"/>
  <c r="AU87" i="36"/>
  <c r="AU145" i="34" s="1"/>
  <c r="AV87" i="36"/>
  <c r="AV145" i="34" s="1"/>
  <c r="AW87" i="36"/>
  <c r="AW145" i="34" s="1"/>
  <c r="AX87" i="36"/>
  <c r="AX145" i="34" s="1"/>
  <c r="AY87" i="36"/>
  <c r="AY145" i="34" s="1"/>
  <c r="AZ87" i="36"/>
  <c r="AZ145" i="34" s="1"/>
  <c r="BA87" i="36"/>
  <c r="BA145" i="34" s="1"/>
  <c r="BB87" i="36"/>
  <c r="BB145" i="34" s="1"/>
  <c r="BC87" i="36"/>
  <c r="BC145" i="34" s="1"/>
  <c r="BD87" i="36"/>
  <c r="BD145" i="34" s="1"/>
  <c r="BE87" i="36"/>
  <c r="BE145" i="34" s="1"/>
  <c r="BF87" i="36"/>
  <c r="BF145" i="34" s="1"/>
  <c r="BG87" i="36"/>
  <c r="BG145" i="34" s="1"/>
  <c r="BH87" i="36"/>
  <c r="BH145" i="34" s="1"/>
  <c r="BI87" i="36"/>
  <c r="BI145" i="34" s="1"/>
  <c r="BJ87" i="36"/>
  <c r="BJ145" i="34" s="1"/>
  <c r="BK87" i="36"/>
  <c r="BK145" i="34" s="1"/>
  <c r="BL87" i="36"/>
  <c r="BL145" i="34" s="1"/>
  <c r="BM87" i="36"/>
  <c r="BM145" i="34" s="1"/>
  <c r="BN87" i="36"/>
  <c r="BN145" i="34" s="1"/>
  <c r="BO87" i="36"/>
  <c r="BO145" i="34" s="1"/>
  <c r="BP87" i="36"/>
  <c r="AJ88" i="36"/>
  <c r="AJ146" i="34" s="1"/>
  <c r="AK88" i="36"/>
  <c r="AK146" i="34" s="1"/>
  <c r="AL88" i="36"/>
  <c r="AL146" i="34" s="1"/>
  <c r="AM88" i="36"/>
  <c r="AM146" i="34" s="1"/>
  <c r="AN88" i="36"/>
  <c r="AN146" i="34" s="1"/>
  <c r="AO88" i="36"/>
  <c r="AO146" i="34" s="1"/>
  <c r="AP88" i="36"/>
  <c r="AP146" i="34" s="1"/>
  <c r="AQ88" i="36"/>
  <c r="AQ146" i="34" s="1"/>
  <c r="AR88" i="36"/>
  <c r="AR146" i="34" s="1"/>
  <c r="AS88" i="36"/>
  <c r="AS146" i="34" s="1"/>
  <c r="AT88" i="36"/>
  <c r="AT146" i="34" s="1"/>
  <c r="AU88" i="36"/>
  <c r="AU146" i="34" s="1"/>
  <c r="AV88" i="36"/>
  <c r="AV146" i="34" s="1"/>
  <c r="AW88" i="36"/>
  <c r="AW146" i="34" s="1"/>
  <c r="AX88" i="36"/>
  <c r="AX146" i="34" s="1"/>
  <c r="AY88" i="36"/>
  <c r="AY146" i="34" s="1"/>
  <c r="AZ88" i="36"/>
  <c r="AZ146" i="34" s="1"/>
  <c r="BA88" i="36"/>
  <c r="BA146" i="34" s="1"/>
  <c r="BB88" i="36"/>
  <c r="BB146" i="34" s="1"/>
  <c r="BC88" i="36"/>
  <c r="BC146" i="34" s="1"/>
  <c r="BD88" i="36"/>
  <c r="BD146" i="34" s="1"/>
  <c r="BE88" i="36"/>
  <c r="BE146" i="34" s="1"/>
  <c r="BF88" i="36"/>
  <c r="BF146" i="34" s="1"/>
  <c r="BG88" i="36"/>
  <c r="BG146" i="34" s="1"/>
  <c r="BH88" i="36"/>
  <c r="BH146" i="34" s="1"/>
  <c r="BI88" i="36"/>
  <c r="BI146" i="34" s="1"/>
  <c r="BJ88" i="36"/>
  <c r="BJ146" i="34" s="1"/>
  <c r="BK88" i="36"/>
  <c r="BK146" i="34" s="1"/>
  <c r="BL88" i="36"/>
  <c r="BL146" i="34" s="1"/>
  <c r="BM88" i="36"/>
  <c r="BM146" i="34" s="1"/>
  <c r="BN88" i="36"/>
  <c r="BN146" i="34" s="1"/>
  <c r="BO88" i="36"/>
  <c r="BO146" i="34" s="1"/>
  <c r="BP88" i="36"/>
  <c r="BP146" i="34" s="1"/>
  <c r="AJ89" i="36"/>
  <c r="AJ147" i="34" s="1"/>
  <c r="AK89" i="36"/>
  <c r="AK147" i="34" s="1"/>
  <c r="AL89" i="36"/>
  <c r="AL147" i="34" s="1"/>
  <c r="AM89" i="36"/>
  <c r="AM147" i="34" s="1"/>
  <c r="AN89" i="36"/>
  <c r="AN147" i="34" s="1"/>
  <c r="AO89" i="36"/>
  <c r="AO147" i="34" s="1"/>
  <c r="AP89" i="36"/>
  <c r="AP147" i="34" s="1"/>
  <c r="AQ89" i="36"/>
  <c r="AQ147" i="34" s="1"/>
  <c r="AR89" i="36"/>
  <c r="AR147" i="34" s="1"/>
  <c r="AS89" i="36"/>
  <c r="AS147" i="34" s="1"/>
  <c r="AT89" i="36"/>
  <c r="AT147" i="34" s="1"/>
  <c r="AU89" i="36"/>
  <c r="AU147" i="34" s="1"/>
  <c r="AV89" i="36"/>
  <c r="AV147" i="34" s="1"/>
  <c r="AW89" i="36"/>
  <c r="AW147" i="34" s="1"/>
  <c r="AX89" i="36"/>
  <c r="AX147" i="34" s="1"/>
  <c r="AY89" i="36"/>
  <c r="AY147" i="34" s="1"/>
  <c r="AZ89" i="36"/>
  <c r="AZ147" i="34" s="1"/>
  <c r="BA89" i="36"/>
  <c r="BA147" i="34" s="1"/>
  <c r="BB89" i="36"/>
  <c r="BB147" i="34" s="1"/>
  <c r="BC89" i="36"/>
  <c r="BC147" i="34" s="1"/>
  <c r="BD89" i="36"/>
  <c r="BD147" i="34" s="1"/>
  <c r="BE89" i="36"/>
  <c r="BE147" i="34" s="1"/>
  <c r="BF89" i="36"/>
  <c r="BF147" i="34" s="1"/>
  <c r="BG89" i="36"/>
  <c r="BG147" i="34" s="1"/>
  <c r="BH89" i="36"/>
  <c r="BH147" i="34" s="1"/>
  <c r="BI89" i="36"/>
  <c r="BI147" i="34" s="1"/>
  <c r="BJ89" i="36"/>
  <c r="BJ147" i="34" s="1"/>
  <c r="BK89" i="36"/>
  <c r="BK147" i="34" s="1"/>
  <c r="BL89" i="36"/>
  <c r="BL147" i="34" s="1"/>
  <c r="BM89" i="36"/>
  <c r="BM147" i="34" s="1"/>
  <c r="BN89" i="36"/>
  <c r="BN147" i="34" s="1"/>
  <c r="BO89" i="36"/>
  <c r="BO147" i="34" s="1"/>
  <c r="BP89" i="36"/>
  <c r="BP147" i="34" s="1"/>
  <c r="AJ90" i="36"/>
  <c r="AJ148" i="34" s="1"/>
  <c r="AK90" i="36"/>
  <c r="AK148" i="34" s="1"/>
  <c r="AL90" i="36"/>
  <c r="AL148" i="34" s="1"/>
  <c r="AM90" i="36"/>
  <c r="AM148" i="34" s="1"/>
  <c r="AN90" i="36"/>
  <c r="AN148" i="34" s="1"/>
  <c r="AO90" i="36"/>
  <c r="AO148" i="34" s="1"/>
  <c r="AP90" i="36"/>
  <c r="AP148" i="34" s="1"/>
  <c r="AQ90" i="36"/>
  <c r="AQ148" i="34" s="1"/>
  <c r="AR90" i="36"/>
  <c r="AR148" i="34" s="1"/>
  <c r="AS90" i="36"/>
  <c r="AS148" i="34" s="1"/>
  <c r="AT90" i="36"/>
  <c r="AT148" i="34" s="1"/>
  <c r="AU90" i="36"/>
  <c r="AU148" i="34" s="1"/>
  <c r="AV90" i="36"/>
  <c r="AV148" i="34" s="1"/>
  <c r="AW90" i="36"/>
  <c r="AW148" i="34" s="1"/>
  <c r="AX90" i="36"/>
  <c r="AX148" i="34" s="1"/>
  <c r="AY90" i="36"/>
  <c r="AY148" i="34" s="1"/>
  <c r="AZ90" i="36"/>
  <c r="AZ148" i="34" s="1"/>
  <c r="BA90" i="36"/>
  <c r="BA148" i="34" s="1"/>
  <c r="BB90" i="36"/>
  <c r="BB148" i="34" s="1"/>
  <c r="BC90" i="36"/>
  <c r="BC148" i="34" s="1"/>
  <c r="BD90" i="36"/>
  <c r="BD148" i="34" s="1"/>
  <c r="BE90" i="36"/>
  <c r="BE148" i="34" s="1"/>
  <c r="BF90" i="36"/>
  <c r="BF148" i="34" s="1"/>
  <c r="BG90" i="36"/>
  <c r="BG148" i="34" s="1"/>
  <c r="BH90" i="36"/>
  <c r="BH148" i="34" s="1"/>
  <c r="BI90" i="36"/>
  <c r="BI148" i="34" s="1"/>
  <c r="BJ90" i="36"/>
  <c r="BJ148" i="34" s="1"/>
  <c r="BK90" i="36"/>
  <c r="BK148" i="34" s="1"/>
  <c r="BL90" i="36"/>
  <c r="BL148" i="34" s="1"/>
  <c r="BM90" i="36"/>
  <c r="BM148" i="34" s="1"/>
  <c r="BN90" i="36"/>
  <c r="BN148" i="34" s="1"/>
  <c r="BO90" i="36"/>
  <c r="BO148" i="34" s="1"/>
  <c r="BP90" i="36"/>
  <c r="BP148" i="34" s="1"/>
  <c r="AJ91" i="36"/>
  <c r="AJ149" i="34" s="1"/>
  <c r="AK91" i="36"/>
  <c r="AK149" i="34" s="1"/>
  <c r="AL91" i="36"/>
  <c r="AL149" i="34" s="1"/>
  <c r="AM91" i="36"/>
  <c r="AM149" i="34" s="1"/>
  <c r="AN91" i="36"/>
  <c r="AN149" i="34" s="1"/>
  <c r="AO91" i="36"/>
  <c r="AO149" i="34" s="1"/>
  <c r="AP91" i="36"/>
  <c r="AP149" i="34" s="1"/>
  <c r="AQ91" i="36"/>
  <c r="AQ149" i="34" s="1"/>
  <c r="AR91" i="36"/>
  <c r="AR149" i="34" s="1"/>
  <c r="AS91" i="36"/>
  <c r="AS149" i="34" s="1"/>
  <c r="AT91" i="36"/>
  <c r="AT149" i="34" s="1"/>
  <c r="AU91" i="36"/>
  <c r="AU149" i="34" s="1"/>
  <c r="AV91" i="36"/>
  <c r="AV149" i="34" s="1"/>
  <c r="AW91" i="36"/>
  <c r="AW149" i="34" s="1"/>
  <c r="AX91" i="36"/>
  <c r="AX149" i="34" s="1"/>
  <c r="AY91" i="36"/>
  <c r="AY149" i="34" s="1"/>
  <c r="AZ91" i="36"/>
  <c r="AZ149" i="34" s="1"/>
  <c r="BA91" i="36"/>
  <c r="BA149" i="34" s="1"/>
  <c r="BB91" i="36"/>
  <c r="BB149" i="34" s="1"/>
  <c r="BC91" i="36"/>
  <c r="BC149" i="34" s="1"/>
  <c r="BD91" i="36"/>
  <c r="BD149" i="34" s="1"/>
  <c r="BE91" i="36"/>
  <c r="BE149" i="34" s="1"/>
  <c r="BF91" i="36"/>
  <c r="BF149" i="34" s="1"/>
  <c r="BG91" i="36"/>
  <c r="BG149" i="34" s="1"/>
  <c r="BH91" i="36"/>
  <c r="BH149" i="34" s="1"/>
  <c r="BI91" i="36"/>
  <c r="BI149" i="34" s="1"/>
  <c r="BJ91" i="36"/>
  <c r="BJ149" i="34" s="1"/>
  <c r="BK91" i="36"/>
  <c r="BK149" i="34" s="1"/>
  <c r="BL91" i="36"/>
  <c r="BL149" i="34" s="1"/>
  <c r="BM91" i="36"/>
  <c r="BM149" i="34" s="1"/>
  <c r="BN91" i="36"/>
  <c r="BN149" i="34" s="1"/>
  <c r="BO91" i="36"/>
  <c r="BO149" i="34" s="1"/>
  <c r="BP91" i="36"/>
  <c r="BP149" i="34" s="1"/>
  <c r="AJ92" i="36"/>
  <c r="AJ150" i="34" s="1"/>
  <c r="AK92" i="36"/>
  <c r="AK150" i="34" s="1"/>
  <c r="AL92" i="36"/>
  <c r="AL150" i="34" s="1"/>
  <c r="AM92" i="36"/>
  <c r="AM150" i="34" s="1"/>
  <c r="AN92" i="36"/>
  <c r="AN150" i="34" s="1"/>
  <c r="AO92" i="36"/>
  <c r="AO150" i="34" s="1"/>
  <c r="AP92" i="36"/>
  <c r="AP150" i="34" s="1"/>
  <c r="AQ92" i="36"/>
  <c r="AQ150" i="34" s="1"/>
  <c r="AR92" i="36"/>
  <c r="AR150" i="34" s="1"/>
  <c r="AS92" i="36"/>
  <c r="AS150" i="34" s="1"/>
  <c r="AT92" i="36"/>
  <c r="AT150" i="34" s="1"/>
  <c r="AU92" i="36"/>
  <c r="AU150" i="34" s="1"/>
  <c r="AV92" i="36"/>
  <c r="AV150" i="34" s="1"/>
  <c r="AW92" i="36"/>
  <c r="AW150" i="34" s="1"/>
  <c r="AX92" i="36"/>
  <c r="AX150" i="34" s="1"/>
  <c r="AY92" i="36"/>
  <c r="AY150" i="34" s="1"/>
  <c r="AZ92" i="36"/>
  <c r="AZ150" i="34" s="1"/>
  <c r="BA92" i="36"/>
  <c r="BA150" i="34" s="1"/>
  <c r="BB92" i="36"/>
  <c r="BB150" i="34" s="1"/>
  <c r="BC92" i="36"/>
  <c r="BC150" i="34" s="1"/>
  <c r="BD92" i="36"/>
  <c r="BD150" i="34" s="1"/>
  <c r="BE92" i="36"/>
  <c r="BE150" i="34" s="1"/>
  <c r="BF92" i="36"/>
  <c r="BF150" i="34" s="1"/>
  <c r="BG92" i="36"/>
  <c r="BG150" i="34" s="1"/>
  <c r="BH92" i="36"/>
  <c r="BH150" i="34" s="1"/>
  <c r="BI92" i="36"/>
  <c r="BI150" i="34" s="1"/>
  <c r="BJ92" i="36"/>
  <c r="BJ150" i="34" s="1"/>
  <c r="BK92" i="36"/>
  <c r="BK150" i="34" s="1"/>
  <c r="BL92" i="36"/>
  <c r="BL150" i="34" s="1"/>
  <c r="BM92" i="36"/>
  <c r="BM150" i="34" s="1"/>
  <c r="BN92" i="36"/>
  <c r="BN150" i="34" s="1"/>
  <c r="BO92" i="36"/>
  <c r="BO150" i="34" s="1"/>
  <c r="BP92" i="36"/>
  <c r="BP150" i="34" s="1"/>
  <c r="AJ95" i="36"/>
  <c r="AJ153" i="34" s="1"/>
  <c r="AK95" i="36"/>
  <c r="AK153" i="34" s="1"/>
  <c r="AL95" i="36"/>
  <c r="AL153" i="34" s="1"/>
  <c r="AM95" i="36"/>
  <c r="AM153" i="34" s="1"/>
  <c r="AN95" i="36"/>
  <c r="AN153" i="34" s="1"/>
  <c r="AO95" i="36"/>
  <c r="AO153" i="34" s="1"/>
  <c r="AP95" i="36"/>
  <c r="AP153" i="34" s="1"/>
  <c r="AQ95" i="36"/>
  <c r="AQ153" i="34" s="1"/>
  <c r="AR95" i="36"/>
  <c r="AR153" i="34" s="1"/>
  <c r="AS95" i="36"/>
  <c r="AS153" i="34" s="1"/>
  <c r="AT95" i="36"/>
  <c r="AT153" i="34" s="1"/>
  <c r="AU95" i="36"/>
  <c r="AU153" i="34" s="1"/>
  <c r="AV95" i="36"/>
  <c r="AV153" i="34" s="1"/>
  <c r="AW95" i="36"/>
  <c r="AW153" i="34" s="1"/>
  <c r="AX95" i="36"/>
  <c r="AX153" i="34" s="1"/>
  <c r="AY95" i="36"/>
  <c r="AY153" i="34" s="1"/>
  <c r="AZ95" i="36"/>
  <c r="AZ153" i="34" s="1"/>
  <c r="BA95" i="36"/>
  <c r="BA153" i="34" s="1"/>
  <c r="BB95" i="36"/>
  <c r="BB153" i="34" s="1"/>
  <c r="BC95" i="36"/>
  <c r="BC153" i="34" s="1"/>
  <c r="BD95" i="36"/>
  <c r="BD153" i="34" s="1"/>
  <c r="BE95" i="36"/>
  <c r="BE153" i="34" s="1"/>
  <c r="BF95" i="36"/>
  <c r="BF153" i="34" s="1"/>
  <c r="BG95" i="36"/>
  <c r="BG153" i="34" s="1"/>
  <c r="BH95" i="36"/>
  <c r="BH153" i="34" s="1"/>
  <c r="BI95" i="36"/>
  <c r="BI153" i="34" s="1"/>
  <c r="BJ95" i="36"/>
  <c r="BJ153" i="34" s="1"/>
  <c r="BK95" i="36"/>
  <c r="BK153" i="34" s="1"/>
  <c r="BL95" i="36"/>
  <c r="BL153" i="34" s="1"/>
  <c r="BM95" i="36"/>
  <c r="BM153" i="34" s="1"/>
  <c r="BN95" i="36"/>
  <c r="BN153" i="34" s="1"/>
  <c r="BO95" i="36"/>
  <c r="BO153" i="34" s="1"/>
  <c r="BP95" i="36"/>
  <c r="AJ96" i="36"/>
  <c r="AJ154" i="34" s="1"/>
  <c r="AK96" i="36"/>
  <c r="AK154" i="34" s="1"/>
  <c r="AL96" i="36"/>
  <c r="AL154" i="34" s="1"/>
  <c r="AM96" i="36"/>
  <c r="AM154" i="34" s="1"/>
  <c r="AN96" i="36"/>
  <c r="AN154" i="34" s="1"/>
  <c r="AO96" i="36"/>
  <c r="AO154" i="34" s="1"/>
  <c r="AP96" i="36"/>
  <c r="AP154" i="34" s="1"/>
  <c r="AQ96" i="36"/>
  <c r="AQ154" i="34" s="1"/>
  <c r="AR96" i="36"/>
  <c r="AR154" i="34" s="1"/>
  <c r="AS96" i="36"/>
  <c r="AS154" i="34" s="1"/>
  <c r="AT96" i="36"/>
  <c r="AT154" i="34" s="1"/>
  <c r="AU96" i="36"/>
  <c r="AU154" i="34" s="1"/>
  <c r="AV96" i="36"/>
  <c r="AV154" i="34" s="1"/>
  <c r="AW96" i="36"/>
  <c r="AW154" i="34" s="1"/>
  <c r="AX96" i="36"/>
  <c r="AX154" i="34" s="1"/>
  <c r="AY96" i="36"/>
  <c r="AY154" i="34" s="1"/>
  <c r="AZ96" i="36"/>
  <c r="AZ154" i="34" s="1"/>
  <c r="BA96" i="36"/>
  <c r="BA154" i="34" s="1"/>
  <c r="BB96" i="36"/>
  <c r="BB154" i="34" s="1"/>
  <c r="BC96" i="36"/>
  <c r="BC154" i="34" s="1"/>
  <c r="BD96" i="36"/>
  <c r="BD154" i="34" s="1"/>
  <c r="BE96" i="36"/>
  <c r="BE154" i="34" s="1"/>
  <c r="BF96" i="36"/>
  <c r="BF154" i="34" s="1"/>
  <c r="BG96" i="36"/>
  <c r="BG154" i="34" s="1"/>
  <c r="BH96" i="36"/>
  <c r="BH154" i="34" s="1"/>
  <c r="BI96" i="36"/>
  <c r="BI154" i="34" s="1"/>
  <c r="BJ96" i="36"/>
  <c r="BJ154" i="34" s="1"/>
  <c r="BK96" i="36"/>
  <c r="BK154" i="34" s="1"/>
  <c r="BL96" i="36"/>
  <c r="BL154" i="34" s="1"/>
  <c r="BM96" i="36"/>
  <c r="BM154" i="34" s="1"/>
  <c r="BN96" i="36"/>
  <c r="BN154" i="34" s="1"/>
  <c r="BO96" i="36"/>
  <c r="BO154" i="34" s="1"/>
  <c r="BP96" i="36"/>
  <c r="BP154" i="34" s="1"/>
  <c r="I97" i="36"/>
  <c r="I155" i="34" s="1"/>
  <c r="G48" i="45" s="1"/>
  <c r="J97" i="36"/>
  <c r="J155" i="34" s="1"/>
  <c r="H48" i="45" s="1"/>
  <c r="K97" i="36"/>
  <c r="K155" i="34" s="1"/>
  <c r="I48" i="45" s="1"/>
  <c r="L97" i="36"/>
  <c r="L155" i="34" s="1"/>
  <c r="J48" i="45" s="1"/>
  <c r="M97" i="36"/>
  <c r="M155" i="34" s="1"/>
  <c r="K48" i="45" s="1"/>
  <c r="N97" i="36"/>
  <c r="N155" i="34" s="1"/>
  <c r="L48" i="45" s="1"/>
  <c r="O97" i="36"/>
  <c r="O155" i="34" s="1"/>
  <c r="M48" i="45" s="1"/>
  <c r="P97" i="36"/>
  <c r="P155" i="34" s="1"/>
  <c r="N48" i="45" s="1"/>
  <c r="Q97" i="36"/>
  <c r="Q155" i="34" s="1"/>
  <c r="O48" i="45" s="1"/>
  <c r="R97" i="36"/>
  <c r="R155" i="34" s="1"/>
  <c r="P48" i="45" s="1"/>
  <c r="S97" i="36"/>
  <c r="S155" i="34" s="1"/>
  <c r="Q48" i="45" s="1"/>
  <c r="T97" i="36"/>
  <c r="T155" i="34" s="1"/>
  <c r="R48" i="45" s="1"/>
  <c r="U97" i="36"/>
  <c r="U155" i="34" s="1"/>
  <c r="S48" i="45" s="1"/>
  <c r="V97" i="36"/>
  <c r="V155" i="34" s="1"/>
  <c r="T48" i="45" s="1"/>
  <c r="W97" i="36"/>
  <c r="W155" i="34" s="1"/>
  <c r="U48" i="45" s="1"/>
  <c r="X97" i="36"/>
  <c r="X155" i="34" s="1"/>
  <c r="V48" i="45" s="1"/>
  <c r="Y97" i="36"/>
  <c r="Y155" i="34" s="1"/>
  <c r="W48" i="45" s="1"/>
  <c r="Z97" i="36"/>
  <c r="Z155" i="34" s="1"/>
  <c r="X48" i="45" s="1"/>
  <c r="AA97" i="36"/>
  <c r="AA155" i="34" s="1"/>
  <c r="Y48" i="45" s="1"/>
  <c r="AB97" i="36"/>
  <c r="AB155" i="34" s="1"/>
  <c r="Z48" i="45" s="1"/>
  <c r="AC97" i="36"/>
  <c r="AC155" i="34" s="1"/>
  <c r="AA48" i="45" s="1"/>
  <c r="AD97" i="36"/>
  <c r="AD155" i="34" s="1"/>
  <c r="AB48" i="45" s="1"/>
  <c r="AE97" i="36"/>
  <c r="AE155" i="34" s="1"/>
  <c r="AC48" i="45" s="1"/>
  <c r="AF97" i="36"/>
  <c r="AF155" i="34" s="1"/>
  <c r="AD48" i="45" s="1"/>
  <c r="AG97" i="36"/>
  <c r="AG155" i="34" s="1"/>
  <c r="AE48" i="45" s="1"/>
  <c r="AH97" i="36"/>
  <c r="AH155" i="34" s="1"/>
  <c r="AF48" i="45" s="1"/>
  <c r="AI97" i="36"/>
  <c r="AI155" i="34" s="1"/>
  <c r="AG48" i="45" s="1"/>
  <c r="AJ97" i="36"/>
  <c r="AJ155" i="34" s="1"/>
  <c r="AK97" i="36"/>
  <c r="AK155" i="34" s="1"/>
  <c r="AL97" i="36"/>
  <c r="AL155" i="34" s="1"/>
  <c r="AM97" i="36"/>
  <c r="AM155" i="34" s="1"/>
  <c r="AN97" i="36"/>
  <c r="AN155" i="34" s="1"/>
  <c r="AO97" i="36"/>
  <c r="AO155" i="34" s="1"/>
  <c r="AP97" i="36"/>
  <c r="AP155" i="34" s="1"/>
  <c r="AQ97" i="36"/>
  <c r="AQ155" i="34" s="1"/>
  <c r="AR97" i="36"/>
  <c r="AR155" i="34" s="1"/>
  <c r="AS97" i="36"/>
  <c r="AS155" i="34" s="1"/>
  <c r="AT97" i="36"/>
  <c r="AT155" i="34" s="1"/>
  <c r="AU97" i="36"/>
  <c r="AU155" i="34" s="1"/>
  <c r="AV97" i="36"/>
  <c r="AV155" i="34" s="1"/>
  <c r="AW97" i="36"/>
  <c r="AW155" i="34" s="1"/>
  <c r="AX97" i="36"/>
  <c r="AX155" i="34" s="1"/>
  <c r="AY97" i="36"/>
  <c r="AY155" i="34" s="1"/>
  <c r="AZ97" i="36"/>
  <c r="AZ155" i="34" s="1"/>
  <c r="BA97" i="36"/>
  <c r="BA155" i="34" s="1"/>
  <c r="BB97" i="36"/>
  <c r="BB155" i="34" s="1"/>
  <c r="BC97" i="36"/>
  <c r="BC155" i="34" s="1"/>
  <c r="BD97" i="36"/>
  <c r="BD155" i="34" s="1"/>
  <c r="BE97" i="36"/>
  <c r="BE155" i="34" s="1"/>
  <c r="BF97" i="36"/>
  <c r="BF155" i="34" s="1"/>
  <c r="BG97" i="36"/>
  <c r="BG155" i="34" s="1"/>
  <c r="BH97" i="36"/>
  <c r="BH155" i="34" s="1"/>
  <c r="BI97" i="36"/>
  <c r="BI155" i="34" s="1"/>
  <c r="BJ97" i="36"/>
  <c r="BJ155" i="34" s="1"/>
  <c r="BK97" i="36"/>
  <c r="BK155" i="34" s="1"/>
  <c r="BL97" i="36"/>
  <c r="BL155" i="34" s="1"/>
  <c r="BM97" i="36"/>
  <c r="BM155" i="34" s="1"/>
  <c r="BN97" i="36"/>
  <c r="BN155" i="34" s="1"/>
  <c r="BO97" i="36"/>
  <c r="BO155" i="34" s="1"/>
  <c r="BP97" i="36"/>
  <c r="BP155" i="34" s="1"/>
  <c r="AJ98" i="36"/>
  <c r="AJ156" i="34" s="1"/>
  <c r="AK98" i="36"/>
  <c r="AK156" i="34" s="1"/>
  <c r="AL98" i="36"/>
  <c r="AL156" i="34" s="1"/>
  <c r="AM98" i="36"/>
  <c r="AM156" i="34" s="1"/>
  <c r="AN98" i="36"/>
  <c r="AN156" i="34" s="1"/>
  <c r="AO98" i="36"/>
  <c r="AO156" i="34" s="1"/>
  <c r="AP98" i="36"/>
  <c r="AP156" i="34" s="1"/>
  <c r="AQ98" i="36"/>
  <c r="AQ156" i="34" s="1"/>
  <c r="AR98" i="36"/>
  <c r="AR156" i="34" s="1"/>
  <c r="AS98" i="36"/>
  <c r="AS156" i="34" s="1"/>
  <c r="AT98" i="36"/>
  <c r="AT156" i="34" s="1"/>
  <c r="AU98" i="36"/>
  <c r="AU156" i="34" s="1"/>
  <c r="AV98" i="36"/>
  <c r="AV156" i="34" s="1"/>
  <c r="AW98" i="36"/>
  <c r="AW156" i="34" s="1"/>
  <c r="AX98" i="36"/>
  <c r="AX156" i="34" s="1"/>
  <c r="AY98" i="36"/>
  <c r="AY156" i="34" s="1"/>
  <c r="AZ98" i="36"/>
  <c r="AZ156" i="34" s="1"/>
  <c r="BA98" i="36"/>
  <c r="BA156" i="34" s="1"/>
  <c r="BB98" i="36"/>
  <c r="BB156" i="34" s="1"/>
  <c r="BC98" i="36"/>
  <c r="BC156" i="34" s="1"/>
  <c r="BD98" i="36"/>
  <c r="BD156" i="34" s="1"/>
  <c r="BE98" i="36"/>
  <c r="BE156" i="34" s="1"/>
  <c r="BF98" i="36"/>
  <c r="BF156" i="34" s="1"/>
  <c r="BG98" i="36"/>
  <c r="BG156" i="34" s="1"/>
  <c r="BH98" i="36"/>
  <c r="BH156" i="34" s="1"/>
  <c r="BI98" i="36"/>
  <c r="BI156" i="34" s="1"/>
  <c r="BJ98" i="36"/>
  <c r="BJ156" i="34" s="1"/>
  <c r="BK98" i="36"/>
  <c r="BK156" i="34" s="1"/>
  <c r="BL98" i="36"/>
  <c r="BL156" i="34" s="1"/>
  <c r="BM98" i="36"/>
  <c r="BM156" i="34" s="1"/>
  <c r="BN98" i="36"/>
  <c r="BN156" i="34" s="1"/>
  <c r="BO98" i="36"/>
  <c r="BO156" i="34" s="1"/>
  <c r="BP98" i="36"/>
  <c r="BP156" i="34" s="1"/>
  <c r="H97" i="36"/>
  <c r="B6" i="46"/>
  <c r="BM48" i="45" l="1"/>
  <c r="BE48" i="45"/>
  <c r="AW48" i="45"/>
  <c r="AO48" i="45"/>
  <c r="BN48" i="45"/>
  <c r="AI48" i="45"/>
  <c r="BI48" i="45"/>
  <c r="BA48" i="45"/>
  <c r="AS48" i="45"/>
  <c r="AK48" i="45"/>
  <c r="BL48" i="45"/>
  <c r="BH48" i="45"/>
  <c r="BD48" i="45"/>
  <c r="AZ48" i="45"/>
  <c r="AV48" i="45"/>
  <c r="AR48" i="45"/>
  <c r="AN48" i="45"/>
  <c r="AJ48" i="45"/>
  <c r="H155" i="34"/>
  <c r="F48" i="45" s="1"/>
  <c r="H133" i="34"/>
  <c r="BK48" i="45"/>
  <c r="BG48" i="45"/>
  <c r="BC48" i="45"/>
  <c r="AY48" i="45"/>
  <c r="AU48" i="45"/>
  <c r="AQ48" i="45"/>
  <c r="AM48" i="45"/>
  <c r="BJ48" i="45"/>
  <c r="BF48" i="45"/>
  <c r="BB48" i="45"/>
  <c r="AX48" i="45"/>
  <c r="AT48" i="45"/>
  <c r="AP48" i="45"/>
  <c r="AL48" i="45"/>
  <c r="AH48" i="45"/>
  <c r="AJ232" i="51"/>
  <c r="AI232" i="51"/>
  <c r="AH232" i="51"/>
  <c r="AG232" i="51"/>
  <c r="AF232" i="51"/>
  <c r="AE232" i="51"/>
  <c r="AD232" i="51"/>
  <c r="AC232" i="51"/>
  <c r="AB232" i="51"/>
  <c r="AA232" i="51"/>
  <c r="Z232" i="51"/>
  <c r="Y232" i="51"/>
  <c r="X232" i="51"/>
  <c r="W232" i="51"/>
  <c r="V232" i="51"/>
  <c r="U232" i="51"/>
  <c r="T232" i="51"/>
  <c r="S232" i="51"/>
  <c r="R232" i="51"/>
  <c r="Q232" i="51"/>
  <c r="P232" i="51"/>
  <c r="O232" i="51"/>
  <c r="N232" i="51"/>
  <c r="M232" i="51"/>
  <c r="L232" i="51"/>
  <c r="K232" i="51"/>
  <c r="J232" i="51"/>
  <c r="I232" i="51"/>
  <c r="H232" i="51"/>
  <c r="G232" i="51"/>
  <c r="F232" i="51"/>
  <c r="E232" i="51"/>
  <c r="D232" i="51"/>
  <c r="C232" i="51"/>
  <c r="AJ220" i="51"/>
  <c r="AI220" i="51"/>
  <c r="AH220" i="51"/>
  <c r="AG220" i="51"/>
  <c r="AF220" i="51"/>
  <c r="AE220" i="51"/>
  <c r="AD220" i="51"/>
  <c r="AC220" i="51"/>
  <c r="AB220" i="51"/>
  <c r="AA220" i="51"/>
  <c r="Z220" i="51"/>
  <c r="Y220" i="51"/>
  <c r="X220" i="51"/>
  <c r="W220" i="51"/>
  <c r="V220" i="51"/>
  <c r="U220" i="51"/>
  <c r="T220" i="51"/>
  <c r="S220" i="51"/>
  <c r="R220" i="51"/>
  <c r="Q220" i="51"/>
  <c r="P220" i="51"/>
  <c r="O220" i="51"/>
  <c r="N220" i="51"/>
  <c r="M220" i="51"/>
  <c r="L220" i="51"/>
  <c r="K220" i="51"/>
  <c r="J220" i="51"/>
  <c r="I220" i="51"/>
  <c r="H220" i="51"/>
  <c r="G220" i="51"/>
  <c r="F220" i="51"/>
  <c r="E220" i="51"/>
  <c r="D220" i="51"/>
  <c r="C220" i="51"/>
  <c r="AJ208" i="51"/>
  <c r="AI208" i="51"/>
  <c r="AH208" i="51"/>
  <c r="AG208" i="51"/>
  <c r="AF208" i="51"/>
  <c r="AE208" i="51"/>
  <c r="AD208" i="51"/>
  <c r="AC208" i="51"/>
  <c r="AB208" i="51"/>
  <c r="AA208" i="51"/>
  <c r="Z208" i="51"/>
  <c r="Y208" i="51"/>
  <c r="X208" i="51"/>
  <c r="W208" i="51"/>
  <c r="V208" i="51"/>
  <c r="U208" i="51"/>
  <c r="T208" i="51"/>
  <c r="S208" i="51"/>
  <c r="R208" i="51"/>
  <c r="Q208" i="51"/>
  <c r="P208" i="51"/>
  <c r="O208" i="51"/>
  <c r="N208" i="51"/>
  <c r="M208" i="51"/>
  <c r="L208" i="51"/>
  <c r="K208" i="51"/>
  <c r="J208" i="51"/>
  <c r="I208" i="51"/>
  <c r="H208" i="51"/>
  <c r="G208" i="51"/>
  <c r="F208" i="51"/>
  <c r="E208" i="51"/>
  <c r="D208" i="51"/>
  <c r="C208" i="51"/>
  <c r="AJ196" i="51"/>
  <c r="AI196" i="51"/>
  <c r="AH196" i="51"/>
  <c r="AG196" i="51"/>
  <c r="AF196" i="51"/>
  <c r="AE196" i="51"/>
  <c r="AD196" i="51"/>
  <c r="AC196" i="51"/>
  <c r="AB196" i="51"/>
  <c r="AA196" i="51"/>
  <c r="Z196" i="51"/>
  <c r="Y196" i="51"/>
  <c r="X196" i="51"/>
  <c r="W196" i="51"/>
  <c r="V196" i="51"/>
  <c r="U196" i="51"/>
  <c r="T196" i="51"/>
  <c r="S196" i="51"/>
  <c r="R196" i="51"/>
  <c r="Q196" i="51"/>
  <c r="P196" i="51"/>
  <c r="O196" i="51"/>
  <c r="N196" i="51"/>
  <c r="M196" i="51"/>
  <c r="L196" i="51"/>
  <c r="K196" i="51"/>
  <c r="J196" i="51"/>
  <c r="I196" i="51"/>
  <c r="H196" i="51"/>
  <c r="G196" i="51"/>
  <c r="F196" i="51"/>
  <c r="E196" i="51"/>
  <c r="D196" i="51"/>
  <c r="C196" i="51"/>
  <c r="AJ183" i="51"/>
  <c r="AI183" i="51"/>
  <c r="AH183" i="51"/>
  <c r="AG183" i="51"/>
  <c r="AF183" i="51"/>
  <c r="AE183" i="51"/>
  <c r="AD183" i="51"/>
  <c r="AC183" i="51"/>
  <c r="AB183" i="51"/>
  <c r="AA183" i="51"/>
  <c r="Z183" i="51"/>
  <c r="Y183" i="51"/>
  <c r="X183" i="51"/>
  <c r="W183" i="51"/>
  <c r="V183" i="51"/>
  <c r="U183" i="51"/>
  <c r="T183" i="51"/>
  <c r="S183" i="51"/>
  <c r="R183" i="51"/>
  <c r="Q183" i="51"/>
  <c r="P183" i="51"/>
  <c r="O183" i="51"/>
  <c r="N183" i="51"/>
  <c r="M183" i="51"/>
  <c r="L183" i="51"/>
  <c r="K183" i="51"/>
  <c r="J183" i="51"/>
  <c r="I183" i="51"/>
  <c r="H183" i="51"/>
  <c r="G183" i="51"/>
  <c r="F183" i="51"/>
  <c r="E183" i="51"/>
  <c r="D183" i="51"/>
  <c r="C183" i="51"/>
  <c r="AJ171" i="51"/>
  <c r="AI171" i="51"/>
  <c r="AH171" i="51"/>
  <c r="AG171" i="51"/>
  <c r="AF171" i="51"/>
  <c r="AE171" i="51"/>
  <c r="AD171" i="51"/>
  <c r="AC171" i="51"/>
  <c r="AB171" i="51"/>
  <c r="AA171" i="51"/>
  <c r="Z171" i="51"/>
  <c r="Y171" i="51"/>
  <c r="X171" i="51"/>
  <c r="W171" i="51"/>
  <c r="V171" i="51"/>
  <c r="U171" i="51"/>
  <c r="T171" i="51"/>
  <c r="S171" i="51"/>
  <c r="R171" i="51"/>
  <c r="Q171" i="51"/>
  <c r="P171" i="51"/>
  <c r="O171" i="51"/>
  <c r="N171" i="51"/>
  <c r="M171" i="51"/>
  <c r="L171" i="51"/>
  <c r="K171" i="51"/>
  <c r="J171" i="51"/>
  <c r="I171" i="51"/>
  <c r="H171" i="51"/>
  <c r="G171" i="51"/>
  <c r="F171" i="51"/>
  <c r="E171" i="51"/>
  <c r="D171" i="51"/>
  <c r="C171" i="51"/>
  <c r="AJ158" i="51"/>
  <c r="AI158" i="51"/>
  <c r="AH158" i="51"/>
  <c r="AG158" i="51"/>
  <c r="AF158" i="51"/>
  <c r="AE158" i="51"/>
  <c r="AD158" i="51"/>
  <c r="AC158" i="51"/>
  <c r="AB158" i="51"/>
  <c r="AA158" i="51"/>
  <c r="Z158" i="51"/>
  <c r="Y158" i="51"/>
  <c r="X158" i="51"/>
  <c r="W158" i="51"/>
  <c r="V158" i="51"/>
  <c r="U158" i="51"/>
  <c r="T158" i="51"/>
  <c r="S158" i="51"/>
  <c r="R158" i="51"/>
  <c r="Q158" i="51"/>
  <c r="P158" i="51"/>
  <c r="O158" i="51"/>
  <c r="N158" i="51"/>
  <c r="M158" i="51"/>
  <c r="L158" i="51"/>
  <c r="K158" i="51"/>
  <c r="J158" i="51"/>
  <c r="I158" i="51"/>
  <c r="H158" i="51"/>
  <c r="G158" i="51"/>
  <c r="F158" i="51"/>
  <c r="E158" i="51"/>
  <c r="D158" i="51"/>
  <c r="C158" i="51"/>
  <c r="AJ146" i="51"/>
  <c r="AI146" i="51"/>
  <c r="AH146" i="51"/>
  <c r="AG146" i="51"/>
  <c r="AF146" i="51"/>
  <c r="AE146" i="51"/>
  <c r="AD146" i="51"/>
  <c r="AC146" i="51"/>
  <c r="AB146" i="51"/>
  <c r="AA146" i="51"/>
  <c r="Z146" i="51"/>
  <c r="Y146" i="51"/>
  <c r="X146" i="51"/>
  <c r="W146" i="51"/>
  <c r="V146" i="51"/>
  <c r="U146" i="51"/>
  <c r="T146" i="51"/>
  <c r="S146" i="51"/>
  <c r="R146" i="51"/>
  <c r="Q146" i="51"/>
  <c r="P146" i="51"/>
  <c r="O146" i="51"/>
  <c r="N146" i="51"/>
  <c r="M146" i="51"/>
  <c r="L146" i="51"/>
  <c r="K146" i="51"/>
  <c r="J146" i="51"/>
  <c r="I146" i="51"/>
  <c r="H146" i="51"/>
  <c r="G146" i="51"/>
  <c r="F146" i="51"/>
  <c r="E146" i="51"/>
  <c r="D146" i="51"/>
  <c r="C146" i="51"/>
  <c r="AJ133" i="51"/>
  <c r="AI133" i="51"/>
  <c r="AH133" i="51"/>
  <c r="AG133" i="51"/>
  <c r="AF133" i="51"/>
  <c r="AE133" i="51"/>
  <c r="AD133" i="51"/>
  <c r="AC133" i="51"/>
  <c r="AB133" i="51"/>
  <c r="AA133" i="51"/>
  <c r="Z133" i="51"/>
  <c r="Y133" i="51"/>
  <c r="X133" i="51"/>
  <c r="W133" i="51"/>
  <c r="V133" i="51"/>
  <c r="U133" i="51"/>
  <c r="T133" i="51"/>
  <c r="S133" i="51"/>
  <c r="R133" i="51"/>
  <c r="Q133" i="51"/>
  <c r="P133" i="51"/>
  <c r="O133" i="51"/>
  <c r="N133" i="51"/>
  <c r="M133" i="51"/>
  <c r="L133" i="51"/>
  <c r="K133" i="51"/>
  <c r="J133" i="51"/>
  <c r="I133" i="51"/>
  <c r="H133" i="51"/>
  <c r="G133" i="51"/>
  <c r="F133" i="51"/>
  <c r="E133" i="51"/>
  <c r="D133" i="51"/>
  <c r="C133" i="51"/>
  <c r="AJ121" i="51"/>
  <c r="AI121" i="51"/>
  <c r="AH121" i="51"/>
  <c r="AG121" i="51"/>
  <c r="AF121" i="51"/>
  <c r="AE121" i="51"/>
  <c r="AD121" i="51"/>
  <c r="AC121" i="51"/>
  <c r="AB121" i="51"/>
  <c r="AA121" i="51"/>
  <c r="Z121" i="51"/>
  <c r="Y121" i="51"/>
  <c r="X121" i="51"/>
  <c r="W121" i="51"/>
  <c r="V121" i="51"/>
  <c r="U121" i="51"/>
  <c r="T121" i="51"/>
  <c r="S121" i="51"/>
  <c r="R121" i="51"/>
  <c r="Q121" i="51"/>
  <c r="P121" i="51"/>
  <c r="O121" i="51"/>
  <c r="N121" i="51"/>
  <c r="M121" i="51"/>
  <c r="L121" i="51"/>
  <c r="K121" i="51"/>
  <c r="J121" i="51"/>
  <c r="I121" i="51"/>
  <c r="H121" i="51"/>
  <c r="G121" i="51"/>
  <c r="F121" i="51"/>
  <c r="E121" i="51"/>
  <c r="D121" i="51"/>
  <c r="C121" i="51"/>
  <c r="AJ108" i="51"/>
  <c r="AI108" i="51"/>
  <c r="AH108" i="51"/>
  <c r="AG108" i="51"/>
  <c r="AF108" i="51"/>
  <c r="AE108" i="51"/>
  <c r="AD108" i="51"/>
  <c r="AC108" i="51"/>
  <c r="AB108" i="51"/>
  <c r="AA108" i="51"/>
  <c r="Z108" i="51"/>
  <c r="Y108" i="51"/>
  <c r="X108" i="51"/>
  <c r="W108" i="51"/>
  <c r="V108" i="51"/>
  <c r="U108" i="51"/>
  <c r="T108" i="51"/>
  <c r="S108" i="51"/>
  <c r="R108" i="51"/>
  <c r="Q108" i="51"/>
  <c r="P108" i="51"/>
  <c r="O108" i="51"/>
  <c r="N108" i="51"/>
  <c r="M108" i="51"/>
  <c r="L108" i="51"/>
  <c r="K108" i="51"/>
  <c r="J108" i="51"/>
  <c r="I108" i="51"/>
  <c r="H108" i="51"/>
  <c r="G108" i="51"/>
  <c r="F108" i="51"/>
  <c r="E108" i="51"/>
  <c r="D108" i="51"/>
  <c r="C108" i="51"/>
  <c r="AJ84" i="51"/>
  <c r="AI84" i="51"/>
  <c r="AH84" i="51"/>
  <c r="AG84" i="51"/>
  <c r="AF84" i="51"/>
  <c r="AE84" i="51"/>
  <c r="AD84" i="51"/>
  <c r="AC84" i="51"/>
  <c r="AB84" i="51"/>
  <c r="AA84" i="51"/>
  <c r="Z84" i="51"/>
  <c r="Y84" i="51"/>
  <c r="X84" i="51"/>
  <c r="W84" i="51"/>
  <c r="V84" i="51"/>
  <c r="U84" i="51"/>
  <c r="T84" i="51"/>
  <c r="S84" i="51"/>
  <c r="R84" i="51"/>
  <c r="Q84" i="51"/>
  <c r="P84" i="51"/>
  <c r="O84" i="51"/>
  <c r="N84" i="51"/>
  <c r="M84" i="51"/>
  <c r="L84" i="51"/>
  <c r="K84" i="51"/>
  <c r="J84" i="51"/>
  <c r="I84" i="51"/>
  <c r="H84" i="51"/>
  <c r="G84" i="51"/>
  <c r="F84" i="51"/>
  <c r="E84" i="51"/>
  <c r="D84" i="51"/>
  <c r="C84" i="51"/>
  <c r="AJ72" i="51"/>
  <c r="AI72" i="51"/>
  <c r="AH72"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J60" i="51"/>
  <c r="AI60" i="51"/>
  <c r="AH60"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J47" i="51"/>
  <c r="AI47" i="51"/>
  <c r="AH47"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J35" i="51"/>
  <c r="AI35" i="51"/>
  <c r="AH35"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D23" i="51"/>
  <c r="E23" i="51"/>
  <c r="F23" i="51"/>
  <c r="G23" i="51"/>
  <c r="H23" i="51"/>
  <c r="I23" i="51"/>
  <c r="J23" i="51"/>
  <c r="K23" i="51"/>
  <c r="L23" i="51"/>
  <c r="M23" i="51"/>
  <c r="N23" i="51"/>
  <c r="O23" i="51"/>
  <c r="P23" i="51"/>
  <c r="Q23" i="51"/>
  <c r="R23" i="51"/>
  <c r="S23" i="51"/>
  <c r="T23" i="51"/>
  <c r="U23" i="51"/>
  <c r="V23" i="51"/>
  <c r="W23" i="51"/>
  <c r="X23" i="51"/>
  <c r="Y23" i="51"/>
  <c r="Z23" i="51"/>
  <c r="AA23" i="51"/>
  <c r="AB23" i="51"/>
  <c r="AC23" i="51"/>
  <c r="AD23" i="51"/>
  <c r="AE23" i="51"/>
  <c r="AF23" i="51"/>
  <c r="AG23" i="51"/>
  <c r="AH23" i="51"/>
  <c r="AI23" i="51"/>
  <c r="AJ23" i="51"/>
  <c r="C23" i="51"/>
  <c r="AJ54" i="33"/>
  <c r="AK54" i="33"/>
  <c r="AL54" i="33"/>
  <c r="AM54" i="33"/>
  <c r="AN54" i="33"/>
  <c r="AO54" i="33"/>
  <c r="AJ55" i="33"/>
  <c r="AK55" i="33"/>
  <c r="AL55" i="33"/>
  <c r="AM55" i="33"/>
  <c r="AN55" i="33"/>
  <c r="AO55" i="33"/>
  <c r="AJ56" i="33"/>
  <c r="AK56" i="33"/>
  <c r="AL56" i="33"/>
  <c r="AM56" i="33"/>
  <c r="AN56" i="33"/>
  <c r="AO56" i="33"/>
  <c r="AJ57" i="33"/>
  <c r="AK57" i="33"/>
  <c r="AL57" i="33"/>
  <c r="AM57" i="33"/>
  <c r="AN57" i="33"/>
  <c r="AO57" i="33"/>
  <c r="AJ58" i="33"/>
  <c r="AK58" i="33"/>
  <c r="AL58" i="33"/>
  <c r="AM58" i="33"/>
  <c r="AN58" i="33"/>
  <c r="AO58" i="33"/>
  <c r="AJ59" i="33"/>
  <c r="AK59" i="33"/>
  <c r="AL59" i="33"/>
  <c r="AM59" i="33"/>
  <c r="AN59" i="33"/>
  <c r="AO59" i="33"/>
  <c r="AJ60" i="33"/>
  <c r="AK60" i="33"/>
  <c r="AL60" i="33"/>
  <c r="AM60" i="33"/>
  <c r="AN60" i="33"/>
  <c r="AO60" i="33"/>
  <c r="AJ61" i="33"/>
  <c r="AK61" i="33"/>
  <c r="AL61" i="33"/>
  <c r="AM61" i="33"/>
  <c r="AN61" i="33"/>
  <c r="AO61" i="33"/>
  <c r="AJ62" i="33"/>
  <c r="AK62" i="33"/>
  <c r="AL62" i="33"/>
  <c r="AM62" i="33"/>
  <c r="AN62" i="33"/>
  <c r="AO62" i="33"/>
  <c r="AJ63" i="33"/>
  <c r="AK63" i="33"/>
  <c r="AL63" i="33"/>
  <c r="AM63" i="33"/>
  <c r="AN63" i="33"/>
  <c r="AO63" i="33"/>
  <c r="AJ64" i="33"/>
  <c r="AK64" i="33"/>
  <c r="AL64" i="33"/>
  <c r="AM64" i="33"/>
  <c r="AN64" i="33"/>
  <c r="AO64" i="33"/>
  <c r="AJ65" i="33"/>
  <c r="BK47" i="34" s="1"/>
  <c r="AK65" i="33"/>
  <c r="BL47" i="34" s="1"/>
  <c r="AL65" i="33"/>
  <c r="BM47" i="34" s="1"/>
  <c r="AM65" i="33"/>
  <c r="BN47" i="34" s="1"/>
  <c r="AN65" i="33"/>
  <c r="BO47" i="34" s="1"/>
  <c r="AO65" i="33"/>
  <c r="BP47" i="34" s="1"/>
  <c r="AJ66" i="33"/>
  <c r="AK66" i="33"/>
  <c r="AL66" i="33"/>
  <c r="AM66" i="33"/>
  <c r="AN66" i="33"/>
  <c r="AO66" i="33"/>
  <c r="AJ67" i="33"/>
  <c r="AK67" i="33"/>
  <c r="AL67" i="33"/>
  <c r="AM67" i="33"/>
  <c r="AN67" i="33"/>
  <c r="AO67" i="33"/>
  <c r="AJ68" i="33"/>
  <c r="AK68" i="33"/>
  <c r="AL68" i="33"/>
  <c r="AM68" i="33"/>
  <c r="AN68" i="33"/>
  <c r="AO68" i="33"/>
  <c r="AJ69" i="33"/>
  <c r="AK69" i="33"/>
  <c r="AL69" i="33"/>
  <c r="AM69" i="33"/>
  <c r="AN69" i="33"/>
  <c r="AO69" i="33"/>
  <c r="AJ70" i="33"/>
  <c r="AK70" i="33"/>
  <c r="AL70" i="33"/>
  <c r="AM70" i="33"/>
  <c r="AN70" i="33"/>
  <c r="AO70" i="33"/>
  <c r="AJ71" i="33"/>
  <c r="AK71" i="33"/>
  <c r="AL71" i="33"/>
  <c r="AM71" i="33"/>
  <c r="AN71" i="33"/>
  <c r="AO71" i="33"/>
  <c r="I54" i="33"/>
  <c r="J54" i="33"/>
  <c r="K54" i="33"/>
  <c r="L54" i="33"/>
  <c r="M54" i="33"/>
  <c r="N54" i="33"/>
  <c r="O54" i="33"/>
  <c r="P54" i="33"/>
  <c r="Q54" i="33"/>
  <c r="R54" i="33"/>
  <c r="S54" i="33"/>
  <c r="T54" i="33"/>
  <c r="U54" i="33"/>
  <c r="V54" i="33"/>
  <c r="W54" i="33"/>
  <c r="X54" i="33"/>
  <c r="Y54" i="33"/>
  <c r="Z54" i="33"/>
  <c r="AA54" i="33"/>
  <c r="AB54" i="33"/>
  <c r="AC54" i="33"/>
  <c r="AD54" i="33"/>
  <c r="AE54" i="33"/>
  <c r="AF54" i="33"/>
  <c r="AG54" i="33"/>
  <c r="AH54" i="33"/>
  <c r="AI54" i="33"/>
  <c r="I55" i="33"/>
  <c r="J55" i="33"/>
  <c r="K55" i="33"/>
  <c r="L55" i="33"/>
  <c r="M55" i="33"/>
  <c r="N55" i="33"/>
  <c r="O55" i="33"/>
  <c r="P55" i="33"/>
  <c r="Q55" i="33"/>
  <c r="R55" i="33"/>
  <c r="S55" i="33"/>
  <c r="T55" i="33"/>
  <c r="U55" i="33"/>
  <c r="V55" i="33"/>
  <c r="W55" i="33"/>
  <c r="X55" i="33"/>
  <c r="Y55" i="33"/>
  <c r="Z55" i="33"/>
  <c r="AA55" i="33"/>
  <c r="AB55" i="33"/>
  <c r="AC55" i="33"/>
  <c r="AD55" i="33"/>
  <c r="AE55" i="33"/>
  <c r="AF55" i="33"/>
  <c r="AG55" i="33"/>
  <c r="AH55" i="33"/>
  <c r="AI55" i="33"/>
  <c r="I56" i="33"/>
  <c r="J56" i="33"/>
  <c r="K56" i="33"/>
  <c r="L56" i="33"/>
  <c r="M56" i="33"/>
  <c r="N56" i="33"/>
  <c r="O56" i="33"/>
  <c r="P56" i="33"/>
  <c r="Q56" i="33"/>
  <c r="R56" i="33"/>
  <c r="S56" i="33"/>
  <c r="T56" i="33"/>
  <c r="U56" i="33"/>
  <c r="V56" i="33"/>
  <c r="W56" i="33"/>
  <c r="X56" i="33"/>
  <c r="Y56" i="33"/>
  <c r="Z56" i="33"/>
  <c r="AA56" i="33"/>
  <c r="AB56" i="33"/>
  <c r="AC56" i="33"/>
  <c r="AD56" i="33"/>
  <c r="AE56" i="33"/>
  <c r="AF56" i="33"/>
  <c r="AG56" i="33"/>
  <c r="AH56" i="33"/>
  <c r="AI56" i="33"/>
  <c r="I57" i="33"/>
  <c r="J57" i="33"/>
  <c r="K57" i="33"/>
  <c r="L57" i="33"/>
  <c r="M57" i="33"/>
  <c r="N57" i="33"/>
  <c r="O57" i="33"/>
  <c r="P57" i="33"/>
  <c r="Q57" i="33"/>
  <c r="R57" i="33"/>
  <c r="S57" i="33"/>
  <c r="T57" i="33"/>
  <c r="U57" i="33"/>
  <c r="V57" i="33"/>
  <c r="W57" i="33"/>
  <c r="X57" i="33"/>
  <c r="Y57" i="33"/>
  <c r="Z57" i="33"/>
  <c r="AA57" i="33"/>
  <c r="AB57" i="33"/>
  <c r="AC57" i="33"/>
  <c r="AD57" i="33"/>
  <c r="AE57" i="33"/>
  <c r="AF57" i="33"/>
  <c r="AG57" i="33"/>
  <c r="AH57" i="33"/>
  <c r="AI57" i="33"/>
  <c r="I58" i="33"/>
  <c r="J58" i="33"/>
  <c r="K58" i="33"/>
  <c r="L58" i="33"/>
  <c r="M58" i="33"/>
  <c r="N58" i="33"/>
  <c r="O58" i="33"/>
  <c r="P58" i="33"/>
  <c r="Q58" i="33"/>
  <c r="R58" i="33"/>
  <c r="S58" i="33"/>
  <c r="T58" i="33"/>
  <c r="U58" i="33"/>
  <c r="V58" i="33"/>
  <c r="W58" i="33"/>
  <c r="X58" i="33"/>
  <c r="Y58" i="33"/>
  <c r="Z58" i="33"/>
  <c r="AA58" i="33"/>
  <c r="AB58" i="33"/>
  <c r="AC58" i="33"/>
  <c r="AD58" i="33"/>
  <c r="AE58" i="33"/>
  <c r="AF58" i="33"/>
  <c r="AG58" i="33"/>
  <c r="AH58" i="33"/>
  <c r="AI58" i="33"/>
  <c r="I59" i="33"/>
  <c r="J59" i="33"/>
  <c r="K59" i="33"/>
  <c r="L59" i="33"/>
  <c r="M59" i="33"/>
  <c r="N59" i="33"/>
  <c r="O59" i="33"/>
  <c r="P59" i="33"/>
  <c r="Q59" i="33"/>
  <c r="R59" i="33"/>
  <c r="S59" i="33"/>
  <c r="T59" i="33"/>
  <c r="U59" i="33"/>
  <c r="V59" i="33"/>
  <c r="W59" i="33"/>
  <c r="X59" i="33"/>
  <c r="Y59" i="33"/>
  <c r="Z59" i="33"/>
  <c r="AA59" i="33"/>
  <c r="AB59" i="33"/>
  <c r="AC59" i="33"/>
  <c r="AD59" i="33"/>
  <c r="AE59" i="33"/>
  <c r="AF59" i="33"/>
  <c r="AG59" i="33"/>
  <c r="AH59" i="33"/>
  <c r="AI59" i="33"/>
  <c r="I60" i="33"/>
  <c r="J60" i="33"/>
  <c r="K60" i="33"/>
  <c r="L60" i="33"/>
  <c r="M60" i="33"/>
  <c r="N60" i="33"/>
  <c r="O60" i="33"/>
  <c r="P60" i="33"/>
  <c r="Q60" i="33"/>
  <c r="R60" i="33"/>
  <c r="S60" i="33"/>
  <c r="T60" i="33"/>
  <c r="U60" i="33"/>
  <c r="V60" i="33"/>
  <c r="W60" i="33"/>
  <c r="X60" i="33"/>
  <c r="Y60" i="33"/>
  <c r="Z60" i="33"/>
  <c r="AA60" i="33"/>
  <c r="AB60" i="33"/>
  <c r="AC60" i="33"/>
  <c r="AD60" i="33"/>
  <c r="AE60" i="33"/>
  <c r="AF60" i="33"/>
  <c r="AG60" i="33"/>
  <c r="AH60" i="33"/>
  <c r="AI60" i="33"/>
  <c r="I61" i="33"/>
  <c r="J61" i="33"/>
  <c r="K61" i="33"/>
  <c r="L61" i="33"/>
  <c r="M61" i="33"/>
  <c r="N61" i="33"/>
  <c r="O61" i="33"/>
  <c r="P61" i="33"/>
  <c r="Q61" i="33"/>
  <c r="R61" i="33"/>
  <c r="S61" i="33"/>
  <c r="T61" i="33"/>
  <c r="U61" i="33"/>
  <c r="V61" i="33"/>
  <c r="W61" i="33"/>
  <c r="X61" i="33"/>
  <c r="Y61" i="33"/>
  <c r="Z61" i="33"/>
  <c r="AA61" i="33"/>
  <c r="AB61" i="33"/>
  <c r="AC61" i="33"/>
  <c r="AD61" i="33"/>
  <c r="AE61" i="33"/>
  <c r="AF61" i="33"/>
  <c r="AG61" i="33"/>
  <c r="AH61" i="33"/>
  <c r="AI61" i="33"/>
  <c r="I62" i="33"/>
  <c r="J62" i="33"/>
  <c r="K62" i="33"/>
  <c r="L62" i="33"/>
  <c r="M62" i="33"/>
  <c r="N62" i="33"/>
  <c r="O62" i="33"/>
  <c r="P62" i="33"/>
  <c r="Q62" i="33"/>
  <c r="R62" i="33"/>
  <c r="S62" i="33"/>
  <c r="T62" i="33"/>
  <c r="U62" i="33"/>
  <c r="V62" i="33"/>
  <c r="W62" i="33"/>
  <c r="X62" i="33"/>
  <c r="Y62" i="33"/>
  <c r="Z62" i="33"/>
  <c r="AA62" i="33"/>
  <c r="AB62" i="33"/>
  <c r="AC62" i="33"/>
  <c r="AD62" i="33"/>
  <c r="AE62" i="33"/>
  <c r="AF62" i="33"/>
  <c r="AG62" i="33"/>
  <c r="AH62" i="33"/>
  <c r="AI62" i="33"/>
  <c r="I63" i="33"/>
  <c r="J63" i="33"/>
  <c r="K63" i="33"/>
  <c r="L63" i="33"/>
  <c r="M63" i="33"/>
  <c r="N63" i="33"/>
  <c r="O63" i="33"/>
  <c r="P63" i="33"/>
  <c r="Q63" i="33"/>
  <c r="R63" i="33"/>
  <c r="S63" i="33"/>
  <c r="T63" i="33"/>
  <c r="U63" i="33"/>
  <c r="V63" i="33"/>
  <c r="W63" i="33"/>
  <c r="X63" i="33"/>
  <c r="Y63" i="33"/>
  <c r="Z63" i="33"/>
  <c r="AA63" i="33"/>
  <c r="AB63" i="33"/>
  <c r="AC63" i="33"/>
  <c r="AD63" i="33"/>
  <c r="AE63" i="33"/>
  <c r="AF63" i="33"/>
  <c r="AG63" i="33"/>
  <c r="AH63" i="33"/>
  <c r="AI63" i="33"/>
  <c r="I64" i="33"/>
  <c r="J64" i="33"/>
  <c r="K64" i="33"/>
  <c r="L64" i="33"/>
  <c r="M64" i="33"/>
  <c r="N64" i="33"/>
  <c r="O64" i="33"/>
  <c r="P64" i="33"/>
  <c r="Q64" i="33"/>
  <c r="R64" i="33"/>
  <c r="S64" i="33"/>
  <c r="T64" i="33"/>
  <c r="U64" i="33"/>
  <c r="V64" i="33"/>
  <c r="W64" i="33"/>
  <c r="X64" i="33"/>
  <c r="Y64" i="33"/>
  <c r="Z64" i="33"/>
  <c r="AA64" i="33"/>
  <c r="AB64" i="33"/>
  <c r="AC64" i="33"/>
  <c r="AD64" i="33"/>
  <c r="AE64" i="33"/>
  <c r="AF64" i="33"/>
  <c r="AG64" i="33"/>
  <c r="AH64" i="33"/>
  <c r="AI64" i="33"/>
  <c r="I65" i="33"/>
  <c r="AJ47" i="34" s="1"/>
  <c r="J65" i="33"/>
  <c r="AK47" i="34" s="1"/>
  <c r="K65" i="33"/>
  <c r="AL47" i="34" s="1"/>
  <c r="L65" i="33"/>
  <c r="AM47" i="34" s="1"/>
  <c r="M65" i="33"/>
  <c r="AN47" i="34" s="1"/>
  <c r="N65" i="33"/>
  <c r="AO47" i="34" s="1"/>
  <c r="O65" i="33"/>
  <c r="AP47" i="34" s="1"/>
  <c r="P65" i="33"/>
  <c r="AQ47" i="34" s="1"/>
  <c r="Q65" i="33"/>
  <c r="AR47" i="34" s="1"/>
  <c r="R65" i="33"/>
  <c r="AS47" i="34" s="1"/>
  <c r="S65" i="33"/>
  <c r="AT47" i="34" s="1"/>
  <c r="T65" i="33"/>
  <c r="AU47" i="34" s="1"/>
  <c r="U65" i="33"/>
  <c r="AV47" i="34" s="1"/>
  <c r="V65" i="33"/>
  <c r="AW47" i="34" s="1"/>
  <c r="W65" i="33"/>
  <c r="AX47" i="34" s="1"/>
  <c r="X65" i="33"/>
  <c r="AY47" i="34" s="1"/>
  <c r="Y65" i="33"/>
  <c r="AZ47" i="34" s="1"/>
  <c r="Z65" i="33"/>
  <c r="BA47" i="34" s="1"/>
  <c r="AA65" i="33"/>
  <c r="BB47" i="34" s="1"/>
  <c r="AB65" i="33"/>
  <c r="BC47" i="34" s="1"/>
  <c r="AC65" i="33"/>
  <c r="BD47" i="34" s="1"/>
  <c r="AD65" i="33"/>
  <c r="BE47" i="34" s="1"/>
  <c r="AE65" i="33"/>
  <c r="BF47" i="34" s="1"/>
  <c r="AF65" i="33"/>
  <c r="BG47" i="34" s="1"/>
  <c r="AG65" i="33"/>
  <c r="BH47" i="34" s="1"/>
  <c r="AH65" i="33"/>
  <c r="BI47" i="34" s="1"/>
  <c r="AI65" i="33"/>
  <c r="BJ47" i="34" s="1"/>
  <c r="I66" i="33"/>
  <c r="J66" i="33"/>
  <c r="K66" i="33"/>
  <c r="L66" i="33"/>
  <c r="M66" i="33"/>
  <c r="N66" i="33"/>
  <c r="O66" i="33"/>
  <c r="P66" i="33"/>
  <c r="Q66" i="33"/>
  <c r="R66" i="33"/>
  <c r="S66" i="33"/>
  <c r="T66" i="33"/>
  <c r="U66" i="33"/>
  <c r="V66" i="33"/>
  <c r="W66" i="33"/>
  <c r="X66" i="33"/>
  <c r="Y66" i="33"/>
  <c r="Z66" i="33"/>
  <c r="AA66" i="33"/>
  <c r="AB66" i="33"/>
  <c r="AC66" i="33"/>
  <c r="AD66" i="33"/>
  <c r="AE66" i="33"/>
  <c r="AF66" i="33"/>
  <c r="AG66" i="33"/>
  <c r="AH66" i="33"/>
  <c r="AI66" i="33"/>
  <c r="I67" i="33"/>
  <c r="J67" i="33"/>
  <c r="K67" i="33"/>
  <c r="L67" i="33"/>
  <c r="M67" i="33"/>
  <c r="N67" i="33"/>
  <c r="O67" i="33"/>
  <c r="P67" i="33"/>
  <c r="Q67" i="33"/>
  <c r="R67" i="33"/>
  <c r="S67" i="33"/>
  <c r="T67" i="33"/>
  <c r="U67" i="33"/>
  <c r="V67" i="33"/>
  <c r="W67" i="33"/>
  <c r="X67" i="33"/>
  <c r="Y67" i="33"/>
  <c r="Z67" i="33"/>
  <c r="AA67" i="33"/>
  <c r="AB67" i="33"/>
  <c r="AC67" i="33"/>
  <c r="AD67" i="33"/>
  <c r="AE67" i="33"/>
  <c r="AF67" i="33"/>
  <c r="AG67" i="33"/>
  <c r="AH67" i="33"/>
  <c r="AI67" i="33"/>
  <c r="I68" i="33"/>
  <c r="J68" i="33"/>
  <c r="K68" i="33"/>
  <c r="L68" i="33"/>
  <c r="M68" i="33"/>
  <c r="N68" i="33"/>
  <c r="O68" i="33"/>
  <c r="P68" i="33"/>
  <c r="Q68" i="33"/>
  <c r="R68" i="33"/>
  <c r="S68" i="33"/>
  <c r="T68" i="33"/>
  <c r="U68" i="33"/>
  <c r="V68" i="33"/>
  <c r="W68" i="33"/>
  <c r="X68" i="33"/>
  <c r="Y68" i="33"/>
  <c r="Z68" i="33"/>
  <c r="AA68" i="33"/>
  <c r="AB68" i="33"/>
  <c r="AC68" i="33"/>
  <c r="AD68" i="33"/>
  <c r="AE68" i="33"/>
  <c r="AF68" i="33"/>
  <c r="AG68" i="33"/>
  <c r="AH68" i="33"/>
  <c r="AI68" i="33"/>
  <c r="I69" i="33"/>
  <c r="J69" i="33"/>
  <c r="K69" i="33"/>
  <c r="L69" i="33"/>
  <c r="M69" i="33"/>
  <c r="N69" i="33"/>
  <c r="O69" i="33"/>
  <c r="P69" i="33"/>
  <c r="Q69" i="33"/>
  <c r="R69" i="33"/>
  <c r="S69" i="33"/>
  <c r="T69" i="33"/>
  <c r="U69" i="33"/>
  <c r="V69" i="33"/>
  <c r="W69" i="33"/>
  <c r="X69" i="33"/>
  <c r="Y69" i="33"/>
  <c r="Z69" i="33"/>
  <c r="AA69" i="33"/>
  <c r="AB69" i="33"/>
  <c r="AC69" i="33"/>
  <c r="AD69" i="33"/>
  <c r="AE69" i="33"/>
  <c r="AF69" i="33"/>
  <c r="AG69" i="33"/>
  <c r="AH69" i="33"/>
  <c r="AI69" i="33"/>
  <c r="I70" i="33"/>
  <c r="J70" i="33"/>
  <c r="K70" i="33"/>
  <c r="L70" i="33"/>
  <c r="M70" i="33"/>
  <c r="N70" i="33"/>
  <c r="O70" i="33"/>
  <c r="P70" i="33"/>
  <c r="Q70" i="33"/>
  <c r="R70" i="33"/>
  <c r="S70" i="33"/>
  <c r="T70" i="33"/>
  <c r="U70" i="33"/>
  <c r="V70" i="33"/>
  <c r="W70" i="33"/>
  <c r="X70" i="33"/>
  <c r="Y70" i="33"/>
  <c r="Z70" i="33"/>
  <c r="AA70" i="33"/>
  <c r="AB70" i="33"/>
  <c r="AC70" i="33"/>
  <c r="AD70" i="33"/>
  <c r="AE70" i="33"/>
  <c r="AF70" i="33"/>
  <c r="AG70" i="33"/>
  <c r="AH70" i="33"/>
  <c r="AI70" i="33"/>
  <c r="I71" i="33"/>
  <c r="J71" i="33"/>
  <c r="K71" i="33"/>
  <c r="L71" i="33"/>
  <c r="M71" i="33"/>
  <c r="N71" i="33"/>
  <c r="O71" i="33"/>
  <c r="P71" i="33"/>
  <c r="Q71" i="33"/>
  <c r="R71" i="33"/>
  <c r="S71" i="33"/>
  <c r="T71" i="33"/>
  <c r="U71" i="33"/>
  <c r="V71" i="33"/>
  <c r="W71" i="33"/>
  <c r="X71" i="33"/>
  <c r="Y71" i="33"/>
  <c r="Z71" i="33"/>
  <c r="AA71" i="33"/>
  <c r="AB71" i="33"/>
  <c r="AC71" i="33"/>
  <c r="AD71" i="33"/>
  <c r="AE71" i="33"/>
  <c r="AF71" i="33"/>
  <c r="AG71" i="33"/>
  <c r="AH71" i="33"/>
  <c r="AI71" i="33"/>
  <c r="H71" i="33"/>
  <c r="AI53" i="34" s="1"/>
  <c r="H70" i="33"/>
  <c r="AI52" i="34" s="1"/>
  <c r="H69" i="33"/>
  <c r="AI51" i="34" s="1"/>
  <c r="H68" i="33"/>
  <c r="AI50" i="34" s="1"/>
  <c r="H67" i="33"/>
  <c r="AI49" i="34" s="1"/>
  <c r="H66" i="33"/>
  <c r="AI48" i="34" s="1"/>
  <c r="H65" i="33"/>
  <c r="AI47" i="34" s="1"/>
  <c r="H64" i="33"/>
  <c r="AI46" i="34" s="1"/>
  <c r="H63" i="33"/>
  <c r="AI45" i="34" s="1"/>
  <c r="H62" i="33"/>
  <c r="AI44" i="34" s="1"/>
  <c r="H61" i="33" l="1"/>
  <c r="AI43" i="34" s="1"/>
  <c r="H60" i="33"/>
  <c r="AI42" i="34" s="1"/>
  <c r="H59" i="33"/>
  <c r="AI41" i="34" s="1"/>
  <c r="H58" i="33"/>
  <c r="AI40" i="34" s="1"/>
  <c r="H57" i="33"/>
  <c r="AI39" i="34" s="1"/>
  <c r="H56" i="33"/>
  <c r="AI38" i="34" s="1"/>
  <c r="H55" i="33"/>
  <c r="AI37" i="34" s="1"/>
  <c r="H54" i="33"/>
  <c r="AI36" i="34" s="1"/>
  <c r="A82" i="33" l="1"/>
  <c r="B82" i="33"/>
  <c r="C82" i="33"/>
  <c r="E82" i="33"/>
  <c r="F82" i="33"/>
  <c r="G82" i="33"/>
  <c r="D40" i="50"/>
  <c r="E40" i="50"/>
  <c r="F40" i="50"/>
  <c r="G40" i="50"/>
  <c r="H40" i="50"/>
  <c r="I40" i="50"/>
  <c r="J40" i="50"/>
  <c r="K40" i="50"/>
  <c r="L40" i="50"/>
  <c r="M40" i="50"/>
  <c r="N40" i="50"/>
  <c r="O40" i="50"/>
  <c r="P40" i="50"/>
  <c r="Q40" i="50"/>
  <c r="R40" i="50"/>
  <c r="S40" i="50"/>
  <c r="T40" i="50"/>
  <c r="U40" i="50"/>
  <c r="V40" i="50"/>
  <c r="W40" i="50"/>
  <c r="X40" i="50"/>
  <c r="Y40" i="50"/>
  <c r="Z40" i="50"/>
  <c r="AA40" i="50"/>
  <c r="AB40" i="50"/>
  <c r="AC40" i="50"/>
  <c r="AD40" i="50"/>
  <c r="C40" i="50"/>
  <c r="AE42" i="36"/>
  <c r="AF42" i="36" s="1"/>
  <c r="AG42" i="36" s="1"/>
  <c r="AH42" i="36" s="1"/>
  <c r="AI42" i="36" s="1"/>
  <c r="AJ42" i="36" s="1"/>
  <c r="AK42" i="36" s="1"/>
  <c r="AL42" i="36" s="1"/>
  <c r="AM42" i="36" s="1"/>
  <c r="AN42" i="36" s="1"/>
  <c r="AO42" i="36" s="1"/>
  <c r="AP42" i="36" s="1"/>
  <c r="AQ42" i="36" s="1"/>
  <c r="AR42" i="36" s="1"/>
  <c r="AS42" i="36" s="1"/>
  <c r="AT42" i="36" s="1"/>
  <c r="AU42" i="36" s="1"/>
  <c r="AV42" i="36" s="1"/>
  <c r="AW42" i="36" s="1"/>
  <c r="AX42" i="36" s="1"/>
  <c r="AY42" i="36" s="1"/>
  <c r="AZ42" i="36" s="1"/>
  <c r="BA42" i="36" s="1"/>
  <c r="BB42" i="36" s="1"/>
  <c r="BC42" i="36" s="1"/>
  <c r="BD42" i="36" s="1"/>
  <c r="BE42" i="36" s="1"/>
  <c r="BF42" i="36" s="1"/>
  <c r="BG42" i="36" s="1"/>
  <c r="BH42" i="36" s="1"/>
  <c r="BI42" i="36" s="1"/>
  <c r="BJ42" i="36" s="1"/>
  <c r="BK42" i="36" s="1"/>
  <c r="BL42" i="36" s="1"/>
  <c r="BM42" i="36" s="1"/>
  <c r="BN42" i="36" s="1"/>
  <c r="BO42" i="36" s="1"/>
  <c r="BP42" i="36" s="1"/>
  <c r="D37" i="50" l="1"/>
  <c r="E37" i="50"/>
  <c r="F37" i="50"/>
  <c r="G37" i="50"/>
  <c r="H37" i="50"/>
  <c r="I37" i="50"/>
  <c r="J37" i="50"/>
  <c r="K37" i="50"/>
  <c r="L37" i="50"/>
  <c r="M37" i="50"/>
  <c r="N37" i="50"/>
  <c r="O37" i="50"/>
  <c r="P37" i="50"/>
  <c r="Q37" i="50"/>
  <c r="R37" i="50"/>
  <c r="S37" i="50"/>
  <c r="T37" i="50"/>
  <c r="U37" i="50"/>
  <c r="V37" i="50"/>
  <c r="W37" i="50"/>
  <c r="X37" i="50"/>
  <c r="Y37" i="50"/>
  <c r="Z37" i="50"/>
  <c r="AA37" i="50"/>
  <c r="AB37" i="50"/>
  <c r="AC37" i="50"/>
  <c r="AD37" i="50"/>
  <c r="C37" i="50"/>
  <c r="AF36" i="50"/>
  <c r="AF34" i="50" s="1"/>
  <c r="AG36" i="50"/>
  <c r="AG34" i="50" s="1"/>
  <c r="AG38" i="50" s="1"/>
  <c r="AH36" i="50"/>
  <c r="AH34" i="50" s="1"/>
  <c r="AI36" i="50"/>
  <c r="AI34" i="50" s="1"/>
  <c r="AJ36" i="50"/>
  <c r="AJ34" i="50" s="1"/>
  <c r="AK36" i="50"/>
  <c r="AK34" i="50" s="1"/>
  <c r="AK38" i="50" s="1"/>
  <c r="AL36" i="50"/>
  <c r="AL34" i="50" s="1"/>
  <c r="AM36" i="50"/>
  <c r="AM34" i="50" s="1"/>
  <c r="AN36" i="50"/>
  <c r="AN34" i="50" s="1"/>
  <c r="AO36" i="50"/>
  <c r="AO34" i="50" s="1"/>
  <c r="AO38" i="50" s="1"/>
  <c r="AP36" i="50"/>
  <c r="AP34" i="50" s="1"/>
  <c r="AQ36" i="50"/>
  <c r="AQ34" i="50" s="1"/>
  <c r="AR36" i="50"/>
  <c r="AR34" i="50" s="1"/>
  <c r="AS36" i="50"/>
  <c r="AS34" i="50" s="1"/>
  <c r="AS38" i="50" s="1"/>
  <c r="AT36" i="50"/>
  <c r="AT34" i="50" s="1"/>
  <c r="AU36" i="50"/>
  <c r="AU34" i="50" s="1"/>
  <c r="AV36" i="50"/>
  <c r="AV34" i="50" s="1"/>
  <c r="AW36" i="50"/>
  <c r="AW34" i="50" s="1"/>
  <c r="AX36" i="50"/>
  <c r="AX34" i="50" s="1"/>
  <c r="AY36" i="50"/>
  <c r="AY34" i="50" s="1"/>
  <c r="AZ36" i="50"/>
  <c r="AZ34" i="50" s="1"/>
  <c r="BA36" i="50"/>
  <c r="BA34" i="50" s="1"/>
  <c r="BB36" i="50"/>
  <c r="BB34" i="50" s="1"/>
  <c r="BC36" i="50"/>
  <c r="BC34" i="50" s="1"/>
  <c r="BD36" i="50"/>
  <c r="BD34" i="50" s="1"/>
  <c r="BE36" i="50"/>
  <c r="BE34" i="50" s="1"/>
  <c r="BE38" i="50" s="1"/>
  <c r="BF36" i="50"/>
  <c r="BF34" i="50" s="1"/>
  <c r="BG36" i="50"/>
  <c r="BG34" i="50" s="1"/>
  <c r="BH36" i="50"/>
  <c r="BH34" i="50" s="1"/>
  <c r="BI36" i="50"/>
  <c r="BI34" i="50" s="1"/>
  <c r="BI38" i="50" s="1"/>
  <c r="BJ36" i="50"/>
  <c r="BJ34" i="50" s="1"/>
  <c r="BK36" i="50"/>
  <c r="BK34" i="50" s="1"/>
  <c r="AE36" i="50"/>
  <c r="AE34" i="50" s="1"/>
  <c r="F254" i="48"/>
  <c r="G254" i="48"/>
  <c r="H254" i="48"/>
  <c r="I254" i="48"/>
  <c r="J254" i="48"/>
  <c r="K254" i="48"/>
  <c r="L254" i="48"/>
  <c r="M254" i="48"/>
  <c r="N254" i="48"/>
  <c r="O254" i="48"/>
  <c r="P254" i="48"/>
  <c r="Q254" i="48"/>
  <c r="R254" i="48"/>
  <c r="S254" i="48"/>
  <c r="T254" i="48"/>
  <c r="U254" i="48"/>
  <c r="V254" i="48"/>
  <c r="W254" i="48"/>
  <c r="X254" i="48"/>
  <c r="Y254" i="48"/>
  <c r="Z254" i="48"/>
  <c r="AA254" i="48"/>
  <c r="AB254" i="48"/>
  <c r="AC254" i="48"/>
  <c r="AD254" i="48"/>
  <c r="AE254" i="48"/>
  <c r="AF254" i="48"/>
  <c r="E254" i="48"/>
  <c r="F256" i="48"/>
  <c r="G256" i="48"/>
  <c r="H256" i="48"/>
  <c r="I256" i="48"/>
  <c r="J256" i="48"/>
  <c r="K256" i="48"/>
  <c r="L256" i="48"/>
  <c r="M256" i="48"/>
  <c r="N256" i="48"/>
  <c r="O256" i="48"/>
  <c r="P256" i="48"/>
  <c r="Q256" i="48"/>
  <c r="R256" i="48"/>
  <c r="S256" i="48"/>
  <c r="T256" i="48"/>
  <c r="U256" i="48"/>
  <c r="V256" i="48"/>
  <c r="W256" i="48"/>
  <c r="X256" i="48"/>
  <c r="Y256" i="48"/>
  <c r="Z256" i="48"/>
  <c r="AA256" i="48"/>
  <c r="AB256" i="48"/>
  <c r="AC256" i="48"/>
  <c r="AD256" i="48"/>
  <c r="AE256" i="48"/>
  <c r="AF256" i="48"/>
  <c r="AG256" i="48"/>
  <c r="E256" i="48"/>
  <c r="AG30" i="50"/>
  <c r="AG33" i="50" s="1"/>
  <c r="AL20" i="36" s="1"/>
  <c r="AL51" i="34" s="1"/>
  <c r="AH30" i="50"/>
  <c r="AH33" i="50" s="1"/>
  <c r="AM20" i="36" s="1"/>
  <c r="AM51" i="34" s="1"/>
  <c r="AI30" i="50"/>
  <c r="AI33" i="50" s="1"/>
  <c r="AN20" i="36" s="1"/>
  <c r="AN51" i="34" s="1"/>
  <c r="AJ30" i="50"/>
  <c r="AJ33" i="50" s="1"/>
  <c r="AO20" i="36" s="1"/>
  <c r="AO51" i="34" s="1"/>
  <c r="AK30" i="50"/>
  <c r="AK33" i="50" s="1"/>
  <c r="AP20" i="36" s="1"/>
  <c r="AP51" i="34" s="1"/>
  <c r="AL30" i="50"/>
  <c r="AL33" i="50" s="1"/>
  <c r="AQ20" i="36" s="1"/>
  <c r="AQ51" i="34" s="1"/>
  <c r="AM30" i="50"/>
  <c r="AM33" i="50" s="1"/>
  <c r="AR20" i="36" s="1"/>
  <c r="AR51" i="34" s="1"/>
  <c r="AN30" i="50"/>
  <c r="AN33" i="50" s="1"/>
  <c r="AS20" i="36" s="1"/>
  <c r="AS51" i="34" s="1"/>
  <c r="AO30" i="50"/>
  <c r="AO33" i="50" s="1"/>
  <c r="AT20" i="36" s="1"/>
  <c r="AT51" i="34" s="1"/>
  <c r="AP30" i="50"/>
  <c r="AP33" i="50" s="1"/>
  <c r="AU20" i="36" s="1"/>
  <c r="AU51" i="34" s="1"/>
  <c r="AQ30" i="50"/>
  <c r="AQ33" i="50" s="1"/>
  <c r="AV20" i="36" s="1"/>
  <c r="AV51" i="34" s="1"/>
  <c r="AR30" i="50"/>
  <c r="AR33" i="50" s="1"/>
  <c r="AW20" i="36" s="1"/>
  <c r="AW51" i="34" s="1"/>
  <c r="AS30" i="50"/>
  <c r="AS33" i="50" s="1"/>
  <c r="AX20" i="36" s="1"/>
  <c r="AX51" i="34" s="1"/>
  <c r="AT30" i="50"/>
  <c r="AT33" i="50" s="1"/>
  <c r="AY20" i="36" s="1"/>
  <c r="AY51" i="34" s="1"/>
  <c r="AU30" i="50"/>
  <c r="AU33" i="50" s="1"/>
  <c r="AZ20" i="36" s="1"/>
  <c r="AZ51" i="34" s="1"/>
  <c r="AV30" i="50"/>
  <c r="AV33" i="50" s="1"/>
  <c r="BA20" i="36" s="1"/>
  <c r="BA51" i="34" s="1"/>
  <c r="AW30" i="50"/>
  <c r="AW33" i="50" s="1"/>
  <c r="BB20" i="36" s="1"/>
  <c r="BB51" i="34" s="1"/>
  <c r="AX30" i="50"/>
  <c r="AX33" i="50" s="1"/>
  <c r="BC20" i="36" s="1"/>
  <c r="BC51" i="34" s="1"/>
  <c r="AY30" i="50"/>
  <c r="AY33" i="50" s="1"/>
  <c r="BD20" i="36" s="1"/>
  <c r="BD51" i="34" s="1"/>
  <c r="AZ30" i="50"/>
  <c r="AZ33" i="50" s="1"/>
  <c r="BE20" i="36" s="1"/>
  <c r="BE51" i="34" s="1"/>
  <c r="BA30" i="50"/>
  <c r="BA33" i="50" s="1"/>
  <c r="BF20" i="36" s="1"/>
  <c r="BF51" i="34" s="1"/>
  <c r="BB30" i="50"/>
  <c r="BB33" i="50" s="1"/>
  <c r="BG20" i="36" s="1"/>
  <c r="BG51" i="34" s="1"/>
  <c r="BC30" i="50"/>
  <c r="BC33" i="50" s="1"/>
  <c r="BH20" i="36" s="1"/>
  <c r="BH51" i="34" s="1"/>
  <c r="BD30" i="50"/>
  <c r="BD33" i="50" s="1"/>
  <c r="BI20" i="36" s="1"/>
  <c r="BI51" i="34" s="1"/>
  <c r="BE30" i="50"/>
  <c r="BE33" i="50" s="1"/>
  <c r="BJ20" i="36" s="1"/>
  <c r="BJ51" i="34" s="1"/>
  <c r="BF30" i="50"/>
  <c r="BF33" i="50" s="1"/>
  <c r="BK20" i="36" s="1"/>
  <c r="BK51" i="34" s="1"/>
  <c r="BG30" i="50"/>
  <c r="BG33" i="50" s="1"/>
  <c r="BL20" i="36" s="1"/>
  <c r="BL51" i="34" s="1"/>
  <c r="BH30" i="50"/>
  <c r="BH33" i="50" s="1"/>
  <c r="BM20" i="36" s="1"/>
  <c r="BM51" i="34" s="1"/>
  <c r="BI30" i="50"/>
  <c r="BI33" i="50" s="1"/>
  <c r="BN20" i="36" s="1"/>
  <c r="BN51" i="34" s="1"/>
  <c r="BJ30" i="50"/>
  <c r="BJ33" i="50" s="1"/>
  <c r="BO20" i="36" s="1"/>
  <c r="BO51" i="34" s="1"/>
  <c r="BK30" i="50"/>
  <c r="BK33" i="50" s="1"/>
  <c r="BP20" i="36" s="1"/>
  <c r="BP51" i="34" s="1"/>
  <c r="AF30" i="50"/>
  <c r="AF33" i="50" s="1"/>
  <c r="AK20" i="36" s="1"/>
  <c r="AK51" i="34" s="1"/>
  <c r="AE30" i="50"/>
  <c r="AE33" i="50" s="1"/>
  <c r="AJ20" i="36" s="1"/>
  <c r="AJ51" i="34" s="1"/>
  <c r="F228" i="48"/>
  <c r="G228" i="48"/>
  <c r="H228" i="48"/>
  <c r="I228" i="48"/>
  <c r="J228" i="48"/>
  <c r="K228" i="48"/>
  <c r="L228" i="48"/>
  <c r="M228" i="48"/>
  <c r="N228" i="48"/>
  <c r="O228" i="48"/>
  <c r="P228" i="48"/>
  <c r="Q228" i="48"/>
  <c r="R228" i="48"/>
  <c r="S228" i="48"/>
  <c r="T228" i="48"/>
  <c r="U228" i="48"/>
  <c r="V228" i="48"/>
  <c r="W228" i="48"/>
  <c r="X228" i="48"/>
  <c r="Y228" i="48"/>
  <c r="Z228" i="48"/>
  <c r="AA228" i="48"/>
  <c r="AB228" i="48"/>
  <c r="AC228" i="48"/>
  <c r="AD228" i="48"/>
  <c r="AE228" i="48"/>
  <c r="AF228" i="48"/>
  <c r="AG228" i="48"/>
  <c r="E228" i="48"/>
  <c r="D32" i="50"/>
  <c r="E32" i="50"/>
  <c r="F32" i="50"/>
  <c r="G32" i="50"/>
  <c r="H32" i="50"/>
  <c r="I32" i="50"/>
  <c r="J32" i="50"/>
  <c r="K32" i="50"/>
  <c r="L32" i="50"/>
  <c r="M32" i="50"/>
  <c r="N32" i="50"/>
  <c r="O32" i="50"/>
  <c r="P32" i="50"/>
  <c r="Q32" i="50"/>
  <c r="R32" i="50"/>
  <c r="S32" i="50"/>
  <c r="T32" i="50"/>
  <c r="U32" i="50"/>
  <c r="V32" i="50"/>
  <c r="W32" i="50"/>
  <c r="X32" i="50"/>
  <c r="Y32" i="50"/>
  <c r="Z32" i="50"/>
  <c r="AA32" i="50"/>
  <c r="AB32" i="50"/>
  <c r="AC32" i="50"/>
  <c r="AD32" i="50"/>
  <c r="C32" i="50"/>
  <c r="D28" i="50"/>
  <c r="E28" i="50"/>
  <c r="F28" i="50"/>
  <c r="G28" i="50"/>
  <c r="H28" i="50"/>
  <c r="I28" i="50"/>
  <c r="J28" i="50"/>
  <c r="K28" i="50"/>
  <c r="L28" i="50"/>
  <c r="M28" i="50"/>
  <c r="N28" i="50"/>
  <c r="O28" i="50"/>
  <c r="P28" i="50"/>
  <c r="Q28" i="50"/>
  <c r="R28" i="50"/>
  <c r="S28" i="50"/>
  <c r="T28" i="50"/>
  <c r="U28" i="50"/>
  <c r="V28" i="50"/>
  <c r="W28" i="50"/>
  <c r="X28" i="50"/>
  <c r="Y28" i="50"/>
  <c r="Z28" i="50"/>
  <c r="AA28" i="50"/>
  <c r="AB28" i="50"/>
  <c r="AC28" i="50"/>
  <c r="AD28" i="50"/>
  <c r="C28" i="50"/>
  <c r="D24" i="50"/>
  <c r="E24" i="50"/>
  <c r="F24" i="50"/>
  <c r="G24" i="50"/>
  <c r="H24" i="50"/>
  <c r="I24" i="50"/>
  <c r="J24" i="50"/>
  <c r="K24" i="50"/>
  <c r="L24" i="50"/>
  <c r="M24" i="50"/>
  <c r="N24" i="50"/>
  <c r="O24" i="50"/>
  <c r="P24" i="50"/>
  <c r="Q24" i="50"/>
  <c r="R24" i="50"/>
  <c r="S24" i="50"/>
  <c r="T24" i="50"/>
  <c r="U24" i="50"/>
  <c r="V24" i="50"/>
  <c r="W24" i="50"/>
  <c r="X24" i="50"/>
  <c r="Y24" i="50"/>
  <c r="Z24" i="50"/>
  <c r="AA24" i="50"/>
  <c r="AB24" i="50"/>
  <c r="AC24" i="50"/>
  <c r="AD24" i="50"/>
  <c r="C24" i="50"/>
  <c r="AL14" i="36"/>
  <c r="AL45" i="34" s="1"/>
  <c r="AM14" i="36"/>
  <c r="AM45" i="34" s="1"/>
  <c r="AN14" i="36"/>
  <c r="AN45" i="34" s="1"/>
  <c r="AO14" i="36"/>
  <c r="AO45" i="34" s="1"/>
  <c r="AP14" i="36"/>
  <c r="AP45" i="34" s="1"/>
  <c r="AQ14" i="36"/>
  <c r="AQ45" i="34" s="1"/>
  <c r="AR14" i="36"/>
  <c r="AR45" i="34" s="1"/>
  <c r="AS14" i="36"/>
  <c r="AS45" i="34" s="1"/>
  <c r="AT14" i="36"/>
  <c r="AT45" i="34" s="1"/>
  <c r="AU14" i="36"/>
  <c r="AU45" i="34" s="1"/>
  <c r="AV14" i="36"/>
  <c r="AV45" i="34" s="1"/>
  <c r="AW14" i="36"/>
  <c r="AW45" i="34" s="1"/>
  <c r="AX14" i="36"/>
  <c r="AX45" i="34" s="1"/>
  <c r="AY14" i="36"/>
  <c r="AY45" i="34" s="1"/>
  <c r="AZ14" i="36"/>
  <c r="AZ45" i="34" s="1"/>
  <c r="BA14" i="36"/>
  <c r="BA45" i="34" s="1"/>
  <c r="BB14" i="36"/>
  <c r="BB45" i="34" s="1"/>
  <c r="BC14" i="36"/>
  <c r="BC45" i="34" s="1"/>
  <c r="BD14" i="36"/>
  <c r="BD45" i="34" s="1"/>
  <c r="BE14" i="36"/>
  <c r="BE45" i="34" s="1"/>
  <c r="BF14" i="36"/>
  <c r="BF45" i="34" s="1"/>
  <c r="BG14" i="36"/>
  <c r="BG45" i="34" s="1"/>
  <c r="BH14" i="36"/>
  <c r="BH45" i="34" s="1"/>
  <c r="BI14" i="36"/>
  <c r="BI45" i="34" s="1"/>
  <c r="BJ14" i="36"/>
  <c r="BJ45" i="34" s="1"/>
  <c r="BK14" i="36"/>
  <c r="BK45" i="34" s="1"/>
  <c r="BL14" i="36"/>
  <c r="BL45" i="34" s="1"/>
  <c r="BM14" i="36"/>
  <c r="BM45" i="34" s="1"/>
  <c r="BN14" i="36"/>
  <c r="BN45" i="34" s="1"/>
  <c r="BO14" i="36"/>
  <c r="BO45" i="34" s="1"/>
  <c r="BP14" i="36"/>
  <c r="BP45" i="34" s="1"/>
  <c r="AK14" i="36"/>
  <c r="AK45" i="34" s="1"/>
  <c r="AJ14" i="36"/>
  <c r="AJ45" i="34" s="1"/>
  <c r="U21" i="50"/>
  <c r="W125" i="48" s="1"/>
  <c r="V21" i="50"/>
  <c r="X125" i="48" s="1"/>
  <c r="W21" i="50"/>
  <c r="Y125" i="48" s="1"/>
  <c r="X21" i="50"/>
  <c r="Z125" i="48" s="1"/>
  <c r="Y21" i="50"/>
  <c r="AA125" i="48" s="1"/>
  <c r="Z21" i="50"/>
  <c r="AB125" i="48" s="1"/>
  <c r="AA21" i="50"/>
  <c r="AC125" i="48" s="1"/>
  <c r="AB21" i="50"/>
  <c r="AD125" i="48" s="1"/>
  <c r="AC21" i="50"/>
  <c r="AE125" i="48" s="1"/>
  <c r="AD21" i="50"/>
  <c r="AF125" i="48" s="1"/>
  <c r="AE21" i="50"/>
  <c r="D17" i="50"/>
  <c r="D15" i="50" s="1"/>
  <c r="D16" i="50" s="1"/>
  <c r="E17" i="50"/>
  <c r="E15" i="50" s="1"/>
  <c r="E16" i="50" s="1"/>
  <c r="F17" i="50"/>
  <c r="F15" i="50" s="1"/>
  <c r="F16" i="50" s="1"/>
  <c r="G17" i="50"/>
  <c r="G15" i="50" s="1"/>
  <c r="G16" i="50" s="1"/>
  <c r="H17" i="50"/>
  <c r="H15" i="50" s="1"/>
  <c r="H16" i="50" s="1"/>
  <c r="I17" i="50"/>
  <c r="I15" i="50" s="1"/>
  <c r="I16" i="50" s="1"/>
  <c r="J17" i="50"/>
  <c r="J15" i="50" s="1"/>
  <c r="J16" i="50" s="1"/>
  <c r="K17" i="50"/>
  <c r="K15" i="50" s="1"/>
  <c r="K16" i="50" s="1"/>
  <c r="L17" i="50"/>
  <c r="L15" i="50" s="1"/>
  <c r="L16" i="50" s="1"/>
  <c r="M17" i="50"/>
  <c r="M15" i="50" s="1"/>
  <c r="M16" i="50" s="1"/>
  <c r="N17" i="50"/>
  <c r="N15" i="50" s="1"/>
  <c r="N16" i="50" s="1"/>
  <c r="O17" i="50"/>
  <c r="O15" i="50" s="1"/>
  <c r="O16" i="50" s="1"/>
  <c r="P17" i="50"/>
  <c r="P15" i="50" s="1"/>
  <c r="P16" i="50" s="1"/>
  <c r="Q17" i="50"/>
  <c r="Q15" i="50" s="1"/>
  <c r="Q16" i="50" s="1"/>
  <c r="R17" i="50"/>
  <c r="R15" i="50" s="1"/>
  <c r="R16" i="50" s="1"/>
  <c r="S17" i="50"/>
  <c r="S15" i="50" s="1"/>
  <c r="S16" i="50" s="1"/>
  <c r="T17" i="50"/>
  <c r="T15" i="50" s="1"/>
  <c r="T16" i="50" s="1"/>
  <c r="U17" i="50"/>
  <c r="U15" i="50" s="1"/>
  <c r="U16" i="50" s="1"/>
  <c r="V17" i="50"/>
  <c r="V15" i="50" s="1"/>
  <c r="V16" i="50" s="1"/>
  <c r="W17" i="50"/>
  <c r="W15" i="50" s="1"/>
  <c r="X17" i="50"/>
  <c r="X15" i="50" s="1"/>
  <c r="Y17" i="50"/>
  <c r="Y15" i="50" s="1"/>
  <c r="Y16" i="50" s="1"/>
  <c r="Z17" i="50"/>
  <c r="Z15" i="50" s="1"/>
  <c r="Z16" i="50" s="1"/>
  <c r="AA17" i="50"/>
  <c r="AA15" i="50" s="1"/>
  <c r="AA16" i="50" s="1"/>
  <c r="AB17" i="50"/>
  <c r="AB15" i="50" s="1"/>
  <c r="AB16" i="50" s="1"/>
  <c r="AC17" i="50"/>
  <c r="AC15" i="50" s="1"/>
  <c r="AC16" i="50" s="1"/>
  <c r="AD17" i="50"/>
  <c r="AD15" i="50" s="1"/>
  <c r="AD16" i="50" s="1"/>
  <c r="C17" i="50"/>
  <c r="C15" i="50" s="1"/>
  <c r="C16" i="50" s="1"/>
  <c r="D11" i="50"/>
  <c r="E11" i="50"/>
  <c r="F11" i="50"/>
  <c r="G11" i="50"/>
  <c r="H11" i="50"/>
  <c r="I11" i="50"/>
  <c r="J11" i="50"/>
  <c r="K11" i="50"/>
  <c r="L11" i="50"/>
  <c r="M11" i="50"/>
  <c r="N11" i="50"/>
  <c r="O11" i="50"/>
  <c r="P11" i="50"/>
  <c r="Q11" i="50"/>
  <c r="R11" i="50"/>
  <c r="S11" i="50"/>
  <c r="T11" i="50"/>
  <c r="U11" i="50"/>
  <c r="V11" i="50"/>
  <c r="W11" i="50"/>
  <c r="X11" i="50"/>
  <c r="Y11" i="50"/>
  <c r="Z11" i="50"/>
  <c r="AA11" i="50"/>
  <c r="AB11" i="50"/>
  <c r="AC11" i="50"/>
  <c r="AD11" i="50"/>
  <c r="C11" i="50"/>
  <c r="BL6" i="47"/>
  <c r="BK21" i="50" s="1"/>
  <c r="BK6" i="47"/>
  <c r="BJ21" i="50" s="1"/>
  <c r="BJ6" i="47"/>
  <c r="BI21" i="50" s="1"/>
  <c r="BI6" i="47"/>
  <c r="BH21" i="50" s="1"/>
  <c r="BH6" i="47"/>
  <c r="BG21" i="50" s="1"/>
  <c r="BG6" i="47"/>
  <c r="BF21" i="50" s="1"/>
  <c r="BF6" i="47"/>
  <c r="BE21" i="50" s="1"/>
  <c r="BE6" i="47"/>
  <c r="BD21" i="50" s="1"/>
  <c r="BD6" i="47"/>
  <c r="BC21" i="50" s="1"/>
  <c r="BC6" i="47"/>
  <c r="BB21" i="50" s="1"/>
  <c r="BB6" i="47"/>
  <c r="BA21" i="50" s="1"/>
  <c r="BA6" i="47"/>
  <c r="AZ21" i="50" s="1"/>
  <c r="AZ6" i="47"/>
  <c r="AY21" i="50" s="1"/>
  <c r="AY6" i="47"/>
  <c r="AX21" i="50" s="1"/>
  <c r="AX6" i="47"/>
  <c r="AW21" i="50" s="1"/>
  <c r="AW6" i="47"/>
  <c r="AV21" i="50" s="1"/>
  <c r="AV6" i="47"/>
  <c r="AU21" i="50" s="1"/>
  <c r="AU6" i="47"/>
  <c r="AT21" i="50" s="1"/>
  <c r="AT6" i="47"/>
  <c r="AS21" i="50" s="1"/>
  <c r="AS6" i="47"/>
  <c r="AR21" i="50" s="1"/>
  <c r="AR6" i="47"/>
  <c r="AQ21" i="50" s="1"/>
  <c r="AQ6" i="47"/>
  <c r="AP21" i="50" s="1"/>
  <c r="AP6" i="47"/>
  <c r="AO21" i="50" s="1"/>
  <c r="AO6" i="47"/>
  <c r="AN21" i="50" s="1"/>
  <c r="AN6" i="47"/>
  <c r="AM21" i="50" s="1"/>
  <c r="AM6" i="47"/>
  <c r="AL21" i="50" s="1"/>
  <c r="AL6" i="47"/>
  <c r="AK21" i="50" s="1"/>
  <c r="AK6" i="47"/>
  <c r="AJ21" i="50" s="1"/>
  <c r="AJ6" i="47"/>
  <c r="AI21" i="50" s="1"/>
  <c r="AI6" i="47"/>
  <c r="AH21" i="50" s="1"/>
  <c r="AH6" i="47"/>
  <c r="AG21" i="50" s="1"/>
  <c r="AG6" i="47"/>
  <c r="AF21" i="50" s="1"/>
  <c r="U6" i="47"/>
  <c r="T21" i="50" s="1"/>
  <c r="V125" i="48" s="1"/>
  <c r="T6" i="47"/>
  <c r="S6" i="47" s="1"/>
  <c r="R6" i="47" s="1"/>
  <c r="Q6" i="47" s="1"/>
  <c r="P6" i="47" s="1"/>
  <c r="O6" i="47" s="1"/>
  <c r="N6" i="47" s="1"/>
  <c r="M6" i="47" s="1"/>
  <c r="L6" i="47" s="1"/>
  <c r="K6" i="47" s="1"/>
  <c r="J6" i="47" s="1"/>
  <c r="I6" i="47" s="1"/>
  <c r="H6" i="47" s="1"/>
  <c r="G6" i="47" s="1"/>
  <c r="F6" i="47" s="1"/>
  <c r="E6" i="47" s="1"/>
  <c r="D6" i="47" s="1"/>
  <c r="C21" i="50" s="1"/>
  <c r="E125" i="48" s="1"/>
  <c r="AJ9" i="36"/>
  <c r="AJ40" i="34" s="1"/>
  <c r="AK9" i="36"/>
  <c r="AK40" i="34" s="1"/>
  <c r="C4" i="50"/>
  <c r="D4" i="50"/>
  <c r="E4" i="50"/>
  <c r="F4" i="50"/>
  <c r="G4" i="50"/>
  <c r="H4" i="50"/>
  <c r="I4" i="50"/>
  <c r="J4" i="50"/>
  <c r="K4" i="50"/>
  <c r="L4" i="50"/>
  <c r="M4" i="50"/>
  <c r="N4" i="50"/>
  <c r="O4" i="50"/>
  <c r="P4" i="50"/>
  <c r="Q4" i="50"/>
  <c r="R4" i="50"/>
  <c r="S4" i="50"/>
  <c r="T4" i="50"/>
  <c r="U4" i="50"/>
  <c r="V4" i="50"/>
  <c r="W4" i="50"/>
  <c r="X4" i="50"/>
  <c r="Y4" i="50"/>
  <c r="Z4" i="50"/>
  <c r="AA4" i="50"/>
  <c r="AB4" i="50"/>
  <c r="AC4" i="50"/>
  <c r="AD4" i="50"/>
  <c r="AE4" i="50"/>
  <c r="D6" i="50"/>
  <c r="E6" i="50"/>
  <c r="F6" i="50"/>
  <c r="G6" i="50"/>
  <c r="H6" i="50"/>
  <c r="I6" i="50"/>
  <c r="J6" i="50"/>
  <c r="K6" i="50"/>
  <c r="L6" i="50"/>
  <c r="M6" i="50"/>
  <c r="N6" i="50"/>
  <c r="O6" i="50"/>
  <c r="P6" i="50"/>
  <c r="Q6" i="50"/>
  <c r="R6" i="50"/>
  <c r="S6" i="50"/>
  <c r="T6" i="50"/>
  <c r="U6" i="50"/>
  <c r="V6" i="50"/>
  <c r="W6" i="50"/>
  <c r="X6" i="50"/>
  <c r="Y6" i="50"/>
  <c r="Z6" i="50"/>
  <c r="AA6" i="50"/>
  <c r="AB6" i="50"/>
  <c r="AC6" i="50"/>
  <c r="AD6" i="50"/>
  <c r="C6" i="50"/>
  <c r="AE39" i="50" l="1"/>
  <c r="AE41" i="50" s="1"/>
  <c r="AJ43" i="36" s="1"/>
  <c r="AW38" i="50"/>
  <c r="BF38" i="50"/>
  <c r="AE38" i="50"/>
  <c r="AJ41" i="36"/>
  <c r="BH38" i="50"/>
  <c r="BD38" i="50"/>
  <c r="AZ38" i="50"/>
  <c r="AV38" i="50"/>
  <c r="AR38" i="50"/>
  <c r="AN38" i="50"/>
  <c r="AO41" i="36"/>
  <c r="AJ38" i="50"/>
  <c r="AK41" i="36"/>
  <c r="AF38" i="50"/>
  <c r="BJ38" i="50"/>
  <c r="BK38" i="50"/>
  <c r="BG38" i="50"/>
  <c r="BC38" i="50"/>
  <c r="AY38" i="50"/>
  <c r="AU38" i="50"/>
  <c r="AQ38" i="50"/>
  <c r="AM38" i="50"/>
  <c r="AN41" i="36"/>
  <c r="AI38" i="50"/>
  <c r="BB38" i="50"/>
  <c r="AX38" i="50"/>
  <c r="AT38" i="50"/>
  <c r="AP38" i="50"/>
  <c r="AL38" i="50"/>
  <c r="AQ41" i="36"/>
  <c r="AH38" i="50"/>
  <c r="AM41" i="36"/>
  <c r="BA38" i="50"/>
  <c r="AP41" i="36"/>
  <c r="AL41" i="36"/>
  <c r="R21" i="50"/>
  <c r="T125" i="48" s="1"/>
  <c r="N21" i="50"/>
  <c r="P125" i="48" s="1"/>
  <c r="J21" i="50"/>
  <c r="L125" i="48" s="1"/>
  <c r="F21" i="50"/>
  <c r="H125" i="48" s="1"/>
  <c r="Q21" i="50"/>
  <c r="S125" i="48" s="1"/>
  <c r="M21" i="50"/>
  <c r="O125" i="48" s="1"/>
  <c r="I21" i="50"/>
  <c r="K125" i="48" s="1"/>
  <c r="E21" i="50"/>
  <c r="G125" i="48" s="1"/>
  <c r="P21" i="50"/>
  <c r="R125" i="48" s="1"/>
  <c r="L21" i="50"/>
  <c r="N125" i="48" s="1"/>
  <c r="H21" i="50"/>
  <c r="J125" i="48" s="1"/>
  <c r="D21" i="50"/>
  <c r="F125" i="48" s="1"/>
  <c r="S21" i="50"/>
  <c r="U125" i="48" s="1"/>
  <c r="O21" i="50"/>
  <c r="Q125" i="48" s="1"/>
  <c r="K21" i="50"/>
  <c r="M125" i="48" s="1"/>
  <c r="G21" i="50"/>
  <c r="I125" i="48" s="1"/>
  <c r="AE26" i="50"/>
  <c r="AE29" i="50" s="1"/>
  <c r="AJ19" i="36" s="1"/>
  <c r="AJ50" i="34" s="1"/>
  <c r="AE22" i="50"/>
  <c r="AE25" i="50" s="1"/>
  <c r="AJ17" i="36" s="1"/>
  <c r="AJ48" i="34" s="1"/>
  <c r="AJ15" i="36"/>
  <c r="AJ46" i="34" s="1"/>
  <c r="X18" i="50"/>
  <c r="C18" i="50"/>
  <c r="AA18" i="50"/>
  <c r="W18" i="50"/>
  <c r="S18" i="50"/>
  <c r="O18" i="50"/>
  <c r="K18" i="50"/>
  <c r="G18" i="50"/>
  <c r="AB18" i="50"/>
  <c r="L18" i="50"/>
  <c r="D18" i="50"/>
  <c r="AD18" i="50"/>
  <c r="Z18" i="50"/>
  <c r="V18" i="50"/>
  <c r="R18" i="50"/>
  <c r="N18" i="50"/>
  <c r="J18" i="50"/>
  <c r="F18" i="50"/>
  <c r="T18" i="50"/>
  <c r="P18" i="50"/>
  <c r="H18" i="50"/>
  <c r="AC18" i="50"/>
  <c r="Y18" i="50"/>
  <c r="U18" i="50"/>
  <c r="Q18" i="50"/>
  <c r="M18" i="50"/>
  <c r="I18" i="50"/>
  <c r="E18" i="50"/>
  <c r="X16" i="50"/>
  <c r="W16" i="50"/>
  <c r="AE9" i="50"/>
  <c r="AE5" i="50"/>
  <c r="AL47" i="36" l="1"/>
  <c r="AL46" i="36" s="1"/>
  <c r="AL45" i="36"/>
  <c r="AN47" i="36"/>
  <c r="AN46" i="36" s="1"/>
  <c r="AN45" i="36"/>
  <c r="AO47" i="36"/>
  <c r="AO46" i="36" s="1"/>
  <c r="AO45" i="36"/>
  <c r="AP47" i="36"/>
  <c r="AP46" i="36" s="1"/>
  <c r="AP45" i="36"/>
  <c r="AQ45" i="36"/>
  <c r="AR41" i="36"/>
  <c r="AQ47" i="36"/>
  <c r="AQ46" i="36" s="1"/>
  <c r="AK45" i="36"/>
  <c r="AK47" i="36"/>
  <c r="AK46" i="36" s="1"/>
  <c r="AM47" i="36"/>
  <c r="AM46" i="36" s="1"/>
  <c r="AM45" i="36"/>
  <c r="AJ47" i="36"/>
  <c r="AJ46" i="36" s="1"/>
  <c r="AJ45" i="36"/>
  <c r="AE17" i="50"/>
  <c r="AJ13" i="36" s="1"/>
  <c r="AJ44" i="34" s="1"/>
  <c r="AE15" i="50"/>
  <c r="AE8" i="50"/>
  <c r="AJ8" i="36" s="1"/>
  <c r="AJ39" i="34" s="1"/>
  <c r="AJ10" i="36"/>
  <c r="AJ41" i="34" s="1"/>
  <c r="AS41" i="36" l="1"/>
  <c r="AR45" i="36"/>
  <c r="AR47" i="36"/>
  <c r="AR46" i="36" s="1"/>
  <c r="AT41" i="36" l="1"/>
  <c r="AS45" i="36"/>
  <c r="AS47" i="36"/>
  <c r="AS46" i="36" s="1"/>
  <c r="AT47" i="36" l="1"/>
  <c r="AT46" i="36" s="1"/>
  <c r="AT45" i="36"/>
  <c r="AU41" i="36"/>
  <c r="AU47" i="36" l="1"/>
  <c r="AU46" i="36" s="1"/>
  <c r="AU45" i="36"/>
  <c r="AV41" i="36"/>
  <c r="AW41" i="36" l="1"/>
  <c r="AV47" i="36"/>
  <c r="AV46" i="36" s="1"/>
  <c r="AV45" i="36"/>
  <c r="AX41" i="36" l="1"/>
  <c r="AW47" i="36"/>
  <c r="AW46" i="36" s="1"/>
  <c r="AW45" i="36"/>
  <c r="AX45" i="36" l="1"/>
  <c r="AY41" i="36"/>
  <c r="AX47" i="36"/>
  <c r="AX46" i="36" s="1"/>
  <c r="AY47" i="36" l="1"/>
  <c r="AY46" i="36" s="1"/>
  <c r="AY45" i="36"/>
  <c r="AZ41" i="36"/>
  <c r="BA41" i="36" l="1"/>
  <c r="AZ47" i="36"/>
  <c r="AZ46" i="36" s="1"/>
  <c r="AZ45" i="36"/>
  <c r="BB41" i="36" l="1"/>
  <c r="BA47" i="36"/>
  <c r="BA46" i="36" s="1"/>
  <c r="BA45" i="36"/>
  <c r="BB47" i="36" l="1"/>
  <c r="BB46" i="36" s="1"/>
  <c r="BC41" i="36"/>
  <c r="BB45" i="36"/>
  <c r="BC47" i="36" l="1"/>
  <c r="BC46" i="36" s="1"/>
  <c r="BC45" i="36"/>
  <c r="BD41" i="36"/>
  <c r="BE41" i="36" l="1"/>
  <c r="BD45" i="36"/>
  <c r="BD47" i="36"/>
  <c r="BD46" i="36" s="1"/>
  <c r="BF41" i="36" l="1"/>
  <c r="BE47" i="36"/>
  <c r="BE46" i="36" s="1"/>
  <c r="BE45" i="36"/>
  <c r="BF47" i="36" l="1"/>
  <c r="BF46" i="36" s="1"/>
  <c r="BF45" i="36"/>
  <c r="BG41" i="36"/>
  <c r="BG47" i="36" l="1"/>
  <c r="BG46" i="36" s="1"/>
  <c r="BG45" i="36"/>
  <c r="BH41" i="36"/>
  <c r="BH45" i="36" l="1"/>
  <c r="BH47" i="36"/>
  <c r="BH46" i="36" s="1"/>
  <c r="BI41" i="36"/>
  <c r="BJ41" i="36" l="1"/>
  <c r="BI47" i="36"/>
  <c r="BI46" i="36" s="1"/>
  <c r="BI45" i="36"/>
  <c r="BJ45" i="36" l="1"/>
  <c r="BK41" i="36"/>
  <c r="BJ47" i="36"/>
  <c r="BJ46" i="36" s="1"/>
  <c r="BK47" i="36" l="1"/>
  <c r="BK46" i="36" s="1"/>
  <c r="BK45" i="36"/>
  <c r="BL41" i="36"/>
  <c r="BM41" i="36" l="1"/>
  <c r="BL47" i="36"/>
  <c r="BL46" i="36" s="1"/>
  <c r="BL45" i="36"/>
  <c r="BN41" i="36" l="1"/>
  <c r="BM45" i="36"/>
  <c r="BM47" i="36"/>
  <c r="BM46" i="36" s="1"/>
  <c r="BN47" i="36" l="1"/>
  <c r="BN46" i="36" s="1"/>
  <c r="BO41" i="36"/>
  <c r="BN45" i="36"/>
  <c r="BO47" i="36" l="1"/>
  <c r="BO46" i="36" s="1"/>
  <c r="BO45" i="36"/>
  <c r="BP41" i="36"/>
  <c r="BP45" i="36" l="1"/>
  <c r="BP47" i="36"/>
  <c r="BP46" i="36" s="1"/>
  <c r="G76" i="45" l="1"/>
  <c r="H76" i="45"/>
  <c r="I76" i="45"/>
  <c r="J76" i="45"/>
  <c r="K76" i="45"/>
  <c r="L76" i="45"/>
  <c r="M76" i="45"/>
  <c r="N76" i="45"/>
  <c r="O76" i="45"/>
  <c r="P76" i="45"/>
  <c r="Q76" i="45"/>
  <c r="R76" i="45"/>
  <c r="S76" i="45"/>
  <c r="T76" i="45"/>
  <c r="U76" i="45"/>
  <c r="V76" i="45"/>
  <c r="W76" i="45"/>
  <c r="X76" i="45"/>
  <c r="Y76" i="45"/>
  <c r="Z76" i="45"/>
  <c r="AA76" i="45"/>
  <c r="AB76" i="45"/>
  <c r="AC76" i="45"/>
  <c r="AD76" i="45"/>
  <c r="AE76" i="45"/>
  <c r="AF76" i="45"/>
  <c r="AG76" i="45"/>
  <c r="F76" i="45"/>
  <c r="D123" i="34"/>
  <c r="B145" i="34"/>
  <c r="B146" i="34" s="1"/>
  <c r="B147" i="34" s="1"/>
  <c r="B148" i="34" s="1"/>
  <c r="B149" i="34" s="1"/>
  <c r="B150" i="34" s="1"/>
  <c r="B151" i="34" s="1"/>
  <c r="B152" i="34" s="1"/>
  <c r="B153" i="34" s="1"/>
  <c r="B154" i="34" s="1"/>
  <c r="B155" i="34" s="1"/>
  <c r="B156" i="34" s="1"/>
  <c r="H145" i="34"/>
  <c r="J123" i="34"/>
  <c r="K123" i="34"/>
  <c r="L123" i="34"/>
  <c r="M123" i="34"/>
  <c r="N123" i="34"/>
  <c r="O123" i="34"/>
  <c r="P123" i="34"/>
  <c r="Q123" i="34"/>
  <c r="R123" i="34"/>
  <c r="S123" i="34"/>
  <c r="T123" i="34"/>
  <c r="U123" i="34"/>
  <c r="V123" i="34"/>
  <c r="W123" i="34"/>
  <c r="X123" i="34"/>
  <c r="Y123" i="34"/>
  <c r="Z123" i="34"/>
  <c r="AA123" i="34"/>
  <c r="AB123" i="34"/>
  <c r="AC123" i="34"/>
  <c r="AD123" i="34"/>
  <c r="AE123" i="34"/>
  <c r="AF123" i="34"/>
  <c r="AG123" i="34"/>
  <c r="AH123" i="34"/>
  <c r="AI123" i="34"/>
  <c r="AJ123" i="34"/>
  <c r="AK123" i="34"/>
  <c r="AL123" i="34"/>
  <c r="AM123" i="34"/>
  <c r="AN123" i="34"/>
  <c r="AO123" i="34"/>
  <c r="AP123" i="34"/>
  <c r="AQ123" i="34"/>
  <c r="AR123" i="34"/>
  <c r="AS123" i="34"/>
  <c r="AT123" i="34"/>
  <c r="AU123" i="34"/>
  <c r="AV123" i="34"/>
  <c r="AW123" i="34"/>
  <c r="AX123" i="34"/>
  <c r="AY123" i="34"/>
  <c r="AZ123" i="34"/>
  <c r="BA123" i="34"/>
  <c r="BB123" i="34"/>
  <c r="BC123" i="34"/>
  <c r="BD123" i="34"/>
  <c r="BE123" i="34"/>
  <c r="BF123" i="34"/>
  <c r="BG123" i="34"/>
  <c r="BH123" i="34"/>
  <c r="BI123" i="34"/>
  <c r="BJ123" i="34"/>
  <c r="BK123" i="34"/>
  <c r="BL123" i="34"/>
  <c r="BM123" i="34"/>
  <c r="BN123" i="34"/>
  <c r="BO123" i="34"/>
  <c r="BP123" i="34"/>
  <c r="J124" i="34"/>
  <c r="K124" i="34"/>
  <c r="L124" i="34"/>
  <c r="M124" i="34"/>
  <c r="N124" i="34"/>
  <c r="O124" i="34"/>
  <c r="P124" i="34"/>
  <c r="Q124" i="34"/>
  <c r="R124" i="34"/>
  <c r="S124" i="34"/>
  <c r="T124" i="34"/>
  <c r="U124" i="34"/>
  <c r="V124" i="34"/>
  <c r="W124" i="34"/>
  <c r="X124" i="34"/>
  <c r="Y124" i="34"/>
  <c r="Z124" i="34"/>
  <c r="AA124" i="34"/>
  <c r="AB124" i="34"/>
  <c r="AC124" i="34"/>
  <c r="AD124" i="34"/>
  <c r="AE124" i="34"/>
  <c r="AF124" i="34"/>
  <c r="AG124" i="34"/>
  <c r="AH124" i="34"/>
  <c r="AI124" i="34"/>
  <c r="AJ124" i="34"/>
  <c r="AK124" i="34"/>
  <c r="AL124" i="34"/>
  <c r="AM124" i="34"/>
  <c r="AN124" i="34"/>
  <c r="AO124" i="34"/>
  <c r="AP124" i="34"/>
  <c r="AQ124" i="34"/>
  <c r="AR124" i="34"/>
  <c r="AS124" i="34"/>
  <c r="AT124" i="34"/>
  <c r="AU124" i="34"/>
  <c r="AV124" i="34"/>
  <c r="AW124" i="34"/>
  <c r="AX124" i="34"/>
  <c r="AY124" i="34"/>
  <c r="AZ124" i="34"/>
  <c r="BA124" i="34"/>
  <c r="BB124" i="34"/>
  <c r="BC124" i="34"/>
  <c r="BD124" i="34"/>
  <c r="BE124" i="34"/>
  <c r="BF124" i="34"/>
  <c r="BG124" i="34"/>
  <c r="BH124" i="34"/>
  <c r="BI124" i="34"/>
  <c r="BJ124" i="34"/>
  <c r="BK124" i="34"/>
  <c r="BL124" i="34"/>
  <c r="BM124" i="34"/>
  <c r="BN124" i="34"/>
  <c r="BO124" i="34"/>
  <c r="BP124" i="34"/>
  <c r="J125" i="34"/>
  <c r="K125" i="34"/>
  <c r="L125" i="34"/>
  <c r="M125" i="34"/>
  <c r="N125" i="34"/>
  <c r="O125" i="34"/>
  <c r="P125" i="34"/>
  <c r="Q125" i="34"/>
  <c r="R125" i="34"/>
  <c r="S125" i="34"/>
  <c r="T125" i="34"/>
  <c r="U125" i="34"/>
  <c r="V125" i="34"/>
  <c r="W125" i="34"/>
  <c r="X125" i="34"/>
  <c r="Y125" i="34"/>
  <c r="Z125" i="34"/>
  <c r="AA125" i="34"/>
  <c r="AB125" i="34"/>
  <c r="AC125" i="34"/>
  <c r="AD125" i="34"/>
  <c r="AE125" i="34"/>
  <c r="AF125" i="34"/>
  <c r="AG125" i="34"/>
  <c r="AH125" i="34"/>
  <c r="AI125" i="34"/>
  <c r="AJ125" i="34"/>
  <c r="AK125" i="34"/>
  <c r="AL125" i="34"/>
  <c r="AM125" i="34"/>
  <c r="AN125" i="34"/>
  <c r="AO125" i="34"/>
  <c r="AP125" i="34"/>
  <c r="AQ125" i="34"/>
  <c r="AR125" i="34"/>
  <c r="AS125" i="34"/>
  <c r="AT125" i="34"/>
  <c r="AU125" i="34"/>
  <c r="AV125" i="34"/>
  <c r="AW125" i="34"/>
  <c r="AX125" i="34"/>
  <c r="AY125" i="34"/>
  <c r="AZ125" i="34"/>
  <c r="BA125" i="34"/>
  <c r="BB125" i="34"/>
  <c r="BC125" i="34"/>
  <c r="BD125" i="34"/>
  <c r="BE125" i="34"/>
  <c r="BF125" i="34"/>
  <c r="BG125" i="34"/>
  <c r="BH125" i="34"/>
  <c r="BI125" i="34"/>
  <c r="BJ125" i="34"/>
  <c r="BK125" i="34"/>
  <c r="BL125" i="34"/>
  <c r="BM125" i="34"/>
  <c r="BN125" i="34"/>
  <c r="BO125" i="34"/>
  <c r="BP125" i="34"/>
  <c r="J126" i="34"/>
  <c r="K126" i="34"/>
  <c r="L126" i="34"/>
  <c r="M126" i="34"/>
  <c r="N126" i="34"/>
  <c r="O126" i="34"/>
  <c r="P126" i="34"/>
  <c r="Q126" i="34"/>
  <c r="R126" i="34"/>
  <c r="S126" i="34"/>
  <c r="T126" i="34"/>
  <c r="U126" i="34"/>
  <c r="V126" i="34"/>
  <c r="W126" i="34"/>
  <c r="X126" i="34"/>
  <c r="Y126" i="34"/>
  <c r="Z126" i="34"/>
  <c r="AA126" i="34"/>
  <c r="AB126" i="34"/>
  <c r="AC126" i="34"/>
  <c r="AD126" i="34"/>
  <c r="AE126" i="34"/>
  <c r="AF126" i="34"/>
  <c r="AG126" i="34"/>
  <c r="AH126" i="34"/>
  <c r="AI126" i="34"/>
  <c r="AJ126" i="34"/>
  <c r="AK126" i="34"/>
  <c r="AL126" i="34"/>
  <c r="AM126" i="34"/>
  <c r="AN126" i="34"/>
  <c r="AO126" i="34"/>
  <c r="AP126" i="34"/>
  <c r="AQ126" i="34"/>
  <c r="AR126" i="34"/>
  <c r="AS126" i="34"/>
  <c r="AT126" i="34"/>
  <c r="AU126" i="34"/>
  <c r="AV126" i="34"/>
  <c r="AW126" i="34"/>
  <c r="AX126" i="34"/>
  <c r="AY126" i="34"/>
  <c r="AZ126" i="34"/>
  <c r="BA126" i="34"/>
  <c r="BB126" i="34"/>
  <c r="BC126" i="34"/>
  <c r="BD126" i="34"/>
  <c r="BE126" i="34"/>
  <c r="BF126" i="34"/>
  <c r="BG126" i="34"/>
  <c r="BH126" i="34"/>
  <c r="BI126" i="34"/>
  <c r="BJ126" i="34"/>
  <c r="BK126" i="34"/>
  <c r="BL126" i="34"/>
  <c r="BM126" i="34"/>
  <c r="BN126" i="34"/>
  <c r="BO126" i="34"/>
  <c r="BP126" i="34"/>
  <c r="J127" i="34"/>
  <c r="K127" i="34"/>
  <c r="L127" i="34"/>
  <c r="M127" i="34"/>
  <c r="N127" i="34"/>
  <c r="O127" i="34"/>
  <c r="P127" i="34"/>
  <c r="Q127" i="34"/>
  <c r="R127" i="34"/>
  <c r="S127" i="34"/>
  <c r="T127" i="34"/>
  <c r="U127" i="34"/>
  <c r="V127" i="34"/>
  <c r="W127" i="34"/>
  <c r="X127" i="34"/>
  <c r="Y127" i="34"/>
  <c r="Z127" i="34"/>
  <c r="AA127" i="34"/>
  <c r="AB127" i="34"/>
  <c r="AC127" i="34"/>
  <c r="AD127" i="34"/>
  <c r="AE127" i="34"/>
  <c r="AF127" i="34"/>
  <c r="AG127" i="34"/>
  <c r="AH127" i="34"/>
  <c r="AI127" i="34"/>
  <c r="AJ127" i="34"/>
  <c r="AK127" i="34"/>
  <c r="AL127" i="34"/>
  <c r="AM127" i="34"/>
  <c r="AN127" i="34"/>
  <c r="AO127" i="34"/>
  <c r="AP127" i="34"/>
  <c r="AQ127" i="34"/>
  <c r="AR127" i="34"/>
  <c r="AS127" i="34"/>
  <c r="AT127" i="34"/>
  <c r="AU127" i="34"/>
  <c r="AV127" i="34"/>
  <c r="AW127" i="34"/>
  <c r="AX127" i="34"/>
  <c r="AY127" i="34"/>
  <c r="AZ127" i="34"/>
  <c r="BA127" i="34"/>
  <c r="BB127" i="34"/>
  <c r="BC127" i="34"/>
  <c r="BD127" i="34"/>
  <c r="BE127" i="34"/>
  <c r="BF127" i="34"/>
  <c r="BG127" i="34"/>
  <c r="BH127" i="34"/>
  <c r="BI127" i="34"/>
  <c r="BJ127" i="34"/>
  <c r="BK127" i="34"/>
  <c r="BL127" i="34"/>
  <c r="BM127" i="34"/>
  <c r="BN127" i="34"/>
  <c r="BO127" i="34"/>
  <c r="BP127" i="34"/>
  <c r="J128" i="34"/>
  <c r="K128" i="34"/>
  <c r="L128" i="34"/>
  <c r="M128" i="34"/>
  <c r="N128" i="34"/>
  <c r="O128" i="34"/>
  <c r="P128" i="34"/>
  <c r="Q128" i="34"/>
  <c r="R128" i="34"/>
  <c r="S128" i="34"/>
  <c r="T128" i="34"/>
  <c r="U128" i="34"/>
  <c r="V128" i="34"/>
  <c r="W128" i="34"/>
  <c r="X128" i="34"/>
  <c r="Y128" i="34"/>
  <c r="Z128" i="34"/>
  <c r="AA128" i="34"/>
  <c r="AB128" i="34"/>
  <c r="AC128" i="34"/>
  <c r="AD128" i="34"/>
  <c r="AE128" i="34"/>
  <c r="AF128" i="34"/>
  <c r="AG128" i="34"/>
  <c r="AH128" i="34"/>
  <c r="AI128" i="34"/>
  <c r="AJ128" i="34"/>
  <c r="AK128" i="34"/>
  <c r="AL128" i="34"/>
  <c r="AM128" i="34"/>
  <c r="AN128" i="34"/>
  <c r="AO128" i="34"/>
  <c r="AP128" i="34"/>
  <c r="AQ128" i="34"/>
  <c r="AR128" i="34"/>
  <c r="AS128" i="34"/>
  <c r="AT128" i="34"/>
  <c r="AU128" i="34"/>
  <c r="AV128" i="34"/>
  <c r="AW128" i="34"/>
  <c r="AX128" i="34"/>
  <c r="AY128" i="34"/>
  <c r="AZ128" i="34"/>
  <c r="BA128" i="34"/>
  <c r="BB128" i="34"/>
  <c r="BC128" i="34"/>
  <c r="BD128" i="34"/>
  <c r="BE128" i="34"/>
  <c r="BF128" i="34"/>
  <c r="BG128" i="34"/>
  <c r="BH128" i="34"/>
  <c r="BI128" i="34"/>
  <c r="BJ128" i="34"/>
  <c r="BK128" i="34"/>
  <c r="BL128" i="34"/>
  <c r="BM128" i="34"/>
  <c r="BN128" i="34"/>
  <c r="BO128" i="34"/>
  <c r="BP128" i="34"/>
  <c r="J129" i="34"/>
  <c r="K129" i="34"/>
  <c r="L129" i="34"/>
  <c r="M129" i="34"/>
  <c r="N129" i="34"/>
  <c r="O129" i="34"/>
  <c r="P129" i="34"/>
  <c r="Q129" i="34"/>
  <c r="R129" i="34"/>
  <c r="S129" i="34"/>
  <c r="T129" i="34"/>
  <c r="U129" i="34"/>
  <c r="V129" i="34"/>
  <c r="W129" i="34"/>
  <c r="X129" i="34"/>
  <c r="Y129" i="34"/>
  <c r="Z129" i="34"/>
  <c r="AA129" i="34"/>
  <c r="AB129" i="34"/>
  <c r="AC129" i="34"/>
  <c r="AD129" i="34"/>
  <c r="AE129" i="34"/>
  <c r="AF129" i="34"/>
  <c r="AG129" i="34"/>
  <c r="AH129" i="34"/>
  <c r="AI129" i="34"/>
  <c r="AJ129" i="34"/>
  <c r="AK129" i="34"/>
  <c r="AL129" i="34"/>
  <c r="AM129" i="34"/>
  <c r="AN129" i="34"/>
  <c r="AO129" i="34"/>
  <c r="AP129" i="34"/>
  <c r="AQ129" i="34"/>
  <c r="AR129" i="34"/>
  <c r="AS129" i="34"/>
  <c r="AT129" i="34"/>
  <c r="AU129" i="34"/>
  <c r="AV129" i="34"/>
  <c r="AW129" i="34"/>
  <c r="AX129" i="34"/>
  <c r="AY129" i="34"/>
  <c r="AZ129" i="34"/>
  <c r="BA129" i="34"/>
  <c r="BB129" i="34"/>
  <c r="BC129" i="34"/>
  <c r="BD129" i="34"/>
  <c r="BE129" i="34"/>
  <c r="BF129" i="34"/>
  <c r="BG129" i="34"/>
  <c r="BH129" i="34"/>
  <c r="BI129" i="34"/>
  <c r="BJ129" i="34"/>
  <c r="BK129" i="34"/>
  <c r="BL129" i="34"/>
  <c r="BM129" i="34"/>
  <c r="BN129" i="34"/>
  <c r="BO129" i="34"/>
  <c r="BP129" i="34"/>
  <c r="J130" i="34"/>
  <c r="K130" i="34"/>
  <c r="L130" i="34"/>
  <c r="M130" i="34"/>
  <c r="N130" i="34"/>
  <c r="O130" i="34"/>
  <c r="P130" i="34"/>
  <c r="Q130" i="34"/>
  <c r="R130" i="34"/>
  <c r="S130" i="34"/>
  <c r="T130" i="34"/>
  <c r="U130" i="34"/>
  <c r="V130" i="34"/>
  <c r="W130" i="34"/>
  <c r="X130" i="34"/>
  <c r="Y130" i="34"/>
  <c r="Z130" i="34"/>
  <c r="AA130" i="34"/>
  <c r="AB130" i="34"/>
  <c r="AC130" i="34"/>
  <c r="AD130" i="34"/>
  <c r="AE130" i="34"/>
  <c r="AF130" i="34"/>
  <c r="AG130" i="34"/>
  <c r="AH130" i="34"/>
  <c r="AI130" i="34"/>
  <c r="AJ130" i="34"/>
  <c r="AK130" i="34"/>
  <c r="AL130" i="34"/>
  <c r="AM130" i="34"/>
  <c r="AN130" i="34"/>
  <c r="AO130" i="34"/>
  <c r="AP130" i="34"/>
  <c r="AQ130" i="34"/>
  <c r="AR130" i="34"/>
  <c r="AS130" i="34"/>
  <c r="AT130" i="34"/>
  <c r="AU130" i="34"/>
  <c r="AV130" i="34"/>
  <c r="AW130" i="34"/>
  <c r="AX130" i="34"/>
  <c r="AY130" i="34"/>
  <c r="AZ130" i="34"/>
  <c r="BA130" i="34"/>
  <c r="BB130" i="34"/>
  <c r="BC130" i="34"/>
  <c r="BD130" i="34"/>
  <c r="BE130" i="34"/>
  <c r="BF130" i="34"/>
  <c r="BG130" i="34"/>
  <c r="BH130" i="34"/>
  <c r="BI130" i="34"/>
  <c r="BJ130" i="34"/>
  <c r="BK130" i="34"/>
  <c r="BL130" i="34"/>
  <c r="BM130" i="34"/>
  <c r="BN130" i="34"/>
  <c r="BO130" i="34"/>
  <c r="BP130" i="34"/>
  <c r="J131" i="34"/>
  <c r="K131" i="34"/>
  <c r="L131" i="34"/>
  <c r="M131" i="34"/>
  <c r="N131" i="34"/>
  <c r="O131" i="34"/>
  <c r="P131" i="34"/>
  <c r="Q131" i="34"/>
  <c r="R131" i="34"/>
  <c r="S131" i="34"/>
  <c r="T131" i="34"/>
  <c r="U131" i="34"/>
  <c r="V131" i="34"/>
  <c r="W131" i="34"/>
  <c r="X131" i="34"/>
  <c r="Y131" i="34"/>
  <c r="Z131" i="34"/>
  <c r="AA131" i="34"/>
  <c r="AB131" i="34"/>
  <c r="AC131" i="34"/>
  <c r="AD131" i="34"/>
  <c r="AE131" i="34"/>
  <c r="AF131" i="34"/>
  <c r="AG131" i="34"/>
  <c r="AH131" i="34"/>
  <c r="AI131" i="34"/>
  <c r="AJ131" i="34"/>
  <c r="AK131" i="34"/>
  <c r="AL131" i="34"/>
  <c r="AM131" i="34"/>
  <c r="AN131" i="34"/>
  <c r="AO131" i="34"/>
  <c r="AP131" i="34"/>
  <c r="AQ131" i="34"/>
  <c r="AR131" i="34"/>
  <c r="AS131" i="34"/>
  <c r="AT131" i="34"/>
  <c r="AU131" i="34"/>
  <c r="AV131" i="34"/>
  <c r="AW131" i="34"/>
  <c r="AX131" i="34"/>
  <c r="AY131" i="34"/>
  <c r="AZ131" i="34"/>
  <c r="BA131" i="34"/>
  <c r="BB131" i="34"/>
  <c r="BC131" i="34"/>
  <c r="BD131" i="34"/>
  <c r="BE131" i="34"/>
  <c r="BF131" i="34"/>
  <c r="BG131" i="34"/>
  <c r="BH131" i="34"/>
  <c r="BI131" i="34"/>
  <c r="BJ131" i="34"/>
  <c r="BK131" i="34"/>
  <c r="BL131" i="34"/>
  <c r="BM131" i="34"/>
  <c r="BN131" i="34"/>
  <c r="BO131" i="34"/>
  <c r="BP131" i="34"/>
  <c r="J132" i="34"/>
  <c r="K132" i="34"/>
  <c r="L132" i="34"/>
  <c r="M132" i="34"/>
  <c r="N132" i="34"/>
  <c r="O132" i="34"/>
  <c r="P132" i="34"/>
  <c r="Q132" i="34"/>
  <c r="R132" i="34"/>
  <c r="S132" i="34"/>
  <c r="T132" i="34"/>
  <c r="U132" i="34"/>
  <c r="V132" i="34"/>
  <c r="W132" i="34"/>
  <c r="X132" i="34"/>
  <c r="Y132" i="34"/>
  <c r="Z132" i="34"/>
  <c r="AA132" i="34"/>
  <c r="AB132" i="34"/>
  <c r="AC132" i="34"/>
  <c r="AD132" i="34"/>
  <c r="AE132" i="34"/>
  <c r="AF132" i="34"/>
  <c r="AG132" i="34"/>
  <c r="AH132" i="34"/>
  <c r="AI132" i="34"/>
  <c r="AJ132" i="34"/>
  <c r="AK132" i="34"/>
  <c r="AL132" i="34"/>
  <c r="AM132" i="34"/>
  <c r="AN132" i="34"/>
  <c r="AO132" i="34"/>
  <c r="AP132" i="34"/>
  <c r="AQ132" i="34"/>
  <c r="AR132" i="34"/>
  <c r="AS132" i="34"/>
  <c r="AT132" i="34"/>
  <c r="AU132" i="34"/>
  <c r="AV132" i="34"/>
  <c r="AW132" i="34"/>
  <c r="AX132" i="34"/>
  <c r="AY132" i="34"/>
  <c r="AZ132" i="34"/>
  <c r="BA132" i="34"/>
  <c r="BB132" i="34"/>
  <c r="BC132" i="34"/>
  <c r="BD132" i="34"/>
  <c r="BE132" i="34"/>
  <c r="BF132" i="34"/>
  <c r="BG132" i="34"/>
  <c r="BH132" i="34"/>
  <c r="BI132" i="34"/>
  <c r="BJ132" i="34"/>
  <c r="BK132" i="34"/>
  <c r="BL132" i="34"/>
  <c r="BM132" i="34"/>
  <c r="BN132" i="34"/>
  <c r="BO132" i="34"/>
  <c r="BP132" i="34"/>
  <c r="J133" i="34"/>
  <c r="K133" i="34"/>
  <c r="L133" i="34"/>
  <c r="M133" i="34"/>
  <c r="N133" i="34"/>
  <c r="O133" i="34"/>
  <c r="P133" i="34"/>
  <c r="Q133" i="34"/>
  <c r="R133" i="34"/>
  <c r="S133" i="34"/>
  <c r="T133" i="34"/>
  <c r="U133" i="34"/>
  <c r="V133" i="34"/>
  <c r="W133" i="34"/>
  <c r="X133" i="34"/>
  <c r="Y133" i="34"/>
  <c r="Z133" i="34"/>
  <c r="AA133" i="34"/>
  <c r="AB133" i="34"/>
  <c r="AC133" i="34"/>
  <c r="AD133" i="34"/>
  <c r="AE133" i="34"/>
  <c r="AF133" i="34"/>
  <c r="AG133" i="34"/>
  <c r="AH133" i="34"/>
  <c r="AI133" i="34"/>
  <c r="AJ133" i="34"/>
  <c r="AK133" i="34"/>
  <c r="AL133" i="34"/>
  <c r="AM133" i="34"/>
  <c r="AN133" i="34"/>
  <c r="AO133" i="34"/>
  <c r="AP133" i="34"/>
  <c r="AQ133" i="34"/>
  <c r="AR133" i="34"/>
  <c r="AS133" i="34"/>
  <c r="AT133" i="34"/>
  <c r="AU133" i="34"/>
  <c r="AV133" i="34"/>
  <c r="AW133" i="34"/>
  <c r="AX133" i="34"/>
  <c r="AY133" i="34"/>
  <c r="AZ133" i="34"/>
  <c r="BA133" i="34"/>
  <c r="BB133" i="34"/>
  <c r="BC133" i="34"/>
  <c r="BD133" i="34"/>
  <c r="BE133" i="34"/>
  <c r="BF133" i="34"/>
  <c r="BG133" i="34"/>
  <c r="BH133" i="34"/>
  <c r="BI133" i="34"/>
  <c r="BJ133" i="34"/>
  <c r="BK133" i="34"/>
  <c r="BL133" i="34"/>
  <c r="BM133" i="34"/>
  <c r="BN133" i="34"/>
  <c r="BO133" i="34"/>
  <c r="BP133" i="34"/>
  <c r="J134" i="34"/>
  <c r="K134" i="34"/>
  <c r="L134" i="34"/>
  <c r="M134" i="34"/>
  <c r="N134" i="34"/>
  <c r="O134" i="34"/>
  <c r="P134" i="34"/>
  <c r="Q134" i="34"/>
  <c r="R134" i="34"/>
  <c r="S134" i="34"/>
  <c r="T134" i="34"/>
  <c r="U134" i="34"/>
  <c r="V134" i="34"/>
  <c r="W134" i="34"/>
  <c r="X134" i="34"/>
  <c r="Y134" i="34"/>
  <c r="Z134" i="34"/>
  <c r="AA134" i="34"/>
  <c r="AB134" i="34"/>
  <c r="AC134" i="34"/>
  <c r="AD134" i="34"/>
  <c r="AE134" i="34"/>
  <c r="AF134" i="34"/>
  <c r="AG134" i="34"/>
  <c r="AH134" i="34"/>
  <c r="AI134" i="34"/>
  <c r="AJ134" i="34"/>
  <c r="AK134" i="34"/>
  <c r="AL134" i="34"/>
  <c r="AM134" i="34"/>
  <c r="AN134" i="34"/>
  <c r="AO134" i="34"/>
  <c r="AP134" i="34"/>
  <c r="AQ134" i="34"/>
  <c r="AR134" i="34"/>
  <c r="AS134" i="34"/>
  <c r="AT134" i="34"/>
  <c r="AU134" i="34"/>
  <c r="AV134" i="34"/>
  <c r="AW134" i="34"/>
  <c r="AX134" i="34"/>
  <c r="AY134" i="34"/>
  <c r="AZ134" i="34"/>
  <c r="BA134" i="34"/>
  <c r="BB134" i="34"/>
  <c r="BC134" i="34"/>
  <c r="BD134" i="34"/>
  <c r="BE134" i="34"/>
  <c r="BF134" i="34"/>
  <c r="BG134" i="34"/>
  <c r="BH134" i="34"/>
  <c r="BI134" i="34"/>
  <c r="BJ134" i="34"/>
  <c r="BK134" i="34"/>
  <c r="BL134" i="34"/>
  <c r="BM134" i="34"/>
  <c r="BN134" i="34"/>
  <c r="BO134" i="34"/>
  <c r="BP134" i="34"/>
  <c r="J135" i="34"/>
  <c r="K135" i="34"/>
  <c r="L135" i="34"/>
  <c r="M135" i="34"/>
  <c r="N135" i="34"/>
  <c r="O135" i="34"/>
  <c r="P135" i="34"/>
  <c r="Q135" i="34"/>
  <c r="R135" i="34"/>
  <c r="S135" i="34"/>
  <c r="T135" i="34"/>
  <c r="U135" i="34"/>
  <c r="V135" i="34"/>
  <c r="W135" i="34"/>
  <c r="X135" i="34"/>
  <c r="Y135" i="34"/>
  <c r="Z135" i="34"/>
  <c r="AA135" i="34"/>
  <c r="AB135" i="34"/>
  <c r="AC135" i="34"/>
  <c r="AD135" i="34"/>
  <c r="AE135" i="34"/>
  <c r="AF135" i="34"/>
  <c r="AG135" i="34"/>
  <c r="AH135" i="34"/>
  <c r="AI135" i="34"/>
  <c r="AJ135" i="34"/>
  <c r="AK135" i="34"/>
  <c r="AL135" i="34"/>
  <c r="AM135" i="34"/>
  <c r="AN135" i="34"/>
  <c r="AO135" i="34"/>
  <c r="AP135" i="34"/>
  <c r="AQ135" i="34"/>
  <c r="AR135" i="34"/>
  <c r="AS135" i="34"/>
  <c r="AT135" i="34"/>
  <c r="AU135" i="34"/>
  <c r="AV135" i="34"/>
  <c r="AW135" i="34"/>
  <c r="AX135" i="34"/>
  <c r="AY135" i="34"/>
  <c r="AZ135" i="34"/>
  <c r="BA135" i="34"/>
  <c r="BB135" i="34"/>
  <c r="BC135" i="34"/>
  <c r="BD135" i="34"/>
  <c r="BE135" i="34"/>
  <c r="BF135" i="34"/>
  <c r="BG135" i="34"/>
  <c r="BH135" i="34"/>
  <c r="BI135" i="34"/>
  <c r="BJ135" i="34"/>
  <c r="BK135" i="34"/>
  <c r="BL135" i="34"/>
  <c r="BM135" i="34"/>
  <c r="BN135" i="34"/>
  <c r="BO135" i="34"/>
  <c r="BP135" i="34"/>
  <c r="I123" i="34"/>
  <c r="I124" i="34"/>
  <c r="I125" i="34"/>
  <c r="I126" i="34"/>
  <c r="I127" i="34"/>
  <c r="I128" i="34"/>
  <c r="I129" i="34"/>
  <c r="I130" i="34"/>
  <c r="I131" i="34"/>
  <c r="I132" i="34"/>
  <c r="I133" i="34"/>
  <c r="I134" i="34"/>
  <c r="I135" i="34"/>
  <c r="H123" i="34"/>
  <c r="H99" i="46"/>
  <c r="C98" i="46"/>
  <c r="C99" i="46" s="1"/>
  <c r="C97" i="46"/>
  <c r="A97" i="46"/>
  <c r="A98" i="46" s="1"/>
  <c r="A99" i="46" s="1"/>
  <c r="C96" i="46"/>
  <c r="B96" i="46"/>
  <c r="B97" i="46" s="1"/>
  <c r="B98" i="46" s="1"/>
  <c r="B99" i="46" s="1"/>
  <c r="A96" i="46"/>
  <c r="D135" i="34"/>
  <c r="E135" i="34" s="1"/>
  <c r="D129" i="34"/>
  <c r="E123" i="34"/>
  <c r="B87" i="36"/>
  <c r="B95" i="36" s="1"/>
  <c r="B97" i="36" s="1"/>
  <c r="A87" i="36"/>
  <c r="A93" i="36" s="1"/>
  <c r="B5" i="46"/>
  <c r="B8" i="46"/>
  <c r="AH4" i="50"/>
  <c r="AI4" i="50"/>
  <c r="AM4" i="50"/>
  <c r="AN4" i="50"/>
  <c r="AO4" i="50"/>
  <c r="AN9" i="36"/>
  <c r="AN40" i="34" s="1"/>
  <c r="AO9" i="36"/>
  <c r="AO40" i="34" s="1"/>
  <c r="AP9" i="36"/>
  <c r="AP40" i="34" s="1"/>
  <c r="AQ9" i="36"/>
  <c r="AQ40" i="34" s="1"/>
  <c r="AR9" i="36"/>
  <c r="AR40" i="34" s="1"/>
  <c r="AS9" i="36"/>
  <c r="AS40" i="34" s="1"/>
  <c r="AT9" i="36"/>
  <c r="AT40" i="34" s="1"/>
  <c r="AU9" i="36"/>
  <c r="AU40" i="34" s="1"/>
  <c r="AV9" i="36"/>
  <c r="AV40" i="34" s="1"/>
  <c r="AW9" i="36"/>
  <c r="AW40" i="34" s="1"/>
  <c r="AX9" i="36"/>
  <c r="AX40" i="34" s="1"/>
  <c r="AY9" i="36"/>
  <c r="AY40" i="34" s="1"/>
  <c r="AZ9" i="36"/>
  <c r="AZ40" i="34" s="1"/>
  <c r="BA9" i="36"/>
  <c r="BA40" i="34" s="1"/>
  <c r="BB9" i="36"/>
  <c r="BB40" i="34" s="1"/>
  <c r="BC9" i="36"/>
  <c r="BC40" i="34" s="1"/>
  <c r="BD9" i="36"/>
  <c r="BD40" i="34" s="1"/>
  <c r="BE9" i="36"/>
  <c r="BE40" i="34" s="1"/>
  <c r="BF9" i="36"/>
  <c r="BF40" i="34" s="1"/>
  <c r="BG9" i="36"/>
  <c r="BG40" i="34" s="1"/>
  <c r="BH9" i="36"/>
  <c r="BH40" i="34" s="1"/>
  <c r="BI9" i="36"/>
  <c r="BI40" i="34" s="1"/>
  <c r="BJ9" i="36"/>
  <c r="BJ40" i="34" s="1"/>
  <c r="BK9" i="36"/>
  <c r="BK40" i="34" s="1"/>
  <c r="BL9" i="36"/>
  <c r="BL40" i="34" s="1"/>
  <c r="BM9" i="36"/>
  <c r="BM40" i="34" s="1"/>
  <c r="BN9" i="36"/>
  <c r="BN40" i="34" s="1"/>
  <c r="BO9" i="36"/>
  <c r="BO40" i="34" s="1"/>
  <c r="BP9" i="36"/>
  <c r="BP40" i="34" s="1"/>
  <c r="AL9" i="36"/>
  <c r="AL40" i="34" s="1"/>
  <c r="AM9" i="36"/>
  <c r="AM40" i="34" s="1"/>
  <c r="AN26" i="50" l="1"/>
  <c r="AN29" i="50" s="1"/>
  <c r="AS19" i="36" s="1"/>
  <c r="AS50" i="34" s="1"/>
  <c r="AN39" i="50"/>
  <c r="AN41" i="50" s="1"/>
  <c r="AS43" i="36" s="1"/>
  <c r="AM26" i="50"/>
  <c r="AM29" i="50" s="1"/>
  <c r="AR19" i="36" s="1"/>
  <c r="AR50" i="34" s="1"/>
  <c r="AM39" i="50"/>
  <c r="AM41" i="50" s="1"/>
  <c r="AR43" i="36" s="1"/>
  <c r="AI26" i="50"/>
  <c r="AI29" i="50" s="1"/>
  <c r="AN19" i="36" s="1"/>
  <c r="AN50" i="34" s="1"/>
  <c r="AI39" i="50"/>
  <c r="AI41" i="50" s="1"/>
  <c r="AN43" i="36" s="1"/>
  <c r="AO26" i="50"/>
  <c r="AO29" i="50" s="1"/>
  <c r="AT19" i="36" s="1"/>
  <c r="AT50" i="34" s="1"/>
  <c r="AO39" i="50"/>
  <c r="AO41" i="50" s="1"/>
  <c r="AT43" i="36" s="1"/>
  <c r="AH26" i="50"/>
  <c r="AH29" i="50" s="1"/>
  <c r="AM19" i="36" s="1"/>
  <c r="AM50" i="34" s="1"/>
  <c r="AH39" i="50"/>
  <c r="AH41" i="50" s="1"/>
  <c r="AM43" i="36" s="1"/>
  <c r="AR15" i="36"/>
  <c r="AR46" i="34" s="1"/>
  <c r="AM22" i="50"/>
  <c r="AM25" i="50" s="1"/>
  <c r="AR17" i="36" s="1"/>
  <c r="AR48" i="34" s="1"/>
  <c r="AS15" i="36"/>
  <c r="AS46" i="34" s="1"/>
  <c r="AN22" i="50"/>
  <c r="AN25" i="50" s="1"/>
  <c r="AS17" i="36" s="1"/>
  <c r="AS48" i="34" s="1"/>
  <c r="AN15" i="36"/>
  <c r="AN46" i="34" s="1"/>
  <c r="AI22" i="50"/>
  <c r="AI25" i="50" s="1"/>
  <c r="AN17" i="36" s="1"/>
  <c r="AN48" i="34" s="1"/>
  <c r="AT15" i="36"/>
  <c r="AT46" i="34" s="1"/>
  <c r="AO22" i="50"/>
  <c r="AO25" i="50" s="1"/>
  <c r="AT17" i="36" s="1"/>
  <c r="AT48" i="34" s="1"/>
  <c r="AM15" i="36"/>
  <c r="AM46" i="34" s="1"/>
  <c r="AH22" i="50"/>
  <c r="AH25" i="50" s="1"/>
  <c r="AM17" i="36" s="1"/>
  <c r="AM48" i="34" s="1"/>
  <c r="AM15" i="50"/>
  <c r="AM17" i="50"/>
  <c r="AR13" i="36" s="1"/>
  <c r="AR44" i="34" s="1"/>
  <c r="AN15" i="50"/>
  <c r="AN17" i="50"/>
  <c r="AS13" i="36" s="1"/>
  <c r="AS44" i="34" s="1"/>
  <c r="AI15" i="50"/>
  <c r="AI17" i="50"/>
  <c r="AN13" i="36" s="1"/>
  <c r="AN44" i="34" s="1"/>
  <c r="AO15" i="50"/>
  <c r="AO17" i="50"/>
  <c r="AT13" i="36" s="1"/>
  <c r="AT44" i="34" s="1"/>
  <c r="AH15" i="50"/>
  <c r="AH17" i="50"/>
  <c r="AM13" i="36" s="1"/>
  <c r="AM44" i="34" s="1"/>
  <c r="AI5" i="50"/>
  <c r="AI8" i="50" s="1"/>
  <c r="AN8" i="36" s="1"/>
  <c r="AN39" i="34" s="1"/>
  <c r="AI9" i="50"/>
  <c r="AO5" i="50"/>
  <c r="AO9" i="50"/>
  <c r="AH5" i="50"/>
  <c r="AH8" i="50" s="1"/>
  <c r="AM8" i="36" s="1"/>
  <c r="AM39" i="34" s="1"/>
  <c r="AH9" i="50"/>
  <c r="AN5" i="50"/>
  <c r="AN9" i="50"/>
  <c r="AM5" i="50"/>
  <c r="AM8" i="50" s="1"/>
  <c r="AR8" i="36" s="1"/>
  <c r="AR39" i="34" s="1"/>
  <c r="AM9" i="50"/>
  <c r="AO8" i="50"/>
  <c r="AT8" i="36" s="1"/>
  <c r="AT39" i="34" s="1"/>
  <c r="AT10" i="36"/>
  <c r="AT41" i="34" s="1"/>
  <c r="AN8" i="50"/>
  <c r="AS8" i="36" s="1"/>
  <c r="AS39" i="34" s="1"/>
  <c r="AS10" i="36"/>
  <c r="AS41" i="34" s="1"/>
  <c r="B93" i="36"/>
  <c r="E129" i="34"/>
  <c r="A91" i="36"/>
  <c r="A95" i="36"/>
  <c r="A97" i="36" s="1"/>
  <c r="B89" i="36"/>
  <c r="A89" i="36"/>
  <c r="B91" i="36"/>
  <c r="AR10" i="36" l="1"/>
  <c r="AR41" i="34" s="1"/>
  <c r="AM10" i="36"/>
  <c r="AM41" i="34" s="1"/>
  <c r="AN10" i="36"/>
  <c r="AN41" i="34" s="1"/>
  <c r="AJ18" i="36" l="1"/>
  <c r="AJ49" i="34" s="1"/>
  <c r="F124" i="48"/>
  <c r="G124" i="48"/>
  <c r="H124" i="48"/>
  <c r="I124" i="48"/>
  <c r="J124" i="48"/>
  <c r="K124" i="48"/>
  <c r="L124" i="48"/>
  <c r="M124" i="48"/>
  <c r="N124" i="48"/>
  <c r="O124" i="48"/>
  <c r="P124" i="48"/>
  <c r="Q124" i="48"/>
  <c r="R124" i="48"/>
  <c r="S124" i="48"/>
  <c r="T124" i="48"/>
  <c r="U124" i="48"/>
  <c r="V124" i="48"/>
  <c r="W124" i="48"/>
  <c r="X124" i="48"/>
  <c r="Y124" i="48"/>
  <c r="Z124" i="48"/>
  <c r="AA124" i="48"/>
  <c r="AB124" i="48"/>
  <c r="AC124" i="48"/>
  <c r="AD124" i="48"/>
  <c r="AE124" i="48"/>
  <c r="AF124" i="48"/>
  <c r="E124" i="48"/>
  <c r="AD20" i="50" l="1"/>
  <c r="AJ22" i="36"/>
  <c r="AJ53" i="34" s="1"/>
  <c r="AJ21" i="36"/>
  <c r="AJ52" i="34" s="1"/>
  <c r="E13" i="48"/>
  <c r="D12" i="55"/>
  <c r="E12" i="55"/>
  <c r="F12" i="55"/>
  <c r="G12" i="55"/>
  <c r="H12" i="55"/>
  <c r="I12" i="55"/>
  <c r="J12" i="55"/>
  <c r="K12" i="55"/>
  <c r="L12" i="55"/>
  <c r="M12" i="55"/>
  <c r="N12" i="55"/>
  <c r="O12" i="55"/>
  <c r="P12" i="55"/>
  <c r="Q12" i="55"/>
  <c r="R12" i="55"/>
  <c r="S12" i="55"/>
  <c r="T12" i="55"/>
  <c r="U12" i="55"/>
  <c r="C12" i="55"/>
  <c r="D6" i="55"/>
  <c r="E6" i="55"/>
  <c r="F6" i="55"/>
  <c r="G6" i="55"/>
  <c r="H6" i="55"/>
  <c r="I6" i="55"/>
  <c r="J6" i="55"/>
  <c r="K6" i="55"/>
  <c r="L6" i="55"/>
  <c r="M6" i="55"/>
  <c r="N6" i="55"/>
  <c r="O6" i="55"/>
  <c r="P6" i="55"/>
  <c r="Q6" i="55"/>
  <c r="R6" i="55"/>
  <c r="S6" i="55"/>
  <c r="T6" i="55"/>
  <c r="U6" i="55"/>
  <c r="C6" i="55"/>
  <c r="AA28" i="55"/>
  <c r="AB28" i="55" s="1"/>
  <c r="AC28" i="55" s="1"/>
  <c r="AD28" i="55" s="1"/>
  <c r="AE28" i="55" s="1"/>
  <c r="Z28" i="55"/>
  <c r="S11" i="55"/>
  <c r="T11" i="55"/>
  <c r="U11" i="55"/>
  <c r="V11" i="55"/>
  <c r="W11" i="55"/>
  <c r="X11" i="55"/>
  <c r="Y11" i="55"/>
  <c r="Z11" i="55"/>
  <c r="AA11" i="55"/>
  <c r="AB11" i="55"/>
  <c r="AC11" i="55"/>
  <c r="AD11" i="55"/>
  <c r="AE11" i="55"/>
  <c r="R11" i="55"/>
  <c r="D24" i="55"/>
  <c r="E24" i="55"/>
  <c r="F24" i="55"/>
  <c r="G24" i="55"/>
  <c r="H24" i="55"/>
  <c r="I24" i="55"/>
  <c r="J24" i="55"/>
  <c r="K24" i="55"/>
  <c r="L24" i="55"/>
  <c r="M24" i="55"/>
  <c r="N24" i="55"/>
  <c r="O24" i="55"/>
  <c r="P24" i="55"/>
  <c r="Q24" i="55"/>
  <c r="R24" i="55"/>
  <c r="S24" i="55"/>
  <c r="T24" i="55"/>
  <c r="U24" i="55"/>
  <c r="C24" i="55"/>
  <c r="D37" i="55"/>
  <c r="E37" i="55"/>
  <c r="F37" i="55"/>
  <c r="G37" i="55"/>
  <c r="H37" i="55"/>
  <c r="I37" i="55"/>
  <c r="J37" i="55"/>
  <c r="K37" i="55"/>
  <c r="L37" i="55"/>
  <c r="M37" i="55"/>
  <c r="N37" i="55"/>
  <c r="O37" i="55"/>
  <c r="P37" i="55"/>
  <c r="Q37" i="55"/>
  <c r="R37" i="55"/>
  <c r="S37" i="55"/>
  <c r="T37" i="55"/>
  <c r="C37" i="55"/>
  <c r="D31" i="55"/>
  <c r="E31" i="55"/>
  <c r="F31" i="55"/>
  <c r="G31" i="55"/>
  <c r="H31" i="55"/>
  <c r="I31" i="55"/>
  <c r="J31" i="55"/>
  <c r="K31" i="55"/>
  <c r="L31" i="55"/>
  <c r="M31" i="55"/>
  <c r="N31" i="55"/>
  <c r="O31" i="55"/>
  <c r="P31" i="55"/>
  <c r="Q31" i="55"/>
  <c r="R31" i="55"/>
  <c r="S31" i="55"/>
  <c r="C31" i="55"/>
  <c r="AD12" i="50"/>
  <c r="D18" i="55"/>
  <c r="E18" i="55"/>
  <c r="F18" i="55"/>
  <c r="G18" i="55"/>
  <c r="H18" i="55"/>
  <c r="I18" i="55"/>
  <c r="J18" i="55"/>
  <c r="K18" i="55"/>
  <c r="L18" i="55"/>
  <c r="M18" i="55"/>
  <c r="N18" i="55"/>
  <c r="O18" i="55"/>
  <c r="P18" i="55"/>
  <c r="Q18" i="55"/>
  <c r="R18" i="55"/>
  <c r="S18" i="55"/>
  <c r="T18" i="55"/>
  <c r="U18" i="55"/>
  <c r="C18" i="55"/>
  <c r="D38" i="55"/>
  <c r="E38" i="55"/>
  <c r="F38" i="55"/>
  <c r="G38" i="55"/>
  <c r="H38" i="55"/>
  <c r="I38" i="55"/>
  <c r="J38" i="55"/>
  <c r="K38" i="55"/>
  <c r="L38" i="55"/>
  <c r="M38" i="55"/>
  <c r="N38" i="55"/>
  <c r="O38" i="55"/>
  <c r="P38" i="55"/>
  <c r="Q38" i="55"/>
  <c r="R38" i="55"/>
  <c r="S38" i="55"/>
  <c r="T38" i="55"/>
  <c r="C38" i="55"/>
  <c r="D32" i="55"/>
  <c r="E32" i="55"/>
  <c r="F32" i="55"/>
  <c r="G32" i="55"/>
  <c r="H32" i="55"/>
  <c r="I32" i="55"/>
  <c r="J32" i="55"/>
  <c r="K32" i="55"/>
  <c r="L32" i="55"/>
  <c r="M32" i="55"/>
  <c r="N32" i="55"/>
  <c r="O32" i="55"/>
  <c r="P32" i="55"/>
  <c r="Q32" i="55"/>
  <c r="R32" i="55"/>
  <c r="S32" i="55"/>
  <c r="T32" i="55"/>
  <c r="U32" i="55"/>
  <c r="C32" i="55"/>
  <c r="D25" i="55"/>
  <c r="E25" i="55"/>
  <c r="F25" i="55"/>
  <c r="G25" i="55"/>
  <c r="H25" i="55"/>
  <c r="I25" i="55"/>
  <c r="J25" i="55"/>
  <c r="K25" i="55"/>
  <c r="L25" i="55"/>
  <c r="M25" i="55"/>
  <c r="N25" i="55"/>
  <c r="O25" i="55"/>
  <c r="P25" i="55"/>
  <c r="Q25" i="55"/>
  <c r="R25" i="55"/>
  <c r="S25" i="55"/>
  <c r="T25" i="55"/>
  <c r="U25" i="55"/>
  <c r="C25" i="55"/>
  <c r="D19" i="55"/>
  <c r="E19" i="55"/>
  <c r="F19" i="55"/>
  <c r="G19" i="55"/>
  <c r="H19" i="55"/>
  <c r="I19" i="55"/>
  <c r="J19" i="55"/>
  <c r="K19" i="55"/>
  <c r="L19" i="55"/>
  <c r="M19" i="55"/>
  <c r="N19" i="55"/>
  <c r="O19" i="55"/>
  <c r="P19" i="55"/>
  <c r="Q19" i="55"/>
  <c r="R19" i="55"/>
  <c r="S19" i="55"/>
  <c r="T19" i="55"/>
  <c r="C19" i="55"/>
  <c r="D13" i="55"/>
  <c r="E13" i="55"/>
  <c r="F13" i="55"/>
  <c r="G13" i="55"/>
  <c r="H13" i="55"/>
  <c r="I13" i="55"/>
  <c r="J13" i="55"/>
  <c r="K13" i="55"/>
  <c r="L13" i="55"/>
  <c r="M13" i="55"/>
  <c r="N13" i="55"/>
  <c r="O13" i="55"/>
  <c r="P13" i="55"/>
  <c r="Q13" i="55"/>
  <c r="R13" i="55"/>
  <c r="S13" i="55"/>
  <c r="T13" i="55"/>
  <c r="U13" i="55"/>
  <c r="C13" i="55"/>
  <c r="D7" i="55"/>
  <c r="E7" i="55"/>
  <c r="F7" i="55"/>
  <c r="G7" i="55"/>
  <c r="H7" i="55"/>
  <c r="I7" i="55"/>
  <c r="J7" i="55"/>
  <c r="K7" i="55"/>
  <c r="L7" i="55"/>
  <c r="M7" i="55"/>
  <c r="N7" i="55"/>
  <c r="O7" i="55"/>
  <c r="P7" i="55"/>
  <c r="Q7" i="55"/>
  <c r="R7" i="55"/>
  <c r="S7" i="55"/>
  <c r="T7" i="55"/>
  <c r="U7" i="55"/>
  <c r="C7" i="55"/>
  <c r="AI20" i="50" l="1"/>
  <c r="AN11" i="36" s="1"/>
  <c r="AN42" i="34" s="1"/>
  <c r="AE20" i="50"/>
  <c r="AJ11" i="36" s="1"/>
  <c r="AH20" i="50"/>
  <c r="AM11" i="36" s="1"/>
  <c r="AM42" i="34" s="1"/>
  <c r="AN20" i="50"/>
  <c r="AS11" i="36" s="1"/>
  <c r="AS42" i="34" s="1"/>
  <c r="AO20" i="50"/>
  <c r="AT11" i="36" s="1"/>
  <c r="AT42" i="34" s="1"/>
  <c r="AM20" i="50"/>
  <c r="AR11" i="36" s="1"/>
  <c r="AR42" i="34" s="1"/>
  <c r="T31" i="55"/>
  <c r="AE12" i="50"/>
  <c r="AN12" i="50"/>
  <c r="AN13" i="50" s="1"/>
  <c r="AS7" i="36" s="1"/>
  <c r="AS38" i="34" s="1"/>
  <c r="AI12" i="50"/>
  <c r="AI13" i="50" s="1"/>
  <c r="AN7" i="36" s="1"/>
  <c r="AN38" i="34" s="1"/>
  <c r="AO12" i="50"/>
  <c r="AO13" i="50" s="1"/>
  <c r="AT7" i="36" s="1"/>
  <c r="AT38" i="34" s="1"/>
  <c r="AM12" i="50"/>
  <c r="AM13" i="50" s="1"/>
  <c r="AR7" i="36" s="1"/>
  <c r="AR38" i="34" s="1"/>
  <c r="AH12" i="50"/>
  <c r="AH13" i="50" s="1"/>
  <c r="AM7" i="36" s="1"/>
  <c r="AM38" i="34" s="1"/>
  <c r="F22" i="48"/>
  <c r="G22" i="48"/>
  <c r="H22" i="48"/>
  <c r="I22" i="48"/>
  <c r="J22" i="48"/>
  <c r="K22" i="48"/>
  <c r="L22" i="48"/>
  <c r="M22" i="48"/>
  <c r="N22" i="48"/>
  <c r="O22" i="48"/>
  <c r="P22" i="48"/>
  <c r="Q22" i="48"/>
  <c r="R22" i="48"/>
  <c r="S22" i="48"/>
  <c r="T22" i="48"/>
  <c r="U22" i="48"/>
  <c r="V22" i="48"/>
  <c r="W22" i="48"/>
  <c r="X22" i="48"/>
  <c r="Y22" i="48"/>
  <c r="Z22" i="48"/>
  <c r="AA22" i="48"/>
  <c r="AB22" i="48"/>
  <c r="AC22" i="48"/>
  <c r="AD22" i="48"/>
  <c r="AE22" i="48"/>
  <c r="AF22" i="48"/>
  <c r="E22" i="48"/>
  <c r="D27" i="50"/>
  <c r="E27" i="50"/>
  <c r="F27" i="50"/>
  <c r="G27" i="50"/>
  <c r="H27" i="50"/>
  <c r="I27" i="50"/>
  <c r="J27" i="50"/>
  <c r="K27" i="50"/>
  <c r="L27" i="50"/>
  <c r="M27" i="50"/>
  <c r="N27" i="50"/>
  <c r="O27" i="50"/>
  <c r="P27" i="50"/>
  <c r="Q27" i="50"/>
  <c r="R27" i="50"/>
  <c r="S27" i="50"/>
  <c r="T27" i="50"/>
  <c r="U27" i="50"/>
  <c r="V27" i="50"/>
  <c r="W27" i="50"/>
  <c r="X27" i="50"/>
  <c r="Y27" i="50"/>
  <c r="Z27" i="50"/>
  <c r="AA27" i="50"/>
  <c r="AB27" i="50"/>
  <c r="AC27" i="50"/>
  <c r="AD27" i="50"/>
  <c r="AE27" i="50"/>
  <c r="C27" i="50"/>
  <c r="D31" i="50"/>
  <c r="E31" i="50"/>
  <c r="F31" i="50"/>
  <c r="G31" i="50"/>
  <c r="H31" i="50"/>
  <c r="I31" i="50"/>
  <c r="J31" i="50"/>
  <c r="K31" i="50"/>
  <c r="L31" i="50"/>
  <c r="M31" i="50"/>
  <c r="N31" i="50"/>
  <c r="O31" i="50"/>
  <c r="P31" i="50"/>
  <c r="Q31" i="50"/>
  <c r="R31" i="50"/>
  <c r="S31" i="50"/>
  <c r="T31" i="50"/>
  <c r="U31" i="50"/>
  <c r="V31" i="50"/>
  <c r="W31" i="50"/>
  <c r="X31" i="50"/>
  <c r="Y31" i="50"/>
  <c r="Z31" i="50"/>
  <c r="AA31" i="50"/>
  <c r="AB31" i="50"/>
  <c r="AC31" i="50"/>
  <c r="AD31" i="50"/>
  <c r="AE31" i="50"/>
  <c r="C31" i="50"/>
  <c r="D23" i="50"/>
  <c r="E23" i="50"/>
  <c r="F23" i="50"/>
  <c r="G23" i="50"/>
  <c r="H23" i="50"/>
  <c r="I23" i="50"/>
  <c r="J23" i="50"/>
  <c r="K23" i="50"/>
  <c r="L23" i="50"/>
  <c r="M23" i="50"/>
  <c r="N23" i="50"/>
  <c r="O23" i="50"/>
  <c r="P23" i="50"/>
  <c r="Q23" i="50"/>
  <c r="R23" i="50"/>
  <c r="S23" i="50"/>
  <c r="T23" i="50"/>
  <c r="U23" i="50"/>
  <c r="V23" i="50"/>
  <c r="W23" i="50"/>
  <c r="X23" i="50"/>
  <c r="Y23" i="50"/>
  <c r="Z23" i="50"/>
  <c r="AA23" i="50"/>
  <c r="AB23" i="50"/>
  <c r="AC23" i="50"/>
  <c r="AD23" i="50"/>
  <c r="AE23" i="50"/>
  <c r="C23" i="50"/>
  <c r="D19" i="50"/>
  <c r="E19" i="50"/>
  <c r="F19" i="50"/>
  <c r="G19" i="50"/>
  <c r="H19" i="50"/>
  <c r="I19" i="50"/>
  <c r="J19" i="50"/>
  <c r="K19" i="50"/>
  <c r="L19" i="50"/>
  <c r="M19" i="50"/>
  <c r="N19" i="50"/>
  <c r="O19" i="50"/>
  <c r="P19" i="50"/>
  <c r="Q19" i="50"/>
  <c r="R19" i="50"/>
  <c r="S19" i="50"/>
  <c r="T19" i="50"/>
  <c r="U19" i="50"/>
  <c r="V19" i="50"/>
  <c r="W19" i="50"/>
  <c r="X19" i="50"/>
  <c r="Y19" i="50"/>
  <c r="Z19" i="50"/>
  <c r="AA19" i="50"/>
  <c r="AB19" i="50"/>
  <c r="AC19" i="50"/>
  <c r="AD19" i="50"/>
  <c r="C19" i="50"/>
  <c r="D10" i="50"/>
  <c r="E10" i="50"/>
  <c r="F10" i="50"/>
  <c r="G10" i="50"/>
  <c r="H10" i="50"/>
  <c r="I10" i="50"/>
  <c r="J10" i="50"/>
  <c r="K10" i="50"/>
  <c r="L10" i="50"/>
  <c r="M10" i="50"/>
  <c r="N10" i="50"/>
  <c r="O10" i="50"/>
  <c r="P10" i="50"/>
  <c r="Q10" i="50"/>
  <c r="R10" i="50"/>
  <c r="S10" i="50"/>
  <c r="T10" i="50"/>
  <c r="U10" i="50"/>
  <c r="V10" i="50"/>
  <c r="W10" i="50"/>
  <c r="X10" i="50"/>
  <c r="Y10" i="50"/>
  <c r="Z10" i="50"/>
  <c r="AA10" i="50"/>
  <c r="AB10" i="50"/>
  <c r="AC10" i="50"/>
  <c r="AD10" i="50"/>
  <c r="AE10" i="50"/>
  <c r="C10" i="50"/>
  <c r="D7" i="50"/>
  <c r="E7" i="50"/>
  <c r="F7" i="50"/>
  <c r="G7" i="50"/>
  <c r="H7" i="50"/>
  <c r="I7" i="50"/>
  <c r="J7" i="50"/>
  <c r="K7" i="50"/>
  <c r="L7" i="50"/>
  <c r="M7" i="50"/>
  <c r="N7" i="50"/>
  <c r="O7" i="50"/>
  <c r="P7" i="50"/>
  <c r="Q7" i="50"/>
  <c r="R7" i="50"/>
  <c r="S7" i="50"/>
  <c r="T7" i="50"/>
  <c r="U7" i="50"/>
  <c r="V7" i="50"/>
  <c r="W7" i="50"/>
  <c r="X7" i="50"/>
  <c r="Y7" i="50"/>
  <c r="Z7" i="50"/>
  <c r="AA7" i="50"/>
  <c r="AB7" i="50"/>
  <c r="AC7" i="50"/>
  <c r="AD7" i="50"/>
  <c r="C7" i="50"/>
  <c r="AJ12" i="36" l="1"/>
  <c r="AJ43" i="34" s="1"/>
  <c r="AJ42" i="34"/>
  <c r="AN5" i="36"/>
  <c r="AN36" i="34" s="1"/>
  <c r="AM5" i="36"/>
  <c r="AM36" i="34" s="1"/>
  <c r="AS5" i="36"/>
  <c r="AS36" i="34" s="1"/>
  <c r="AR5" i="36"/>
  <c r="AR36" i="34" s="1"/>
  <c r="U31" i="55"/>
  <c r="AE13" i="50"/>
  <c r="AJ7" i="36" s="1"/>
  <c r="AJ38" i="34" s="1"/>
  <c r="AT5" i="36"/>
  <c r="AT36" i="34" s="1"/>
  <c r="U37" i="55"/>
  <c r="U38" i="55"/>
  <c r="AR6" i="36" l="1"/>
  <c r="AR37" i="34" s="1"/>
  <c r="AT6" i="36"/>
  <c r="AT37" i="34" s="1"/>
  <c r="AS6" i="36"/>
  <c r="AS37" i="34" s="1"/>
  <c r="AM6" i="36"/>
  <c r="AM37" i="34" s="1"/>
  <c r="AN6" i="36"/>
  <c r="AN37" i="34" s="1"/>
  <c r="AJ5" i="36"/>
  <c r="AJ36" i="34" s="1"/>
  <c r="AJ6" i="36" l="1"/>
  <c r="AG254" i="48" l="1"/>
  <c r="AJ37" i="34"/>
  <c r="AE37" i="50"/>
  <c r="AE35" i="50" s="1"/>
  <c r="T27" i="48" l="1"/>
  <c r="T26" i="48"/>
  <c r="H27" i="48"/>
  <c r="H26" i="48"/>
  <c r="N27" i="48"/>
  <c r="N26" i="48"/>
  <c r="U19" i="55" l="1"/>
  <c r="AE7" i="50"/>
  <c r="A27" i="46" l="1"/>
  <c r="A28" i="46" s="1"/>
  <c r="A29" i="46" s="1"/>
  <c r="A30" i="46" s="1"/>
  <c r="A31" i="46" s="1"/>
  <c r="A32" i="46" s="1"/>
  <c r="A33" i="46" s="1"/>
  <c r="A34" i="46" s="1"/>
  <c r="A35" i="46" s="1"/>
  <c r="A36" i="46" s="1"/>
  <c r="A37" i="46" s="1"/>
  <c r="A38" i="46" s="1"/>
  <c r="A39" i="46" s="1"/>
  <c r="A40" i="46" s="1"/>
  <c r="A41" i="46" s="1"/>
  <c r="A42" i="46" s="1"/>
  <c r="A43" i="46" s="1"/>
  <c r="A44" i="46" s="1"/>
  <c r="A45" i="46" s="1"/>
  <c r="A46" i="46" s="1"/>
  <c r="A47" i="46" s="1"/>
  <c r="A48" i="46" s="1"/>
  <c r="A49" i="46" s="1"/>
  <c r="A50" i="46" s="1"/>
  <c r="A51" i="46" s="1"/>
  <c r="A52" i="46" s="1"/>
  <c r="A53" i="46" s="1"/>
  <c r="A54" i="46" s="1"/>
  <c r="A55" i="46" s="1"/>
  <c r="A56" i="46" s="1"/>
  <c r="A57" i="46" s="1"/>
  <c r="A58" i="46" s="1"/>
  <c r="A59" i="46" s="1"/>
  <c r="A60" i="46" s="1"/>
  <c r="A61" i="46" s="1"/>
  <c r="A62" i="46" s="1"/>
  <c r="A63" i="46" s="1"/>
  <c r="A64" i="46" s="1"/>
  <c r="A65" i="46" s="1"/>
  <c r="A66" i="46" s="1"/>
  <c r="A67" i="46" s="1"/>
  <c r="A68" i="46" s="1"/>
  <c r="A69" i="46" s="1"/>
  <c r="A70" i="46" s="1"/>
  <c r="A71" i="46" s="1"/>
  <c r="A72" i="46" s="1"/>
  <c r="A73" i="46" s="1"/>
  <c r="A74" i="46" s="1"/>
  <c r="A75" i="46" s="1"/>
  <c r="A76" i="46" s="1"/>
  <c r="A77" i="46" s="1"/>
  <c r="A78" i="46" s="1"/>
  <c r="A79" i="46" s="1"/>
  <c r="A80" i="46" s="1"/>
  <c r="A81" i="46" s="1"/>
  <c r="A82" i="46" s="1"/>
  <c r="A83" i="46" s="1"/>
  <c r="A84" i="46" s="1"/>
  <c r="A85" i="46" s="1"/>
  <c r="A86" i="46" s="1"/>
  <c r="A87" i="46" s="1"/>
  <c r="A88" i="46" s="1"/>
  <c r="A89" i="46" s="1"/>
  <c r="A90" i="46" s="1"/>
  <c r="A91" i="46" s="1"/>
  <c r="A92" i="46" s="1"/>
  <c r="A93" i="46" s="1"/>
  <c r="A94" i="46" s="1"/>
  <c r="B27" i="46"/>
  <c r="B28" i="46" s="1"/>
  <c r="B29" i="46" s="1"/>
  <c r="B30" i="46" s="1"/>
  <c r="B31" i="46" s="1"/>
  <c r="B32" i="46" s="1"/>
  <c r="B33" i="46" s="1"/>
  <c r="B34" i="46" s="1"/>
  <c r="B35" i="46" s="1"/>
  <c r="B36" i="46" s="1"/>
  <c r="B37" i="46" s="1"/>
  <c r="B38" i="46" s="1"/>
  <c r="B39" i="46" s="1"/>
  <c r="B40" i="46" s="1"/>
  <c r="B41" i="46" s="1"/>
  <c r="B42" i="46" s="1"/>
  <c r="B43" i="46" s="1"/>
  <c r="B44" i="46" s="1"/>
  <c r="B45" i="46" s="1"/>
  <c r="B46" i="46" s="1"/>
  <c r="B47" i="46" s="1"/>
  <c r="B48" i="46" s="1"/>
  <c r="B49" i="46" s="1"/>
  <c r="B50" i="46" s="1"/>
  <c r="B51" i="46" s="1"/>
  <c r="B52" i="46" s="1"/>
  <c r="B53" i="46" s="1"/>
  <c r="B54" i="46" s="1"/>
  <c r="B55" i="46" s="1"/>
  <c r="B56" i="46" s="1"/>
  <c r="B57" i="46" s="1"/>
  <c r="B58" i="46" s="1"/>
  <c r="B59" i="46" s="1"/>
  <c r="B60" i="46" s="1"/>
  <c r="B61" i="46" s="1"/>
  <c r="B62" i="46" s="1"/>
  <c r="B63" i="46" s="1"/>
  <c r="B64" i="46" s="1"/>
  <c r="B65" i="46" s="1"/>
  <c r="B66" i="46" s="1"/>
  <c r="B67" i="46" s="1"/>
  <c r="B68" i="46" s="1"/>
  <c r="B69" i="46" s="1"/>
  <c r="B70" i="46" s="1"/>
  <c r="B71" i="46" s="1"/>
  <c r="B72" i="46" s="1"/>
  <c r="B73" i="46" s="1"/>
  <c r="B74" i="46" s="1"/>
  <c r="B75" i="46" s="1"/>
  <c r="B76" i="46" s="1"/>
  <c r="B77" i="46" s="1"/>
  <c r="B78" i="46" s="1"/>
  <c r="B79" i="46" s="1"/>
  <c r="B80" i="46" s="1"/>
  <c r="B81" i="46" s="1"/>
  <c r="B82" i="46" s="1"/>
  <c r="B83" i="46" s="1"/>
  <c r="B84" i="46" s="1"/>
  <c r="B85" i="46" s="1"/>
  <c r="B86" i="46" s="1"/>
  <c r="B87" i="46" s="1"/>
  <c r="B88" i="46" s="1"/>
  <c r="B89" i="46" s="1"/>
  <c r="B90" i="46" s="1"/>
  <c r="B91" i="46" s="1"/>
  <c r="B92" i="46" s="1"/>
  <c r="B93" i="46" s="1"/>
  <c r="B94" i="46" s="1"/>
  <c r="H27" i="46"/>
  <c r="C28" i="46"/>
  <c r="C29" i="46" s="1"/>
  <c r="C30" i="46" s="1"/>
  <c r="F28" i="46"/>
  <c r="F29" i="46" s="1"/>
  <c r="F30" i="46" s="1"/>
  <c r="F31" i="46" s="1"/>
  <c r="F32" i="46" s="1"/>
  <c r="F33" i="46" s="1"/>
  <c r="F34" i="46" s="1"/>
  <c r="F35" i="46" s="1"/>
  <c r="F36" i="46" s="1"/>
  <c r="F37" i="46" s="1"/>
  <c r="F38" i="46" s="1"/>
  <c r="F39" i="46" s="1"/>
  <c r="F40" i="46" s="1"/>
  <c r="F41" i="46" s="1"/>
  <c r="F42" i="46" s="1"/>
  <c r="F43" i="46" s="1"/>
  <c r="F44" i="46" s="1"/>
  <c r="H28" i="46"/>
  <c r="H29" i="46"/>
  <c r="H30" i="46"/>
  <c r="H31" i="46"/>
  <c r="H32" i="46"/>
  <c r="H33" i="46"/>
  <c r="H34" i="46"/>
  <c r="H35" i="46"/>
  <c r="H36" i="46"/>
  <c r="H37" i="46"/>
  <c r="H38" i="46"/>
  <c r="H39" i="46"/>
  <c r="H40" i="46"/>
  <c r="H41" i="46"/>
  <c r="H42" i="46"/>
  <c r="H43" i="46"/>
  <c r="H44" i="46"/>
  <c r="F79" i="46"/>
  <c r="F80" i="46" s="1"/>
  <c r="F81" i="46" s="1"/>
  <c r="F82" i="46" s="1"/>
  <c r="F83" i="46" s="1"/>
  <c r="F84" i="46" s="1"/>
  <c r="F85" i="46" s="1"/>
  <c r="F86" i="46" s="1"/>
  <c r="F87" i="46" s="1"/>
  <c r="F88" i="46" s="1"/>
  <c r="F89" i="46" s="1"/>
  <c r="F90" i="46" s="1"/>
  <c r="F91" i="46" s="1"/>
  <c r="F92" i="46" s="1"/>
  <c r="F93" i="46" s="1"/>
  <c r="F94" i="46" s="1"/>
  <c r="C26" i="46"/>
  <c r="B26" i="46"/>
  <c r="A26" i="46"/>
  <c r="C22" i="46"/>
  <c r="C23" i="46" s="1"/>
  <c r="C21" i="46"/>
  <c r="C20" i="46"/>
  <c r="C24" i="46" s="1"/>
  <c r="C19" i="46"/>
  <c r="A18" i="46"/>
  <c r="A19" i="46" s="1"/>
  <c r="A20" i="46" s="1"/>
  <c r="A21" i="46" s="1"/>
  <c r="A22" i="46" s="1"/>
  <c r="A23" i="46" s="1"/>
  <c r="A24" i="46" s="1"/>
  <c r="D18" i="46"/>
  <c r="C18" i="46"/>
  <c r="C31" i="46" l="1"/>
  <c r="C32" i="46" l="1"/>
  <c r="C33" i="46" l="1"/>
  <c r="C34" i="46" l="1"/>
  <c r="C35" i="46" l="1"/>
  <c r="C36" i="46" l="1"/>
  <c r="C37" i="46" l="1"/>
  <c r="C38" i="46" l="1"/>
  <c r="C39" i="46" l="1"/>
  <c r="C40" i="46" l="1"/>
  <c r="C41" i="46" l="1"/>
  <c r="C42" i="46" l="1"/>
  <c r="C43" i="46" l="1"/>
  <c r="C44" i="46" l="1"/>
  <c r="D61" i="45" l="1"/>
  <c r="D62" i="45"/>
  <c r="D63" i="45"/>
  <c r="D65" i="45"/>
  <c r="AG4" i="50"/>
  <c r="AG39" i="50" s="1"/>
  <c r="AG41" i="50" s="1"/>
  <c r="AL43" i="36" s="1"/>
  <c r="AJ4" i="50"/>
  <c r="AJ39" i="50" s="1"/>
  <c r="AJ41" i="50" s="1"/>
  <c r="AO43" i="36" s="1"/>
  <c r="AK4" i="50"/>
  <c r="AK39" i="50" s="1"/>
  <c r="AK41" i="50" s="1"/>
  <c r="AP43" i="36" s="1"/>
  <c r="AL4" i="50"/>
  <c r="AL39" i="50" s="1"/>
  <c r="AL41" i="50" s="1"/>
  <c r="AQ43" i="36" s="1"/>
  <c r="AP4" i="50"/>
  <c r="AP39" i="50" s="1"/>
  <c r="AP41" i="50" s="1"/>
  <c r="AU43" i="36" s="1"/>
  <c r="AQ4" i="50"/>
  <c r="AQ39" i="50" s="1"/>
  <c r="AQ41" i="50" s="1"/>
  <c r="AV43" i="36" s="1"/>
  <c r="AR4" i="50"/>
  <c r="AR39" i="50" s="1"/>
  <c r="AR41" i="50" s="1"/>
  <c r="AW43" i="36" s="1"/>
  <c r="AS4" i="50"/>
  <c r="AS39" i="50" s="1"/>
  <c r="AS41" i="50" s="1"/>
  <c r="AX43" i="36" s="1"/>
  <c r="AT4" i="50"/>
  <c r="AT39" i="50" s="1"/>
  <c r="AT41" i="50" s="1"/>
  <c r="AY43" i="36" s="1"/>
  <c r="AU4" i="50"/>
  <c r="AU39" i="50" s="1"/>
  <c r="AU41" i="50" s="1"/>
  <c r="AZ43" i="36" s="1"/>
  <c r="AV4" i="50"/>
  <c r="AV39" i="50" s="1"/>
  <c r="AV41" i="50" s="1"/>
  <c r="BA43" i="36" s="1"/>
  <c r="AW4" i="50"/>
  <c r="AW39" i="50" s="1"/>
  <c r="AW41" i="50" s="1"/>
  <c r="BB43" i="36" s="1"/>
  <c r="AX4" i="50"/>
  <c r="AX39" i="50" s="1"/>
  <c r="AX41" i="50" s="1"/>
  <c r="BC43" i="36" s="1"/>
  <c r="AY4" i="50"/>
  <c r="AY39" i="50" s="1"/>
  <c r="AY41" i="50" s="1"/>
  <c r="BD43" i="36" s="1"/>
  <c r="AZ4" i="50"/>
  <c r="AZ39" i="50" s="1"/>
  <c r="AZ41" i="50" s="1"/>
  <c r="BE43" i="36" s="1"/>
  <c r="BA4" i="50"/>
  <c r="BA39" i="50" s="1"/>
  <c r="BA41" i="50" s="1"/>
  <c r="BF43" i="36" s="1"/>
  <c r="BB4" i="50"/>
  <c r="BB39" i="50" s="1"/>
  <c r="BB41" i="50" s="1"/>
  <c r="BG43" i="36" s="1"/>
  <c r="BC4" i="50"/>
  <c r="BC39" i="50" s="1"/>
  <c r="BC41" i="50" s="1"/>
  <c r="BH43" i="36" s="1"/>
  <c r="BD4" i="50"/>
  <c r="BD39" i="50" s="1"/>
  <c r="BD41" i="50" s="1"/>
  <c r="BI43" i="36" s="1"/>
  <c r="BE4" i="50"/>
  <c r="BE39" i="50" s="1"/>
  <c r="BE41" i="50" s="1"/>
  <c r="BJ43" i="36" s="1"/>
  <c r="BF4" i="50"/>
  <c r="BF39" i="50" s="1"/>
  <c r="BF41" i="50" s="1"/>
  <c r="BK43" i="36" s="1"/>
  <c r="BG4" i="50"/>
  <c r="BG39" i="50" s="1"/>
  <c r="BG41" i="50" s="1"/>
  <c r="BL43" i="36" s="1"/>
  <c r="BH4" i="50"/>
  <c r="BH39" i="50" s="1"/>
  <c r="BH41" i="50" s="1"/>
  <c r="BM43" i="36" s="1"/>
  <c r="BI4" i="50"/>
  <c r="BI39" i="50" s="1"/>
  <c r="BI41" i="50" s="1"/>
  <c r="BN43" i="36" s="1"/>
  <c r="BJ4" i="50"/>
  <c r="BJ39" i="50" s="1"/>
  <c r="BJ41" i="50" s="1"/>
  <c r="BO43" i="36" s="1"/>
  <c r="BK4" i="50"/>
  <c r="BK39" i="50" s="1"/>
  <c r="BK41" i="50" s="1"/>
  <c r="BP43" i="36" s="1"/>
  <c r="AF4" i="50"/>
  <c r="AF39" i="50" s="1"/>
  <c r="AF41" i="50" s="1"/>
  <c r="AK43" i="36" s="1"/>
  <c r="AF22" i="50" l="1"/>
  <c r="AF25" i="50" s="1"/>
  <c r="AK17" i="36" s="1"/>
  <c r="AK48" i="34" s="1"/>
  <c r="AF26" i="50"/>
  <c r="AF29" i="50" s="1"/>
  <c r="AK19" i="36" s="1"/>
  <c r="AK50" i="34" s="1"/>
  <c r="AZ22" i="50"/>
  <c r="AZ25" i="50" s="1"/>
  <c r="BE17" i="36" s="1"/>
  <c r="BE48" i="34" s="1"/>
  <c r="AZ26" i="50"/>
  <c r="AZ29" i="50" s="1"/>
  <c r="BE19" i="36" s="1"/>
  <c r="BE50" i="34" s="1"/>
  <c r="AV22" i="50"/>
  <c r="AV25" i="50" s="1"/>
  <c r="BA17" i="36" s="1"/>
  <c r="BA48" i="34" s="1"/>
  <c r="AV26" i="50"/>
  <c r="AV29" i="50" s="1"/>
  <c r="BA19" i="36" s="1"/>
  <c r="BA50" i="34" s="1"/>
  <c r="AR22" i="50"/>
  <c r="AR25" i="50" s="1"/>
  <c r="AW17" i="36" s="1"/>
  <c r="AW48" i="34" s="1"/>
  <c r="AR26" i="50"/>
  <c r="AR29" i="50" s="1"/>
  <c r="AW19" i="36" s="1"/>
  <c r="AW50" i="34" s="1"/>
  <c r="AK22" i="50"/>
  <c r="AK25" i="50" s="1"/>
  <c r="AP17" i="36" s="1"/>
  <c r="AP48" i="34" s="1"/>
  <c r="AK26" i="50"/>
  <c r="AK29" i="50" s="1"/>
  <c r="AP19" i="36" s="1"/>
  <c r="AP50" i="34" s="1"/>
  <c r="BH22" i="50"/>
  <c r="BH25" i="50" s="1"/>
  <c r="BM17" i="36" s="1"/>
  <c r="BM48" i="34" s="1"/>
  <c r="BH26" i="50"/>
  <c r="BH29" i="50" s="1"/>
  <c r="BM19" i="36" s="1"/>
  <c r="BM50" i="34" s="1"/>
  <c r="BK22" i="50"/>
  <c r="BK25" i="50" s="1"/>
  <c r="BP17" i="36" s="1"/>
  <c r="BP48" i="34" s="1"/>
  <c r="BK26" i="50"/>
  <c r="BK29" i="50" s="1"/>
  <c r="BP19" i="36" s="1"/>
  <c r="BP50" i="34" s="1"/>
  <c r="BG22" i="50"/>
  <c r="BG25" i="50" s="1"/>
  <c r="BL17" i="36" s="1"/>
  <c r="BL48" i="34" s="1"/>
  <c r="BG26" i="50"/>
  <c r="BG29" i="50" s="1"/>
  <c r="BL19" i="36" s="1"/>
  <c r="BL50" i="34" s="1"/>
  <c r="BC22" i="50"/>
  <c r="BC25" i="50" s="1"/>
  <c r="BH17" i="36" s="1"/>
  <c r="BH48" i="34" s="1"/>
  <c r="BC26" i="50"/>
  <c r="BC29" i="50" s="1"/>
  <c r="BH19" i="36" s="1"/>
  <c r="BH50" i="34" s="1"/>
  <c r="AY22" i="50"/>
  <c r="AY25" i="50" s="1"/>
  <c r="BD17" i="36" s="1"/>
  <c r="BD48" i="34" s="1"/>
  <c r="AY26" i="50"/>
  <c r="AY29" i="50" s="1"/>
  <c r="BD19" i="36" s="1"/>
  <c r="BD50" i="34" s="1"/>
  <c r="AU22" i="50"/>
  <c r="AU25" i="50" s="1"/>
  <c r="AZ17" i="36" s="1"/>
  <c r="AZ48" i="34" s="1"/>
  <c r="AU26" i="50"/>
  <c r="AU29" i="50" s="1"/>
  <c r="AZ19" i="36" s="1"/>
  <c r="AZ50" i="34" s="1"/>
  <c r="AQ22" i="50"/>
  <c r="AQ25" i="50" s="1"/>
  <c r="AV17" i="36" s="1"/>
  <c r="AV48" i="34" s="1"/>
  <c r="AQ26" i="50"/>
  <c r="AQ29" i="50" s="1"/>
  <c r="AV19" i="36" s="1"/>
  <c r="AV50" i="34" s="1"/>
  <c r="AJ22" i="50"/>
  <c r="AJ25" i="50" s="1"/>
  <c r="AO17" i="36" s="1"/>
  <c r="AO48" i="34" s="1"/>
  <c r="AJ26" i="50"/>
  <c r="AJ29" i="50" s="1"/>
  <c r="AO19" i="36" s="1"/>
  <c r="AO50" i="34" s="1"/>
  <c r="BD22" i="50"/>
  <c r="BD25" i="50" s="1"/>
  <c r="BI17" i="36" s="1"/>
  <c r="BI48" i="34" s="1"/>
  <c r="BD26" i="50"/>
  <c r="BD29" i="50" s="1"/>
  <c r="BI19" i="36" s="1"/>
  <c r="BI50" i="34" s="1"/>
  <c r="BJ22" i="50"/>
  <c r="BJ25" i="50" s="1"/>
  <c r="BO17" i="36" s="1"/>
  <c r="BO48" i="34" s="1"/>
  <c r="BJ26" i="50"/>
  <c r="BJ29" i="50" s="1"/>
  <c r="BO19" i="36" s="1"/>
  <c r="BO50" i="34" s="1"/>
  <c r="BF22" i="50"/>
  <c r="BF25" i="50" s="1"/>
  <c r="BK17" i="36" s="1"/>
  <c r="BK48" i="34" s="1"/>
  <c r="BF26" i="50"/>
  <c r="BF29" i="50" s="1"/>
  <c r="BK19" i="36" s="1"/>
  <c r="BK50" i="34" s="1"/>
  <c r="BB22" i="50"/>
  <c r="BB25" i="50" s="1"/>
  <c r="BG17" i="36" s="1"/>
  <c r="BG48" i="34" s="1"/>
  <c r="BB26" i="50"/>
  <c r="BB29" i="50" s="1"/>
  <c r="BG19" i="36" s="1"/>
  <c r="BG50" i="34" s="1"/>
  <c r="AX22" i="50"/>
  <c r="AX25" i="50" s="1"/>
  <c r="BC17" i="36" s="1"/>
  <c r="BC48" i="34" s="1"/>
  <c r="AX26" i="50"/>
  <c r="AX29" i="50" s="1"/>
  <c r="BC19" i="36" s="1"/>
  <c r="BC50" i="34" s="1"/>
  <c r="AT22" i="50"/>
  <c r="AT25" i="50" s="1"/>
  <c r="AY17" i="36" s="1"/>
  <c r="AY48" i="34" s="1"/>
  <c r="AT26" i="50"/>
  <c r="AT29" i="50" s="1"/>
  <c r="AY19" i="36" s="1"/>
  <c r="AY50" i="34" s="1"/>
  <c r="AP22" i="50"/>
  <c r="AP25" i="50" s="1"/>
  <c r="AU17" i="36" s="1"/>
  <c r="AU48" i="34" s="1"/>
  <c r="AP26" i="50"/>
  <c r="AP29" i="50" s="1"/>
  <c r="AU19" i="36" s="1"/>
  <c r="AU50" i="34" s="1"/>
  <c r="AG22" i="50"/>
  <c r="AG25" i="50" s="1"/>
  <c r="AL17" i="36" s="1"/>
  <c r="AL48" i="34" s="1"/>
  <c r="AG26" i="50"/>
  <c r="AG29" i="50" s="1"/>
  <c r="AL19" i="36" s="1"/>
  <c r="AL50" i="34" s="1"/>
  <c r="BI22" i="50"/>
  <c r="BI25" i="50" s="1"/>
  <c r="BN17" i="36" s="1"/>
  <c r="BN48" i="34" s="1"/>
  <c r="BI26" i="50"/>
  <c r="BI29" i="50" s="1"/>
  <c r="BN19" i="36" s="1"/>
  <c r="BN50" i="34" s="1"/>
  <c r="BE22" i="50"/>
  <c r="BE25" i="50" s="1"/>
  <c r="BJ17" i="36" s="1"/>
  <c r="BJ48" i="34" s="1"/>
  <c r="BE26" i="50"/>
  <c r="BE29" i="50" s="1"/>
  <c r="BJ19" i="36" s="1"/>
  <c r="BJ50" i="34" s="1"/>
  <c r="BA22" i="50"/>
  <c r="BA25" i="50" s="1"/>
  <c r="BF17" i="36" s="1"/>
  <c r="BF48" i="34" s="1"/>
  <c r="BA26" i="50"/>
  <c r="BA29" i="50" s="1"/>
  <c r="BF19" i="36" s="1"/>
  <c r="BF50" i="34" s="1"/>
  <c r="AW22" i="50"/>
  <c r="AW25" i="50" s="1"/>
  <c r="BB17" i="36" s="1"/>
  <c r="BB48" i="34" s="1"/>
  <c r="AW26" i="50"/>
  <c r="AW29" i="50" s="1"/>
  <c r="BB19" i="36" s="1"/>
  <c r="BB50" i="34" s="1"/>
  <c r="AS22" i="50"/>
  <c r="AS25" i="50" s="1"/>
  <c r="AX17" i="36" s="1"/>
  <c r="AX48" i="34" s="1"/>
  <c r="AS26" i="50"/>
  <c r="AS29" i="50" s="1"/>
  <c r="AX19" i="36" s="1"/>
  <c r="AX50" i="34" s="1"/>
  <c r="AL22" i="50"/>
  <c r="AL25" i="50" s="1"/>
  <c r="AQ17" i="36" s="1"/>
  <c r="AQ48" i="34" s="1"/>
  <c r="AL26" i="50"/>
  <c r="AL29" i="50" s="1"/>
  <c r="AQ19" i="36" s="1"/>
  <c r="AQ50" i="34" s="1"/>
  <c r="AF17" i="50"/>
  <c r="AK13" i="36" s="1"/>
  <c r="AK44" i="34" s="1"/>
  <c r="AK15" i="36"/>
  <c r="AK46" i="34" s="1"/>
  <c r="BH17" i="50"/>
  <c r="BM13" i="36" s="1"/>
  <c r="BM44" i="34" s="1"/>
  <c r="BM15" i="36"/>
  <c r="BM46" i="34" s="1"/>
  <c r="BD17" i="50"/>
  <c r="BI13" i="36" s="1"/>
  <c r="BI44" i="34" s="1"/>
  <c r="BI15" i="36"/>
  <c r="BI46" i="34" s="1"/>
  <c r="AZ17" i="50"/>
  <c r="BE13" i="36" s="1"/>
  <c r="BE44" i="34" s="1"/>
  <c r="BE15" i="36"/>
  <c r="BE46" i="34" s="1"/>
  <c r="AV17" i="50"/>
  <c r="BA13" i="36" s="1"/>
  <c r="BA44" i="34" s="1"/>
  <c r="BA15" i="36"/>
  <c r="BA46" i="34" s="1"/>
  <c r="AR17" i="50"/>
  <c r="AW13" i="36" s="1"/>
  <c r="AW44" i="34" s="1"/>
  <c r="AW15" i="36"/>
  <c r="AW46" i="34" s="1"/>
  <c r="AK17" i="50"/>
  <c r="AP13" i="36" s="1"/>
  <c r="AP44" i="34" s="1"/>
  <c r="AP15" i="36"/>
  <c r="AP46" i="34" s="1"/>
  <c r="BK17" i="50"/>
  <c r="BP13" i="36" s="1"/>
  <c r="BP44" i="34" s="1"/>
  <c r="BP15" i="36"/>
  <c r="BP46" i="34" s="1"/>
  <c r="BG17" i="50"/>
  <c r="BL13" i="36" s="1"/>
  <c r="BL44" i="34" s="1"/>
  <c r="BL15" i="36"/>
  <c r="BL46" i="34" s="1"/>
  <c r="BC17" i="50"/>
  <c r="BH13" i="36" s="1"/>
  <c r="BH44" i="34" s="1"/>
  <c r="BH15" i="36"/>
  <c r="BH46" i="34" s="1"/>
  <c r="AY17" i="50"/>
  <c r="BD13" i="36" s="1"/>
  <c r="BD44" i="34" s="1"/>
  <c r="BD15" i="36"/>
  <c r="BD46" i="34" s="1"/>
  <c r="AU17" i="50"/>
  <c r="AZ13" i="36" s="1"/>
  <c r="AZ44" i="34" s="1"/>
  <c r="AZ15" i="36"/>
  <c r="AZ46" i="34" s="1"/>
  <c r="AQ17" i="50"/>
  <c r="AV13" i="36" s="1"/>
  <c r="AV44" i="34" s="1"/>
  <c r="AV15" i="36"/>
  <c r="AV46" i="34" s="1"/>
  <c r="AJ17" i="50"/>
  <c r="AO13" i="36" s="1"/>
  <c r="AO44" i="34" s="1"/>
  <c r="AO15" i="36"/>
  <c r="AO46" i="34" s="1"/>
  <c r="BJ17" i="50"/>
  <c r="BO13" i="36" s="1"/>
  <c r="BO44" i="34" s="1"/>
  <c r="BO15" i="36"/>
  <c r="BO46" i="34" s="1"/>
  <c r="BF17" i="50"/>
  <c r="BK13" i="36" s="1"/>
  <c r="BK44" i="34" s="1"/>
  <c r="BK15" i="36"/>
  <c r="BK46" i="34" s="1"/>
  <c r="BB17" i="50"/>
  <c r="BG13" i="36" s="1"/>
  <c r="BG44" i="34" s="1"/>
  <c r="BG15" i="36"/>
  <c r="BG46" i="34" s="1"/>
  <c r="AX17" i="50"/>
  <c r="BC13" i="36" s="1"/>
  <c r="BC44" i="34" s="1"/>
  <c r="BC15" i="36"/>
  <c r="BC46" i="34" s="1"/>
  <c r="AT17" i="50"/>
  <c r="AY13" i="36" s="1"/>
  <c r="AY44" i="34" s="1"/>
  <c r="AY15" i="36"/>
  <c r="AY46" i="34" s="1"/>
  <c r="AP17" i="50"/>
  <c r="AU13" i="36" s="1"/>
  <c r="AU44" i="34" s="1"/>
  <c r="AU15" i="36"/>
  <c r="AU46" i="34" s="1"/>
  <c r="AG17" i="50"/>
  <c r="AL13" i="36" s="1"/>
  <c r="AL44" i="34" s="1"/>
  <c r="AL15" i="36"/>
  <c r="AL46" i="34" s="1"/>
  <c r="BI17" i="50"/>
  <c r="BN13" i="36" s="1"/>
  <c r="BN44" i="34" s="1"/>
  <c r="BN15" i="36"/>
  <c r="BN46" i="34" s="1"/>
  <c r="BE17" i="50"/>
  <c r="BJ13" i="36" s="1"/>
  <c r="BJ44" i="34" s="1"/>
  <c r="BJ15" i="36"/>
  <c r="BJ46" i="34" s="1"/>
  <c r="BA17" i="50"/>
  <c r="BF13" i="36" s="1"/>
  <c r="BF44" i="34" s="1"/>
  <c r="BF15" i="36"/>
  <c r="BF46" i="34" s="1"/>
  <c r="AW17" i="50"/>
  <c r="BB13" i="36" s="1"/>
  <c r="BB44" i="34" s="1"/>
  <c r="BB15" i="36"/>
  <c r="BB46" i="34" s="1"/>
  <c r="AS17" i="50"/>
  <c r="AX13" i="36" s="1"/>
  <c r="AX44" i="34" s="1"/>
  <c r="AX15" i="36"/>
  <c r="AX46" i="34" s="1"/>
  <c r="AL17" i="50"/>
  <c r="AQ13" i="36" s="1"/>
  <c r="AQ44" i="34" s="1"/>
  <c r="AQ15" i="36"/>
  <c r="AQ46" i="34" s="1"/>
  <c r="BJ9" i="50"/>
  <c r="BJ12" i="50" s="1"/>
  <c r="BJ13" i="50" s="1"/>
  <c r="BO7" i="36" s="1"/>
  <c r="BO38" i="34" s="1"/>
  <c r="BJ15" i="50"/>
  <c r="BJ20" i="50" s="1"/>
  <c r="BO11" i="36" s="1"/>
  <c r="BO42" i="34" s="1"/>
  <c r="BF9" i="50"/>
  <c r="BF12" i="50" s="1"/>
  <c r="BF13" i="50" s="1"/>
  <c r="BK7" i="36" s="1"/>
  <c r="BK38" i="34" s="1"/>
  <c r="BF15" i="50"/>
  <c r="BF20" i="50" s="1"/>
  <c r="BK11" i="36" s="1"/>
  <c r="BK42" i="34" s="1"/>
  <c r="BB9" i="50"/>
  <c r="BB12" i="50" s="1"/>
  <c r="BB13" i="50" s="1"/>
  <c r="BG7" i="36" s="1"/>
  <c r="BG38" i="34" s="1"/>
  <c r="BB15" i="50"/>
  <c r="BB20" i="50" s="1"/>
  <c r="BG11" i="36" s="1"/>
  <c r="BG42" i="34" s="1"/>
  <c r="AX9" i="50"/>
  <c r="AX12" i="50" s="1"/>
  <c r="AX13" i="50" s="1"/>
  <c r="BC7" i="36" s="1"/>
  <c r="BC38" i="34" s="1"/>
  <c r="AX15" i="50"/>
  <c r="AX20" i="50" s="1"/>
  <c r="BC11" i="36" s="1"/>
  <c r="BC42" i="34" s="1"/>
  <c r="AT9" i="50"/>
  <c r="AT12" i="50" s="1"/>
  <c r="AT13" i="50" s="1"/>
  <c r="AY7" i="36" s="1"/>
  <c r="AY38" i="34" s="1"/>
  <c r="AT15" i="50"/>
  <c r="AT20" i="50" s="1"/>
  <c r="AY11" i="36" s="1"/>
  <c r="AY42" i="34" s="1"/>
  <c r="AP9" i="50"/>
  <c r="AP12" i="50" s="1"/>
  <c r="AP13" i="50" s="1"/>
  <c r="AU7" i="36" s="1"/>
  <c r="AU38" i="34" s="1"/>
  <c r="AP15" i="50"/>
  <c r="AP20" i="50" s="1"/>
  <c r="AU11" i="36" s="1"/>
  <c r="AU42" i="34" s="1"/>
  <c r="AG9" i="50"/>
  <c r="AG12" i="50" s="1"/>
  <c r="AG13" i="50" s="1"/>
  <c r="AL7" i="36" s="1"/>
  <c r="AL38" i="34" s="1"/>
  <c r="AG15" i="50"/>
  <c r="AG20" i="50" s="1"/>
  <c r="AL11" i="36" s="1"/>
  <c r="AL42" i="34" s="1"/>
  <c r="BI9" i="50"/>
  <c r="BI12" i="50" s="1"/>
  <c r="BI13" i="50" s="1"/>
  <c r="BN7" i="36" s="1"/>
  <c r="BN38" i="34" s="1"/>
  <c r="BI15" i="50"/>
  <c r="BI20" i="50" s="1"/>
  <c r="BN11" i="36" s="1"/>
  <c r="BN42" i="34" s="1"/>
  <c r="BE9" i="50"/>
  <c r="BE12" i="50" s="1"/>
  <c r="BE13" i="50" s="1"/>
  <c r="BJ7" i="36" s="1"/>
  <c r="BJ38" i="34" s="1"/>
  <c r="BE15" i="50"/>
  <c r="BE20" i="50" s="1"/>
  <c r="BJ11" i="36" s="1"/>
  <c r="BJ42" i="34" s="1"/>
  <c r="BA9" i="50"/>
  <c r="BA12" i="50" s="1"/>
  <c r="BA13" i="50" s="1"/>
  <c r="BF7" i="36" s="1"/>
  <c r="BF38" i="34" s="1"/>
  <c r="BA15" i="50"/>
  <c r="BA20" i="50" s="1"/>
  <c r="BF11" i="36" s="1"/>
  <c r="BF42" i="34" s="1"/>
  <c r="AW9" i="50"/>
  <c r="AW12" i="50" s="1"/>
  <c r="AW13" i="50" s="1"/>
  <c r="BB7" i="36" s="1"/>
  <c r="BB38" i="34" s="1"/>
  <c r="AW15" i="50"/>
  <c r="AW20" i="50" s="1"/>
  <c r="BB11" i="36" s="1"/>
  <c r="BB42" i="34" s="1"/>
  <c r="AS9" i="50"/>
  <c r="AS12" i="50" s="1"/>
  <c r="AS13" i="50" s="1"/>
  <c r="AX7" i="36" s="1"/>
  <c r="AX38" i="34" s="1"/>
  <c r="AS15" i="50"/>
  <c r="AS20" i="50" s="1"/>
  <c r="AX11" i="36" s="1"/>
  <c r="AX42" i="34" s="1"/>
  <c r="AL9" i="50"/>
  <c r="AL12" i="50" s="1"/>
  <c r="AL13" i="50" s="1"/>
  <c r="AQ7" i="36" s="1"/>
  <c r="AQ38" i="34" s="1"/>
  <c r="AL15" i="50"/>
  <c r="AL20" i="50" s="1"/>
  <c r="AQ11" i="36" s="1"/>
  <c r="AQ42" i="34" s="1"/>
  <c r="AF9" i="50"/>
  <c r="AF12" i="50" s="1"/>
  <c r="AF13" i="50" s="1"/>
  <c r="AK7" i="36" s="1"/>
  <c r="AK38" i="34" s="1"/>
  <c r="AF15" i="50"/>
  <c r="AF20" i="50" s="1"/>
  <c r="AK11" i="36" s="1"/>
  <c r="AK42" i="34" s="1"/>
  <c r="BH9" i="50"/>
  <c r="BH12" i="50" s="1"/>
  <c r="BH13" i="50" s="1"/>
  <c r="BM7" i="36" s="1"/>
  <c r="BM38" i="34" s="1"/>
  <c r="BH15" i="50"/>
  <c r="BH20" i="50" s="1"/>
  <c r="BM11" i="36" s="1"/>
  <c r="BM42" i="34" s="1"/>
  <c r="BD9" i="50"/>
  <c r="BD12" i="50" s="1"/>
  <c r="BD13" i="50" s="1"/>
  <c r="BI7" i="36" s="1"/>
  <c r="BI38" i="34" s="1"/>
  <c r="BD15" i="50"/>
  <c r="BD20" i="50" s="1"/>
  <c r="BI11" i="36" s="1"/>
  <c r="BI42" i="34" s="1"/>
  <c r="AZ9" i="50"/>
  <c r="AZ12" i="50" s="1"/>
  <c r="AZ13" i="50" s="1"/>
  <c r="BE7" i="36" s="1"/>
  <c r="BE38" i="34" s="1"/>
  <c r="AZ15" i="50"/>
  <c r="AZ20" i="50" s="1"/>
  <c r="BE11" i="36" s="1"/>
  <c r="BE42" i="34" s="1"/>
  <c r="AV9" i="50"/>
  <c r="AV12" i="50" s="1"/>
  <c r="AV13" i="50" s="1"/>
  <c r="BA7" i="36" s="1"/>
  <c r="BA38" i="34" s="1"/>
  <c r="AV15" i="50"/>
  <c r="AV20" i="50" s="1"/>
  <c r="BA11" i="36" s="1"/>
  <c r="BA42" i="34" s="1"/>
  <c r="AR9" i="50"/>
  <c r="AR12" i="50" s="1"/>
  <c r="AR13" i="50" s="1"/>
  <c r="AW7" i="36" s="1"/>
  <c r="AW38" i="34" s="1"/>
  <c r="AR15" i="50"/>
  <c r="AR20" i="50" s="1"/>
  <c r="AW11" i="36" s="1"/>
  <c r="AW42" i="34" s="1"/>
  <c r="AK9" i="50"/>
  <c r="AK12" i="50" s="1"/>
  <c r="AK13" i="50" s="1"/>
  <c r="AP7" i="36" s="1"/>
  <c r="AP38" i="34" s="1"/>
  <c r="AK15" i="50"/>
  <c r="AK20" i="50" s="1"/>
  <c r="AP11" i="36" s="1"/>
  <c r="AP42" i="34" s="1"/>
  <c r="BK9" i="50"/>
  <c r="BK12" i="50" s="1"/>
  <c r="BK13" i="50" s="1"/>
  <c r="BP7" i="36" s="1"/>
  <c r="BP38" i="34" s="1"/>
  <c r="BK15" i="50"/>
  <c r="BK20" i="50" s="1"/>
  <c r="BP11" i="36" s="1"/>
  <c r="BP42" i="34" s="1"/>
  <c r="BG9" i="50"/>
  <c r="BG12" i="50" s="1"/>
  <c r="BG13" i="50" s="1"/>
  <c r="BL7" i="36" s="1"/>
  <c r="BL38" i="34" s="1"/>
  <c r="BG15" i="50"/>
  <c r="BG20" i="50" s="1"/>
  <c r="BL11" i="36" s="1"/>
  <c r="BL42" i="34" s="1"/>
  <c r="BC9" i="50"/>
  <c r="BC12" i="50" s="1"/>
  <c r="BC13" i="50" s="1"/>
  <c r="BH7" i="36" s="1"/>
  <c r="BH38" i="34" s="1"/>
  <c r="BC15" i="50"/>
  <c r="BC20" i="50" s="1"/>
  <c r="BH11" i="36" s="1"/>
  <c r="BH42" i="34" s="1"/>
  <c r="AY9" i="50"/>
  <c r="AY12" i="50" s="1"/>
  <c r="AY13" i="50" s="1"/>
  <c r="BD7" i="36" s="1"/>
  <c r="BD38" i="34" s="1"/>
  <c r="AY15" i="50"/>
  <c r="AY20" i="50" s="1"/>
  <c r="BD11" i="36" s="1"/>
  <c r="BD42" i="34" s="1"/>
  <c r="AU9" i="50"/>
  <c r="AU12" i="50" s="1"/>
  <c r="AU13" i="50" s="1"/>
  <c r="AZ7" i="36" s="1"/>
  <c r="AZ38" i="34" s="1"/>
  <c r="AU15" i="50"/>
  <c r="AU20" i="50" s="1"/>
  <c r="AZ11" i="36" s="1"/>
  <c r="AZ42" i="34" s="1"/>
  <c r="AQ9" i="50"/>
  <c r="AQ12" i="50" s="1"/>
  <c r="AQ13" i="50" s="1"/>
  <c r="AV7" i="36" s="1"/>
  <c r="AV38" i="34" s="1"/>
  <c r="AQ15" i="50"/>
  <c r="AQ20" i="50" s="1"/>
  <c r="AV11" i="36" s="1"/>
  <c r="AV42" i="34" s="1"/>
  <c r="AJ9" i="50"/>
  <c r="AJ12" i="50" s="1"/>
  <c r="AJ13" i="50" s="1"/>
  <c r="AO7" i="36" s="1"/>
  <c r="AO38" i="34" s="1"/>
  <c r="AJ15" i="50"/>
  <c r="AJ20" i="50" s="1"/>
  <c r="AO11" i="36" s="1"/>
  <c r="AO42" i="34" s="1"/>
  <c r="BC5" i="36"/>
  <c r="BC36" i="34" s="1"/>
  <c r="BJ5" i="50"/>
  <c r="BF5" i="50"/>
  <c r="BB5" i="50"/>
  <c r="AX5" i="50"/>
  <c r="AT5" i="50"/>
  <c r="AP5" i="50"/>
  <c r="AG5" i="50"/>
  <c r="BK5" i="50"/>
  <c r="BI5" i="50"/>
  <c r="BE5" i="50"/>
  <c r="BA5" i="50"/>
  <c r="AW5" i="50"/>
  <c r="AS5" i="50"/>
  <c r="AL5" i="50"/>
  <c r="AF5" i="50"/>
  <c r="BH5" i="50"/>
  <c r="BD5" i="50"/>
  <c r="AZ5" i="50"/>
  <c r="AV5" i="50"/>
  <c r="AR5" i="50"/>
  <c r="AK5" i="50"/>
  <c r="BG5" i="50"/>
  <c r="BC5" i="50"/>
  <c r="AY5" i="50"/>
  <c r="AU5" i="50"/>
  <c r="AQ5" i="50"/>
  <c r="AJ5" i="50"/>
  <c r="AE19" i="50"/>
  <c r="BC6" i="36" l="1"/>
  <c r="BC37" i="34" s="1"/>
  <c r="BA5" i="36"/>
  <c r="BA36" i="34" s="1"/>
  <c r="AL5" i="36"/>
  <c r="AL36" i="34" s="1"/>
  <c r="BP5" i="36"/>
  <c r="BP36" i="34" s="1"/>
  <c r="BN5" i="36"/>
  <c r="BN36" i="34" s="1"/>
  <c r="BO5" i="36"/>
  <c r="BO36" i="34" s="1"/>
  <c r="BG5" i="36"/>
  <c r="BG36" i="34" s="1"/>
  <c r="AK5" i="36"/>
  <c r="AK36" i="34" s="1"/>
  <c r="AY5" i="36"/>
  <c r="AY36" i="34" s="1"/>
  <c r="AX5" i="36"/>
  <c r="AX36" i="34" s="1"/>
  <c r="BH5" i="36"/>
  <c r="BH36" i="34" s="1"/>
  <c r="BF5" i="36"/>
  <c r="BF36" i="34" s="1"/>
  <c r="AU5" i="36"/>
  <c r="AU36" i="34" s="1"/>
  <c r="BK5" i="36"/>
  <c r="BK36" i="34" s="1"/>
  <c r="BI5" i="36"/>
  <c r="BI36" i="34" s="1"/>
  <c r="BB5" i="36"/>
  <c r="BB36" i="34" s="1"/>
  <c r="AP5" i="36"/>
  <c r="AP36" i="34" s="1"/>
  <c r="AQ5" i="36"/>
  <c r="AQ36" i="34" s="1"/>
  <c r="BJ5" i="36"/>
  <c r="BJ36" i="34" s="1"/>
  <c r="AO5" i="36"/>
  <c r="AO36" i="34" s="1"/>
  <c r="AV5" i="36"/>
  <c r="AV36" i="34" s="1"/>
  <c r="BL5" i="36"/>
  <c r="BL36" i="34" s="1"/>
  <c r="BE5" i="36"/>
  <c r="BE36" i="34" s="1"/>
  <c r="AZ5" i="36"/>
  <c r="AZ36" i="34" s="1"/>
  <c r="BD5" i="36"/>
  <c r="BD36" i="34" s="1"/>
  <c r="AW5" i="36"/>
  <c r="AW36" i="34" s="1"/>
  <c r="BM5" i="36"/>
  <c r="BM36" i="34" s="1"/>
  <c r="AL8" i="50"/>
  <c r="AQ8" i="36" s="1"/>
  <c r="AQ39" i="34" s="1"/>
  <c r="AQ10" i="36"/>
  <c r="AQ41" i="34" s="1"/>
  <c r="BE8" i="50"/>
  <c r="BJ8" i="36" s="1"/>
  <c r="BJ39" i="34" s="1"/>
  <c r="BJ10" i="36"/>
  <c r="BJ41" i="34" s="1"/>
  <c r="AP8" i="50"/>
  <c r="AU8" i="36" s="1"/>
  <c r="AU39" i="34" s="1"/>
  <c r="AU10" i="36"/>
  <c r="AU41" i="34" s="1"/>
  <c r="AU8" i="50"/>
  <c r="AZ8" i="36" s="1"/>
  <c r="AZ39" i="34" s="1"/>
  <c r="AZ10" i="36"/>
  <c r="AZ41" i="34" s="1"/>
  <c r="BG8" i="50"/>
  <c r="BL8" i="36" s="1"/>
  <c r="BL39" i="34" s="1"/>
  <c r="BL10" i="36"/>
  <c r="BL41" i="34" s="1"/>
  <c r="AV8" i="50"/>
  <c r="BA8" i="36" s="1"/>
  <c r="BA39" i="34" s="1"/>
  <c r="BA10" i="36"/>
  <c r="BA41" i="34" s="1"/>
  <c r="BH8" i="50"/>
  <c r="BM8" i="36" s="1"/>
  <c r="BM39" i="34" s="1"/>
  <c r="BM10" i="36"/>
  <c r="BM41" i="34" s="1"/>
  <c r="AW8" i="50"/>
  <c r="BB8" i="36" s="1"/>
  <c r="BB39" i="34" s="1"/>
  <c r="BB10" i="36"/>
  <c r="BB41" i="34" s="1"/>
  <c r="AG8" i="50"/>
  <c r="AL8" i="36" s="1"/>
  <c r="AL39" i="34" s="1"/>
  <c r="AL10" i="36"/>
  <c r="AL41" i="34" s="1"/>
  <c r="AQ8" i="50"/>
  <c r="AV8" i="36" s="1"/>
  <c r="AV39" i="34" s="1"/>
  <c r="AV10" i="36"/>
  <c r="AV41" i="34" s="1"/>
  <c r="AY8" i="50"/>
  <c r="BD8" i="36" s="1"/>
  <c r="BD39" i="34" s="1"/>
  <c r="BD10" i="36"/>
  <c r="BD41" i="34" s="1"/>
  <c r="AR8" i="50"/>
  <c r="AW8" i="36" s="1"/>
  <c r="AW39" i="34" s="1"/>
  <c r="AW10" i="36"/>
  <c r="AW41" i="34" s="1"/>
  <c r="AZ8" i="50"/>
  <c r="BE8" i="36" s="1"/>
  <c r="BE39" i="34" s="1"/>
  <c r="BE10" i="36"/>
  <c r="BE41" i="34" s="1"/>
  <c r="AF8" i="50"/>
  <c r="V18" i="55" s="1"/>
  <c r="AK10" i="36"/>
  <c r="AK41" i="34" s="1"/>
  <c r="BA8" i="50"/>
  <c r="BF8" i="36" s="1"/>
  <c r="BF39" i="34" s="1"/>
  <c r="BF10" i="36"/>
  <c r="BF41" i="34" s="1"/>
  <c r="BK8" i="50"/>
  <c r="BP8" i="36" s="1"/>
  <c r="BP39" i="34" s="1"/>
  <c r="BP10" i="36"/>
  <c r="BP41" i="34" s="1"/>
  <c r="AJ8" i="50"/>
  <c r="AO8" i="36" s="1"/>
  <c r="AO39" i="34" s="1"/>
  <c r="AO10" i="36"/>
  <c r="AO41" i="34" s="1"/>
  <c r="BC8" i="50"/>
  <c r="BH8" i="36" s="1"/>
  <c r="BH39" i="34" s="1"/>
  <c r="BH10" i="36"/>
  <c r="BH41" i="34" s="1"/>
  <c r="AK8" i="50"/>
  <c r="AP8" i="36" s="1"/>
  <c r="AP39" i="34" s="1"/>
  <c r="AP10" i="36"/>
  <c r="AP41" i="34" s="1"/>
  <c r="BD8" i="50"/>
  <c r="BI8" i="36" s="1"/>
  <c r="BI39" i="34" s="1"/>
  <c r="BI10" i="36"/>
  <c r="BI41" i="34" s="1"/>
  <c r="AS8" i="50"/>
  <c r="AX8" i="36" s="1"/>
  <c r="AX39" i="34" s="1"/>
  <c r="AX10" i="36"/>
  <c r="AX41" i="34" s="1"/>
  <c r="BI8" i="50"/>
  <c r="BN8" i="36" s="1"/>
  <c r="BN39" i="34" s="1"/>
  <c r="BN10" i="36"/>
  <c r="BN41" i="34" s="1"/>
  <c r="AT8" i="50"/>
  <c r="AY8" i="36" s="1"/>
  <c r="AY39" i="34" s="1"/>
  <c r="AY10" i="36"/>
  <c r="AY41" i="34" s="1"/>
  <c r="AX8" i="50"/>
  <c r="BC8" i="36" s="1"/>
  <c r="BC39" i="34" s="1"/>
  <c r="BC10" i="36"/>
  <c r="BC41" i="34" s="1"/>
  <c r="BB8" i="50"/>
  <c r="BG8" i="36" s="1"/>
  <c r="BG39" i="34" s="1"/>
  <c r="BG10" i="36"/>
  <c r="BG41" i="34" s="1"/>
  <c r="BF8" i="50"/>
  <c r="BK8" i="36" s="1"/>
  <c r="BK39" i="34" s="1"/>
  <c r="BK10" i="36"/>
  <c r="BK41" i="34" s="1"/>
  <c r="BJ8" i="50"/>
  <c r="BO8" i="36" s="1"/>
  <c r="BO39" i="34" s="1"/>
  <c r="BO10" i="36"/>
  <c r="BO41" i="34" s="1"/>
  <c r="AB31" i="55"/>
  <c r="AI31" i="55"/>
  <c r="AM31" i="55"/>
  <c r="AQ31" i="55"/>
  <c r="AU31" i="55"/>
  <c r="AY31" i="55"/>
  <c r="BA12" i="55"/>
  <c r="BP21" i="36"/>
  <c r="BP52" i="34" s="1"/>
  <c r="W31" i="55"/>
  <c r="AF31" i="55"/>
  <c r="AJ31" i="55"/>
  <c r="AN31" i="55"/>
  <c r="AR31" i="55"/>
  <c r="AV31" i="55"/>
  <c r="AZ31" i="55"/>
  <c r="Z31" i="55"/>
  <c r="AG31" i="55"/>
  <c r="AK31" i="55"/>
  <c r="AO31" i="55"/>
  <c r="AS31" i="55"/>
  <c r="AW31" i="55"/>
  <c r="AA12" i="55"/>
  <c r="AP21" i="36"/>
  <c r="AP52" i="34" s="1"/>
  <c r="AH12" i="55"/>
  <c r="AW21" i="36"/>
  <c r="AW52" i="34" s="1"/>
  <c r="AL12" i="55"/>
  <c r="BA21" i="36"/>
  <c r="BA52" i="34" s="1"/>
  <c r="AP12" i="55"/>
  <c r="BE21" i="36"/>
  <c r="BE52" i="34" s="1"/>
  <c r="AT12" i="55"/>
  <c r="BI21" i="36"/>
  <c r="BI52" i="34" s="1"/>
  <c r="AX12" i="55"/>
  <c r="BM21" i="36"/>
  <c r="BM52" i="34" s="1"/>
  <c r="Z12" i="55"/>
  <c r="AO21" i="36"/>
  <c r="AO52" i="34" s="1"/>
  <c r="AK12" i="55"/>
  <c r="AZ21" i="36"/>
  <c r="AZ52" i="34" s="1"/>
  <c r="AO12" i="55"/>
  <c r="BD21" i="36"/>
  <c r="BD52" i="34" s="1"/>
  <c r="AW12" i="55"/>
  <c r="BL21" i="36"/>
  <c r="BL52" i="34" s="1"/>
  <c r="AP18" i="36"/>
  <c r="AP49" i="34" s="1"/>
  <c r="AA24" i="55"/>
  <c r="AW18" i="36"/>
  <c r="AW49" i="34" s="1"/>
  <c r="AH24" i="55"/>
  <c r="BA18" i="36"/>
  <c r="BA49" i="34" s="1"/>
  <c r="AL24" i="55"/>
  <c r="BE18" i="36"/>
  <c r="BE49" i="34" s="1"/>
  <c r="AP24" i="55"/>
  <c r="BI18" i="36"/>
  <c r="BI49" i="34" s="1"/>
  <c r="AT24" i="55"/>
  <c r="BM18" i="36"/>
  <c r="BM49" i="34" s="1"/>
  <c r="AX24" i="55"/>
  <c r="AK18" i="36"/>
  <c r="AK49" i="34" s="1"/>
  <c r="V24" i="55"/>
  <c r="AB12" i="55"/>
  <c r="AQ21" i="36"/>
  <c r="AQ52" i="34" s="1"/>
  <c r="AI12" i="55"/>
  <c r="AX21" i="36"/>
  <c r="AX52" i="34" s="1"/>
  <c r="AM12" i="55"/>
  <c r="BB21" i="36"/>
  <c r="BB52" i="34" s="1"/>
  <c r="AQ12" i="55"/>
  <c r="BF21" i="36"/>
  <c r="BF52" i="34" s="1"/>
  <c r="AU12" i="55"/>
  <c r="BJ21" i="36"/>
  <c r="BJ52" i="34" s="1"/>
  <c r="AY12" i="55"/>
  <c r="BN21" i="36"/>
  <c r="BN52" i="34" s="1"/>
  <c r="BP18" i="36"/>
  <c r="BP49" i="34" s="1"/>
  <c r="BA24" i="55"/>
  <c r="AL18" i="36"/>
  <c r="AL49" i="34" s="1"/>
  <c r="W24" i="55"/>
  <c r="AF12" i="55"/>
  <c r="AU21" i="36"/>
  <c r="AU52" i="34" s="1"/>
  <c r="AJ12" i="55"/>
  <c r="AY21" i="36"/>
  <c r="AY52" i="34" s="1"/>
  <c r="AN12" i="55"/>
  <c r="BC21" i="36"/>
  <c r="BC52" i="34" s="1"/>
  <c r="AR12" i="55"/>
  <c r="BG21" i="36"/>
  <c r="BG52" i="34" s="1"/>
  <c r="AV12" i="55"/>
  <c r="BK21" i="36"/>
  <c r="BK52" i="34" s="1"/>
  <c r="AZ12" i="55"/>
  <c r="BO21" i="36"/>
  <c r="BO52" i="34" s="1"/>
  <c r="AG12" i="55"/>
  <c r="AV21" i="36"/>
  <c r="AV52" i="34" s="1"/>
  <c r="AS12" i="55"/>
  <c r="BH21" i="36"/>
  <c r="BH52" i="34" s="1"/>
  <c r="AO18" i="36"/>
  <c r="AO49" i="34" s="1"/>
  <c r="Z24" i="55"/>
  <c r="AV18" i="36"/>
  <c r="AV49" i="34" s="1"/>
  <c r="AG24" i="55"/>
  <c r="AZ18" i="36"/>
  <c r="AZ49" i="34" s="1"/>
  <c r="AK24" i="55"/>
  <c r="BD18" i="36"/>
  <c r="BD49" i="34" s="1"/>
  <c r="AO24" i="55"/>
  <c r="BH18" i="36"/>
  <c r="BH49" i="34" s="1"/>
  <c r="AS24" i="55"/>
  <c r="BL18" i="36"/>
  <c r="BL49" i="34" s="1"/>
  <c r="AW24" i="55"/>
  <c r="AA31" i="55"/>
  <c r="AH31" i="55"/>
  <c r="AL31" i="55"/>
  <c r="AP31" i="55"/>
  <c r="AT31" i="55"/>
  <c r="AX31" i="55"/>
  <c r="V31" i="55"/>
  <c r="AQ18" i="36"/>
  <c r="AQ49" i="34" s="1"/>
  <c r="AB24" i="55"/>
  <c r="AX18" i="36"/>
  <c r="AX49" i="34" s="1"/>
  <c r="AI24" i="55"/>
  <c r="BB18" i="36"/>
  <c r="BB49" i="34" s="1"/>
  <c r="AM24" i="55"/>
  <c r="BF18" i="36"/>
  <c r="BF49" i="34" s="1"/>
  <c r="AQ24" i="55"/>
  <c r="BJ18" i="36"/>
  <c r="BJ49" i="34" s="1"/>
  <c r="AU24" i="55"/>
  <c r="BN18" i="36"/>
  <c r="BN49" i="34" s="1"/>
  <c r="AY24" i="55"/>
  <c r="BA31" i="55"/>
  <c r="W12" i="55"/>
  <c r="AL21" i="36"/>
  <c r="AL52" i="34" s="1"/>
  <c r="AU18" i="36"/>
  <c r="AU49" i="34" s="1"/>
  <c r="AF24" i="55"/>
  <c r="AY18" i="36"/>
  <c r="AY49" i="34" s="1"/>
  <c r="AJ24" i="55"/>
  <c r="BC18" i="36"/>
  <c r="BC49" i="34" s="1"/>
  <c r="AN24" i="55"/>
  <c r="BG18" i="36"/>
  <c r="BG49" i="34" s="1"/>
  <c r="AR24" i="55"/>
  <c r="BK18" i="36"/>
  <c r="BK49" i="34" s="1"/>
  <c r="AV24" i="55"/>
  <c r="BO18" i="36"/>
  <c r="BO49" i="34" s="1"/>
  <c r="AZ24" i="55"/>
  <c r="E36" i="45"/>
  <c r="E37" i="45" s="1"/>
  <c r="E38" i="45" s="1"/>
  <c r="E39" i="45" s="1"/>
  <c r="E40" i="45" s="1"/>
  <c r="BM6" i="36" l="1"/>
  <c r="BM37" i="34" s="1"/>
  <c r="BJ6" i="36"/>
  <c r="BJ37" i="34" s="1"/>
  <c r="BH6" i="36"/>
  <c r="BH37" i="34" s="1"/>
  <c r="BG6" i="36"/>
  <c r="BG37" i="34" s="1"/>
  <c r="AW6" i="36"/>
  <c r="AW37" i="34" s="1"/>
  <c r="BL6" i="36"/>
  <c r="BL37" i="34" s="1"/>
  <c r="AQ6" i="36"/>
  <c r="AQ37" i="34" s="1"/>
  <c r="BK6" i="36"/>
  <c r="BK37" i="34" s="1"/>
  <c r="AX6" i="36"/>
  <c r="AX37" i="34" s="1"/>
  <c r="BO6" i="36"/>
  <c r="BO37" i="34" s="1"/>
  <c r="BA6" i="36"/>
  <c r="BA37" i="34" s="1"/>
  <c r="BE6" i="36"/>
  <c r="BE37" i="34" s="1"/>
  <c r="BI6" i="36"/>
  <c r="BI37" i="34" s="1"/>
  <c r="AL6" i="36"/>
  <c r="AL37" i="34" s="1"/>
  <c r="BD6" i="36"/>
  <c r="BD37" i="34" s="1"/>
  <c r="AV6" i="36"/>
  <c r="AV37" i="34" s="1"/>
  <c r="AP6" i="36"/>
  <c r="AP37" i="34" s="1"/>
  <c r="AU6" i="36"/>
  <c r="AU37" i="34" s="1"/>
  <c r="AY6" i="36"/>
  <c r="AY37" i="34" s="1"/>
  <c r="BN6" i="36"/>
  <c r="BN37" i="34" s="1"/>
  <c r="AZ6" i="36"/>
  <c r="AZ37" i="34" s="1"/>
  <c r="AO6" i="36"/>
  <c r="AO37" i="34" s="1"/>
  <c r="BB6" i="36"/>
  <c r="BB37" i="34" s="1"/>
  <c r="BF6" i="36"/>
  <c r="BF37" i="34" s="1"/>
  <c r="AK6" i="36"/>
  <c r="AK37" i="34" s="1"/>
  <c r="BP6" i="36"/>
  <c r="BP37" i="34" s="1"/>
  <c r="AK8" i="36"/>
  <c r="AK39" i="34" s="1"/>
  <c r="E29" i="45"/>
  <c r="E30" i="45" s="1"/>
  <c r="E31" i="45" s="1"/>
  <c r="E32" i="45" s="1"/>
  <c r="E33" i="45" s="1"/>
  <c r="BP12" i="36" l="1"/>
  <c r="BP43" i="34" s="1"/>
  <c r="BA13" i="55"/>
  <c r="BA32" i="55"/>
  <c r="BP22" i="36"/>
  <c r="BP53" i="34" s="1"/>
  <c r="BL12" i="36"/>
  <c r="BL43" i="34" s="1"/>
  <c r="AW13" i="55"/>
  <c r="AW32" i="55"/>
  <c r="BL22" i="36"/>
  <c r="BL53" i="34" s="1"/>
  <c r="BH12" i="36"/>
  <c r="BH43" i="34" s="1"/>
  <c r="AS13" i="55"/>
  <c r="AS32" i="55"/>
  <c r="BH22" i="36"/>
  <c r="BH53" i="34" s="1"/>
  <c r="BD12" i="36"/>
  <c r="BD43" i="34" s="1"/>
  <c r="AO13" i="55"/>
  <c r="AO32" i="55"/>
  <c r="BD22" i="36"/>
  <c r="BD53" i="34" s="1"/>
  <c r="AZ12" i="36"/>
  <c r="AZ43" i="34" s="1"/>
  <c r="AK13" i="55"/>
  <c r="AK32" i="55"/>
  <c r="AZ22" i="36"/>
  <c r="AZ53" i="34" s="1"/>
  <c r="AV12" i="36"/>
  <c r="AV43" i="34" s="1"/>
  <c r="AG13" i="55"/>
  <c r="AG32" i="55"/>
  <c r="AV22" i="36"/>
  <c r="AV53" i="34" s="1"/>
  <c r="AR12" i="36"/>
  <c r="AR43" i="34" s="1"/>
  <c r="AC13" i="55"/>
  <c r="AC32" i="55"/>
  <c r="AR22" i="36"/>
  <c r="AR53" i="34" s="1"/>
  <c r="AN12" i="36"/>
  <c r="AN43" i="34" s="1"/>
  <c r="Y32" i="55"/>
  <c r="AN22" i="36"/>
  <c r="AN53" i="34" s="1"/>
  <c r="BK12" i="36"/>
  <c r="AV32" i="55"/>
  <c r="BK22" i="36"/>
  <c r="BK53" i="34" s="1"/>
  <c r="AV13" i="55"/>
  <c r="BG12" i="36"/>
  <c r="BG43" i="34" s="1"/>
  <c r="AR32" i="55"/>
  <c r="BG22" i="36"/>
  <c r="BG53" i="34" s="1"/>
  <c r="AR13" i="55"/>
  <c r="BC12" i="36"/>
  <c r="AN32" i="55"/>
  <c r="BC22" i="36"/>
  <c r="BC53" i="34" s="1"/>
  <c r="AN13" i="55"/>
  <c r="AY12" i="36"/>
  <c r="AY43" i="34" s="1"/>
  <c r="AJ32" i="55"/>
  <c r="AY22" i="36"/>
  <c r="AY53" i="34" s="1"/>
  <c r="AJ13" i="55"/>
  <c r="AU12" i="36"/>
  <c r="AF32" i="55"/>
  <c r="AU22" i="36"/>
  <c r="AU53" i="34" s="1"/>
  <c r="AF13" i="55"/>
  <c r="AQ12" i="36"/>
  <c r="AQ43" i="34" s="1"/>
  <c r="AB32" i="55"/>
  <c r="AQ22" i="36"/>
  <c r="AQ53" i="34" s="1"/>
  <c r="AB13" i="55"/>
  <c r="AM12" i="36"/>
  <c r="AM43" i="34" s="1"/>
  <c r="X32" i="55"/>
  <c r="AM22" i="36"/>
  <c r="AM53" i="34" s="1"/>
  <c r="BN12" i="36"/>
  <c r="BN43" i="34" s="1"/>
  <c r="BN22" i="36"/>
  <c r="BN53" i="34" s="1"/>
  <c r="AY13" i="55"/>
  <c r="AY32" i="55"/>
  <c r="BJ12" i="36"/>
  <c r="BJ43" i="34" s="1"/>
  <c r="BJ22" i="36"/>
  <c r="BJ53" i="34" s="1"/>
  <c r="AU13" i="55"/>
  <c r="AU32" i="55"/>
  <c r="BF12" i="36"/>
  <c r="BF43" i="34" s="1"/>
  <c r="BF22" i="36"/>
  <c r="BF53" i="34" s="1"/>
  <c r="AQ13" i="55"/>
  <c r="AQ32" i="55"/>
  <c r="BB12" i="36"/>
  <c r="BB43" i="34" s="1"/>
  <c r="BB22" i="36"/>
  <c r="BB53" i="34" s="1"/>
  <c r="AM13" i="55"/>
  <c r="AM32" i="55"/>
  <c r="AX12" i="36"/>
  <c r="AX43" i="34" s="1"/>
  <c r="AX22" i="36"/>
  <c r="AX53" i="34" s="1"/>
  <c r="AI13" i="55"/>
  <c r="AI32" i="55"/>
  <c r="AT12" i="36"/>
  <c r="AT43" i="34" s="1"/>
  <c r="AT22" i="36"/>
  <c r="AT53" i="34" s="1"/>
  <c r="AE32" i="55"/>
  <c r="AP12" i="36"/>
  <c r="AP43" i="34" s="1"/>
  <c r="AP22" i="36"/>
  <c r="AP53" i="34" s="1"/>
  <c r="AA13" i="55"/>
  <c r="AA32" i="55"/>
  <c r="AL12" i="36"/>
  <c r="AL43" i="34" s="1"/>
  <c r="AL22" i="36"/>
  <c r="AL53" i="34" s="1"/>
  <c r="W13" i="55"/>
  <c r="W32" i="55"/>
  <c r="BO12" i="36"/>
  <c r="BO43" i="34" s="1"/>
  <c r="AZ32" i="55"/>
  <c r="BO22" i="36"/>
  <c r="BO53" i="34" s="1"/>
  <c r="AZ13" i="55"/>
  <c r="BM12" i="36"/>
  <c r="BM43" i="34" s="1"/>
  <c r="BM22" i="36"/>
  <c r="BM53" i="34" s="1"/>
  <c r="AX13" i="55"/>
  <c r="AX32" i="55"/>
  <c r="BI12" i="36"/>
  <c r="BI43" i="34" s="1"/>
  <c r="BI22" i="36"/>
  <c r="BI53" i="34" s="1"/>
  <c r="AT13" i="55"/>
  <c r="AT32" i="55"/>
  <c r="BE12" i="36"/>
  <c r="BE43" i="34" s="1"/>
  <c r="BE22" i="36"/>
  <c r="BE53" i="34" s="1"/>
  <c r="AP13" i="55"/>
  <c r="AP32" i="55"/>
  <c r="BA12" i="36"/>
  <c r="BA43" i="34" s="1"/>
  <c r="BA22" i="36"/>
  <c r="BA53" i="34" s="1"/>
  <c r="AL13" i="55"/>
  <c r="AL32" i="55"/>
  <c r="AW12" i="36"/>
  <c r="AW43" i="34" s="1"/>
  <c r="AW22" i="36"/>
  <c r="AW53" i="34" s="1"/>
  <c r="AH13" i="55"/>
  <c r="AH32" i="55"/>
  <c r="AS12" i="36"/>
  <c r="AS43" i="34" s="1"/>
  <c r="AS22" i="36"/>
  <c r="AS53" i="34" s="1"/>
  <c r="AD13" i="55"/>
  <c r="AD32" i="55"/>
  <c r="AO12" i="36"/>
  <c r="AO43" i="34" s="1"/>
  <c r="AO22" i="36"/>
  <c r="AO53" i="34" s="1"/>
  <c r="Z13" i="55"/>
  <c r="Z32" i="55"/>
  <c r="AK12" i="36"/>
  <c r="AK43" i="34" s="1"/>
  <c r="V19" i="55"/>
  <c r="AK22" i="36"/>
  <c r="AK53" i="34" s="1"/>
  <c r="V32" i="55"/>
  <c r="Z27" i="48"/>
  <c r="Z26" i="48"/>
  <c r="F271" i="48"/>
  <c r="G271" i="48"/>
  <c r="H271" i="48"/>
  <c r="I271" i="48"/>
  <c r="J271" i="48"/>
  <c r="K271" i="48"/>
  <c r="L271" i="48"/>
  <c r="M271" i="48"/>
  <c r="N271" i="48"/>
  <c r="O271" i="48"/>
  <c r="P271" i="48"/>
  <c r="Q271" i="48"/>
  <c r="R271" i="48"/>
  <c r="S271" i="48"/>
  <c r="T271" i="48"/>
  <c r="U271" i="48"/>
  <c r="V271" i="48"/>
  <c r="W271" i="48"/>
  <c r="X271" i="48"/>
  <c r="Y271" i="48"/>
  <c r="Z271" i="48"/>
  <c r="AA271" i="48"/>
  <c r="AB271" i="48"/>
  <c r="AC271" i="48"/>
  <c r="AD271" i="48"/>
  <c r="AE271" i="48"/>
  <c r="AF271" i="48"/>
  <c r="AG271" i="48"/>
  <c r="E271" i="48"/>
  <c r="N274" i="48"/>
  <c r="T274" i="48"/>
  <c r="T273" i="48"/>
  <c r="N273" i="48"/>
  <c r="H274" i="48"/>
  <c r="H273" i="48"/>
  <c r="AP37" i="50" l="1"/>
  <c r="AP35" i="50" s="1"/>
  <c r="AU43" i="34"/>
  <c r="AX37" i="50"/>
  <c r="AX35" i="50" s="1"/>
  <c r="BC43" i="34"/>
  <c r="BF37" i="50"/>
  <c r="BF35" i="50" s="1"/>
  <c r="BK43" i="34"/>
  <c r="AG37" i="50"/>
  <c r="AG35" i="50" s="1"/>
  <c r="AS37" i="50"/>
  <c r="AS35" i="50" s="1"/>
  <c r="AW37" i="50"/>
  <c r="AW35" i="50" s="1"/>
  <c r="BI37" i="50"/>
  <c r="BI35" i="50" s="1"/>
  <c r="AR37" i="50"/>
  <c r="AR35" i="50" s="1"/>
  <c r="AV37" i="50"/>
  <c r="AV35" i="50" s="1"/>
  <c r="BJ37" i="50"/>
  <c r="BJ35" i="50" s="1"/>
  <c r="BH37" i="50"/>
  <c r="BH35" i="50" s="1"/>
  <c r="AJ37" i="50"/>
  <c r="AJ35" i="50" s="1"/>
  <c r="AZ37" i="50"/>
  <c r="AZ35" i="50" s="1"/>
  <c r="BA37" i="50"/>
  <c r="BA35" i="50" s="1"/>
  <c r="BE37" i="50"/>
  <c r="BE35" i="50" s="1"/>
  <c r="AQ37" i="50"/>
  <c r="AQ35" i="50" s="1"/>
  <c r="BG37" i="50"/>
  <c r="BG35" i="50" s="1"/>
  <c r="AL37" i="50"/>
  <c r="AL35" i="50" s="1"/>
  <c r="BB37" i="50"/>
  <c r="BB35" i="50" s="1"/>
  <c r="BK37" i="50"/>
  <c r="BK35" i="50" s="1"/>
  <c r="AU37" i="50"/>
  <c r="AU35" i="50" s="1"/>
  <c r="AY37" i="50"/>
  <c r="AY35" i="50" s="1"/>
  <c r="BD37" i="50"/>
  <c r="BD35" i="50" s="1"/>
  <c r="AK37" i="50"/>
  <c r="AK35" i="50" s="1"/>
  <c r="AT37" i="50"/>
  <c r="AT35" i="50" s="1"/>
  <c r="BC37" i="50"/>
  <c r="BC35" i="50" s="1"/>
  <c r="AE13" i="55"/>
  <c r="Y13" i="55"/>
  <c r="AC31" i="55"/>
  <c r="AR18" i="36"/>
  <c r="AR49" i="34" s="1"/>
  <c r="AC24" i="55"/>
  <c r="AC12" i="55"/>
  <c r="AR21" i="36"/>
  <c r="AR52" i="34" s="1"/>
  <c r="X13" i="55"/>
  <c r="AE12" i="55"/>
  <c r="AT21" i="36"/>
  <c r="AT52" i="34" s="1"/>
  <c r="AE31" i="55"/>
  <c r="AT18" i="36"/>
  <c r="AT49" i="34" s="1"/>
  <c r="AE24" i="55"/>
  <c r="AD12" i="55"/>
  <c r="AS21" i="36"/>
  <c r="AS52" i="34" s="1"/>
  <c r="AS18" i="36"/>
  <c r="AS49" i="34" s="1"/>
  <c r="AD24" i="55"/>
  <c r="AD31" i="55"/>
  <c r="Y12" i="55"/>
  <c r="AN21" i="36"/>
  <c r="AN52" i="34" s="1"/>
  <c r="Y31" i="55"/>
  <c r="AN18" i="36"/>
  <c r="AN49" i="34" s="1"/>
  <c r="Y24" i="55"/>
  <c r="X12" i="55"/>
  <c r="AM21" i="36"/>
  <c r="AM52" i="34" s="1"/>
  <c r="X31" i="55"/>
  <c r="AM18" i="36"/>
  <c r="AM49" i="34" s="1"/>
  <c r="X24" i="55"/>
  <c r="V13" i="55"/>
  <c r="AO7" i="55"/>
  <c r="AO6" i="55"/>
  <c r="AQ7" i="55"/>
  <c r="AQ6" i="55"/>
  <c r="AF7" i="55"/>
  <c r="AF6" i="55"/>
  <c r="AV7" i="55"/>
  <c r="AV6" i="55"/>
  <c r="AC7" i="55"/>
  <c r="AC6" i="55"/>
  <c r="AS7" i="55"/>
  <c r="AS6" i="55"/>
  <c r="AT7" i="55"/>
  <c r="AT6" i="55"/>
  <c r="AZ7" i="55"/>
  <c r="AZ6" i="55"/>
  <c r="AM7" i="55"/>
  <c r="AM6" i="55"/>
  <c r="AB7" i="55"/>
  <c r="AB6" i="55"/>
  <c r="AR7" i="55"/>
  <c r="AR6" i="55"/>
  <c r="V7" i="55"/>
  <c r="V6" i="55"/>
  <c r="AH7" i="55"/>
  <c r="AH6" i="55"/>
  <c r="AX7" i="55"/>
  <c r="AX6" i="55"/>
  <c r="AA7" i="55"/>
  <c r="AA6" i="55"/>
  <c r="AL7" i="55"/>
  <c r="AL6" i="55"/>
  <c r="AE7" i="55"/>
  <c r="AE6" i="55"/>
  <c r="AU7" i="55"/>
  <c r="AU6" i="55"/>
  <c r="X7" i="55"/>
  <c r="X6" i="55"/>
  <c r="AJ7" i="55"/>
  <c r="AJ6" i="55"/>
  <c r="AG7" i="55"/>
  <c r="AG6" i="55"/>
  <c r="AW7" i="55"/>
  <c r="AW6" i="55"/>
  <c r="AD7" i="55"/>
  <c r="AD6" i="55"/>
  <c r="Z7" i="55"/>
  <c r="Z6" i="55"/>
  <c r="AP7" i="55"/>
  <c r="AP6" i="55"/>
  <c r="W7" i="55"/>
  <c r="W6" i="55"/>
  <c r="AI7" i="55"/>
  <c r="AI6" i="55"/>
  <c r="AY7" i="55"/>
  <c r="AY6" i="55"/>
  <c r="AN7" i="55"/>
  <c r="AN6" i="55"/>
  <c r="Y7" i="55"/>
  <c r="Y6" i="55"/>
  <c r="AK7" i="55"/>
  <c r="AK6" i="55"/>
  <c r="BA7" i="55"/>
  <c r="BA6" i="55"/>
  <c r="AH38" i="55"/>
  <c r="AH37" i="55"/>
  <c r="AX38" i="55"/>
  <c r="AX37" i="55"/>
  <c r="AA38" i="55"/>
  <c r="AA37" i="55"/>
  <c r="AQ38" i="55"/>
  <c r="AQ37" i="55"/>
  <c r="X38" i="55"/>
  <c r="X37" i="55"/>
  <c r="AN38" i="55"/>
  <c r="AN37" i="55"/>
  <c r="Y38" i="55"/>
  <c r="Y37" i="55"/>
  <c r="AO38" i="55"/>
  <c r="AO37" i="55"/>
  <c r="V38" i="55"/>
  <c r="V37" i="55"/>
  <c r="AL38" i="55"/>
  <c r="AL37" i="55"/>
  <c r="AZ38" i="55"/>
  <c r="AZ37" i="55"/>
  <c r="AE38" i="55"/>
  <c r="AE37" i="55"/>
  <c r="AU38" i="55"/>
  <c r="AU37" i="55"/>
  <c r="AB38" i="55"/>
  <c r="AB37" i="55"/>
  <c r="AR38" i="55"/>
  <c r="AR37" i="55"/>
  <c r="AC38" i="55"/>
  <c r="AC37" i="55"/>
  <c r="AS38" i="55"/>
  <c r="AS37" i="55"/>
  <c r="Z38" i="55"/>
  <c r="Z37" i="55"/>
  <c r="AP38" i="55"/>
  <c r="AP37" i="55"/>
  <c r="AI38" i="55"/>
  <c r="AI37" i="55"/>
  <c r="AY38" i="55"/>
  <c r="AY37" i="55"/>
  <c r="AF38" i="55"/>
  <c r="AF37" i="55"/>
  <c r="AV38" i="55"/>
  <c r="AV37" i="55"/>
  <c r="AG38" i="55"/>
  <c r="AG37" i="55"/>
  <c r="AW38" i="55"/>
  <c r="AW37" i="55"/>
  <c r="AD38" i="55"/>
  <c r="AD37" i="55"/>
  <c r="AT38" i="55"/>
  <c r="AT37" i="55"/>
  <c r="W38" i="55"/>
  <c r="W37" i="55"/>
  <c r="AM38" i="55"/>
  <c r="AM37" i="55"/>
  <c r="AJ38" i="55"/>
  <c r="AJ37" i="55"/>
  <c r="AK38" i="55"/>
  <c r="AK37" i="55"/>
  <c r="BA38" i="55"/>
  <c r="BA37" i="55"/>
  <c r="Z19" i="55"/>
  <c r="Z18" i="55"/>
  <c r="AE19" i="55"/>
  <c r="AE18" i="55"/>
  <c r="AM19" i="55"/>
  <c r="AM18" i="55"/>
  <c r="AU19" i="55"/>
  <c r="AU18" i="55"/>
  <c r="X19" i="55"/>
  <c r="X18" i="55"/>
  <c r="AG19" i="55"/>
  <c r="AG18" i="55"/>
  <c r="AO19" i="55"/>
  <c r="AO18" i="55"/>
  <c r="AW19" i="55"/>
  <c r="AW18" i="55"/>
  <c r="AD19" i="55"/>
  <c r="AD18" i="55"/>
  <c r="AT19" i="55"/>
  <c r="AT18" i="55"/>
  <c r="AZ19" i="55"/>
  <c r="AZ18" i="55"/>
  <c r="AF19" i="55"/>
  <c r="AF18" i="55"/>
  <c r="AN19" i="55"/>
  <c r="AN18" i="55"/>
  <c r="AV19" i="55"/>
  <c r="AV18" i="55"/>
  <c r="AA19" i="55"/>
  <c r="AA18" i="55"/>
  <c r="AI19" i="55"/>
  <c r="AI18" i="55"/>
  <c r="AQ19" i="55"/>
  <c r="AQ18" i="55"/>
  <c r="AY19" i="55"/>
  <c r="AY18" i="55"/>
  <c r="AC19" i="55"/>
  <c r="AK19" i="55"/>
  <c r="AK18" i="55"/>
  <c r="AS19" i="55"/>
  <c r="AS18" i="55"/>
  <c r="BA19" i="55"/>
  <c r="BA18" i="55"/>
  <c r="AP19" i="55"/>
  <c r="AX19" i="55"/>
  <c r="AX18" i="55"/>
  <c r="W19" i="55"/>
  <c r="W18" i="55"/>
  <c r="AB19" i="55"/>
  <c r="AB18" i="55"/>
  <c r="AJ19" i="55"/>
  <c r="AR19" i="55"/>
  <c r="AR18" i="55"/>
  <c r="Y19" i="55"/>
  <c r="Y18" i="55"/>
  <c r="AL25" i="55"/>
  <c r="AR25" i="55"/>
  <c r="AL19" i="55"/>
  <c r="AA25" i="55"/>
  <c r="AI25" i="55"/>
  <c r="AQ25" i="55"/>
  <c r="AY25" i="55"/>
  <c r="X25" i="55"/>
  <c r="AD25" i="55"/>
  <c r="AT25" i="55"/>
  <c r="AB25" i="55"/>
  <c r="AJ25" i="55"/>
  <c r="AG25" i="55"/>
  <c r="AW25" i="55"/>
  <c r="Z25" i="55"/>
  <c r="AH25" i="55"/>
  <c r="AP25" i="55"/>
  <c r="AX25" i="55"/>
  <c r="AZ25" i="55"/>
  <c r="W25" i="55"/>
  <c r="AF25" i="55"/>
  <c r="AN25" i="55"/>
  <c r="AV25" i="55"/>
  <c r="AC25" i="55"/>
  <c r="AK25" i="55"/>
  <c r="AS25" i="55"/>
  <c r="BA25" i="55"/>
  <c r="AO25" i="55"/>
  <c r="V25" i="55"/>
  <c r="AH19" i="55"/>
  <c r="AE25" i="55"/>
  <c r="AM25" i="55"/>
  <c r="AU25" i="55"/>
  <c r="Y25" i="55"/>
  <c r="AJ31" i="50"/>
  <c r="AR31" i="50"/>
  <c r="AF19" i="50"/>
  <c r="AN19" i="50"/>
  <c r="AR23" i="50"/>
  <c r="BD19" i="50"/>
  <c r="AF10" i="50"/>
  <c r="AF27" i="50"/>
  <c r="AF7" i="50"/>
  <c r="AJ19" i="50"/>
  <c r="AN23" i="50"/>
  <c r="AR19" i="50"/>
  <c r="AV23" i="50"/>
  <c r="AZ19" i="50"/>
  <c r="BD23" i="50"/>
  <c r="BH19" i="50"/>
  <c r="AK31" i="50"/>
  <c r="AO10" i="50"/>
  <c r="AO27" i="50"/>
  <c r="AO7" i="50"/>
  <c r="AS31" i="50"/>
  <c r="AW10" i="50"/>
  <c r="AW27" i="50"/>
  <c r="AW7" i="50"/>
  <c r="BA31" i="50"/>
  <c r="BE10" i="50"/>
  <c r="BE27" i="50"/>
  <c r="BE7" i="50"/>
  <c r="BI31" i="50"/>
  <c r="AH31" i="50"/>
  <c r="AH7" i="50"/>
  <c r="AL23" i="50"/>
  <c r="AL10" i="50"/>
  <c r="AL19" i="50"/>
  <c r="AT23" i="50"/>
  <c r="AT10" i="50"/>
  <c r="AT19" i="50"/>
  <c r="BB23" i="50"/>
  <c r="BB10" i="50"/>
  <c r="BB19" i="50"/>
  <c r="AI10" i="50"/>
  <c r="AI27" i="50"/>
  <c r="AQ31" i="50"/>
  <c r="AQ23" i="50"/>
  <c r="AQ7" i="50"/>
  <c r="AY31" i="50"/>
  <c r="AY23" i="50"/>
  <c r="AY7" i="50"/>
  <c r="BG31" i="50"/>
  <c r="BG23" i="50"/>
  <c r="BG7" i="50"/>
  <c r="AN7" i="50"/>
  <c r="AV10" i="50"/>
  <c r="AV27" i="50"/>
  <c r="AV7" i="50"/>
  <c r="AZ31" i="50"/>
  <c r="BD10" i="50"/>
  <c r="BD27" i="50"/>
  <c r="BD7" i="50"/>
  <c r="BH31" i="50"/>
  <c r="BJ31" i="50"/>
  <c r="BJ7" i="50"/>
  <c r="AG31" i="50"/>
  <c r="AG19" i="50"/>
  <c r="AK23" i="50"/>
  <c r="AO19" i="50"/>
  <c r="AS23" i="50"/>
  <c r="AW19" i="50"/>
  <c r="BA23" i="50"/>
  <c r="BE19" i="50"/>
  <c r="BI23" i="50"/>
  <c r="AH23" i="50"/>
  <c r="AH10" i="50"/>
  <c r="AL27" i="50"/>
  <c r="AP31" i="50"/>
  <c r="AP7" i="50"/>
  <c r="AT27" i="50"/>
  <c r="AX31" i="50"/>
  <c r="AX7" i="50"/>
  <c r="BB27" i="50"/>
  <c r="BF31" i="50"/>
  <c r="BF7" i="50"/>
  <c r="AI19" i="50"/>
  <c r="AQ10" i="50"/>
  <c r="AQ27" i="50"/>
  <c r="AQ19" i="50"/>
  <c r="AY10" i="50"/>
  <c r="AY27" i="50"/>
  <c r="AY19" i="50"/>
  <c r="BG10" i="50"/>
  <c r="BG27" i="50"/>
  <c r="BG19" i="50"/>
  <c r="AN10" i="50"/>
  <c r="AZ23" i="50"/>
  <c r="BJ23" i="50"/>
  <c r="BJ10" i="50"/>
  <c r="BJ19" i="50"/>
  <c r="AG23" i="50"/>
  <c r="AK10" i="50"/>
  <c r="AK27" i="50"/>
  <c r="AK7" i="50"/>
  <c r="AO31" i="50"/>
  <c r="AS10" i="50"/>
  <c r="AS27" i="50"/>
  <c r="AS7" i="50"/>
  <c r="AW31" i="50"/>
  <c r="BA10" i="50"/>
  <c r="BA27" i="50"/>
  <c r="BA7" i="50"/>
  <c r="BE31" i="50"/>
  <c r="BI10" i="50"/>
  <c r="BI27" i="50"/>
  <c r="BI7" i="50"/>
  <c r="AH27" i="50"/>
  <c r="AH19" i="50"/>
  <c r="AP23" i="50"/>
  <c r="AP10" i="50"/>
  <c r="AP19" i="50"/>
  <c r="AX23" i="50"/>
  <c r="AX10" i="50"/>
  <c r="AX19" i="50"/>
  <c r="BF23" i="50"/>
  <c r="BF10" i="50"/>
  <c r="BF19" i="50"/>
  <c r="AM31" i="50"/>
  <c r="AM23" i="50"/>
  <c r="AM7" i="50"/>
  <c r="AU31" i="50"/>
  <c r="AU23" i="50"/>
  <c r="AU7" i="50"/>
  <c r="BC31" i="50"/>
  <c r="BC23" i="50"/>
  <c r="BC7" i="50"/>
  <c r="BK31" i="50"/>
  <c r="BK23" i="50"/>
  <c r="BK7" i="50"/>
  <c r="AN27" i="50"/>
  <c r="AF31" i="50"/>
  <c r="AJ23" i="50"/>
  <c r="AV19" i="50"/>
  <c r="BH23" i="50"/>
  <c r="AF23" i="50"/>
  <c r="AJ10" i="50"/>
  <c r="AJ27" i="50"/>
  <c r="AJ7" i="50"/>
  <c r="AN31" i="50"/>
  <c r="AR10" i="50"/>
  <c r="AR27" i="50"/>
  <c r="AR7" i="50"/>
  <c r="AV31" i="50"/>
  <c r="AZ10" i="50"/>
  <c r="AZ27" i="50"/>
  <c r="AZ7" i="50"/>
  <c r="BD31" i="50"/>
  <c r="BH10" i="50"/>
  <c r="BH27" i="50"/>
  <c r="BH7" i="50"/>
  <c r="BJ27" i="50"/>
  <c r="AG10" i="50"/>
  <c r="AG27" i="50"/>
  <c r="AG7" i="50"/>
  <c r="AK19" i="50"/>
  <c r="AO23" i="50"/>
  <c r="AS19" i="50"/>
  <c r="AW23" i="50"/>
  <c r="BA19" i="50"/>
  <c r="BE23" i="50"/>
  <c r="BI19" i="50"/>
  <c r="AL31" i="50"/>
  <c r="AL7" i="50"/>
  <c r="AP27" i="50"/>
  <c r="AT31" i="50"/>
  <c r="AT7" i="50"/>
  <c r="AX27" i="50"/>
  <c r="BB31" i="50"/>
  <c r="BB7" i="50"/>
  <c r="BF27" i="50"/>
  <c r="AI31" i="50"/>
  <c r="AI23" i="50"/>
  <c r="AI7" i="50"/>
  <c r="AM10" i="50"/>
  <c r="AM27" i="50"/>
  <c r="AM19" i="50"/>
  <c r="AU10" i="50"/>
  <c r="AU27" i="50"/>
  <c r="AU19" i="50"/>
  <c r="BC10" i="50"/>
  <c r="BC27" i="50"/>
  <c r="BC19" i="50"/>
  <c r="BK10" i="50"/>
  <c r="BK27" i="50"/>
  <c r="BK19" i="50"/>
  <c r="S90" i="48"/>
  <c r="T55" i="48"/>
  <c r="N56" i="48"/>
  <c r="N55" i="48"/>
  <c r="H56" i="48"/>
  <c r="H55" i="48"/>
  <c r="S91" i="48"/>
  <c r="T56" i="48"/>
  <c r="AI37" i="50" l="1"/>
  <c r="AI35" i="50" s="1"/>
  <c r="AO37" i="50"/>
  <c r="AO35" i="50" s="1"/>
  <c r="AN37" i="50"/>
  <c r="AN35" i="50" s="1"/>
  <c r="AM37" i="50"/>
  <c r="AM35" i="50" s="1"/>
  <c r="AH37" i="50"/>
  <c r="AH35" i="50" s="1"/>
  <c r="AJ18" i="55"/>
  <c r="AP18" i="55"/>
  <c r="AC18" i="55"/>
  <c r="AH18" i="55"/>
  <c r="V12" i="55"/>
  <c r="AK21" i="36"/>
  <c r="AL18" i="55"/>
  <c r="B52" i="45"/>
  <c r="B67" i="45" s="1"/>
  <c r="B49" i="45"/>
  <c r="B66" i="45" s="1"/>
  <c r="B43" i="45"/>
  <c r="B65" i="45" s="1"/>
  <c r="E194" i="33"/>
  <c r="F428" i="48"/>
  <c r="G428" i="48"/>
  <c r="H428" i="48"/>
  <c r="I428" i="48"/>
  <c r="J428" i="48"/>
  <c r="K428" i="48"/>
  <c r="L428" i="48"/>
  <c r="M428" i="48"/>
  <c r="N428" i="48"/>
  <c r="O428" i="48"/>
  <c r="P428" i="48"/>
  <c r="Q428" i="48"/>
  <c r="R428" i="48"/>
  <c r="S428" i="48"/>
  <c r="T428" i="48"/>
  <c r="U428" i="48"/>
  <c r="V428" i="48"/>
  <c r="W428" i="48"/>
  <c r="X428" i="48"/>
  <c r="Y428" i="48"/>
  <c r="Z428" i="48"/>
  <c r="AA428" i="48"/>
  <c r="AB428" i="48"/>
  <c r="AC428" i="48"/>
  <c r="AD428" i="48"/>
  <c r="AE428" i="48"/>
  <c r="AF428" i="48"/>
  <c r="E428" i="48"/>
  <c r="H26" i="46"/>
  <c r="E82" i="36"/>
  <c r="C83" i="36"/>
  <c r="C84" i="36" s="1"/>
  <c r="C85" i="36" s="1"/>
  <c r="E85" i="36" s="1"/>
  <c r="F424" i="48"/>
  <c r="G424" i="48"/>
  <c r="H424" i="48"/>
  <c r="I424" i="48"/>
  <c r="J424" i="48"/>
  <c r="K424" i="48"/>
  <c r="L424" i="48"/>
  <c r="M424" i="48"/>
  <c r="N424" i="48"/>
  <c r="O424" i="48"/>
  <c r="P424" i="48"/>
  <c r="Q424" i="48"/>
  <c r="R424" i="48"/>
  <c r="S424" i="48"/>
  <c r="T424" i="48"/>
  <c r="U424" i="48"/>
  <c r="V424" i="48"/>
  <c r="W424" i="48"/>
  <c r="X424" i="48"/>
  <c r="Y424" i="48"/>
  <c r="Z424" i="48"/>
  <c r="AA424" i="48"/>
  <c r="AB424" i="48"/>
  <c r="AC424" i="48"/>
  <c r="AD424" i="48"/>
  <c r="AE424" i="48"/>
  <c r="AF424" i="48"/>
  <c r="F426" i="48"/>
  <c r="G426" i="48"/>
  <c r="H426" i="48"/>
  <c r="I426" i="48"/>
  <c r="J426" i="48"/>
  <c r="K426" i="48"/>
  <c r="L426" i="48"/>
  <c r="M426" i="48"/>
  <c r="N426" i="48"/>
  <c r="O426" i="48"/>
  <c r="P426" i="48"/>
  <c r="Q426" i="48"/>
  <c r="R426" i="48"/>
  <c r="S426" i="48"/>
  <c r="T426" i="48"/>
  <c r="U426" i="48"/>
  <c r="V426" i="48"/>
  <c r="W426" i="48"/>
  <c r="X426" i="48"/>
  <c r="Y426" i="48"/>
  <c r="Z426" i="48"/>
  <c r="AA426" i="48"/>
  <c r="AB426" i="48"/>
  <c r="AC426" i="48"/>
  <c r="AD426" i="48"/>
  <c r="AE426" i="48"/>
  <c r="AF426" i="48"/>
  <c r="E424" i="48"/>
  <c r="F422" i="48"/>
  <c r="G422" i="48"/>
  <c r="H422" i="48"/>
  <c r="I422" i="48"/>
  <c r="J422" i="48"/>
  <c r="K422" i="48"/>
  <c r="L422" i="48"/>
  <c r="M422" i="48"/>
  <c r="N422" i="48"/>
  <c r="O422" i="48"/>
  <c r="P422" i="48"/>
  <c r="Q422" i="48"/>
  <c r="R422" i="48"/>
  <c r="S422" i="48"/>
  <c r="T422" i="48"/>
  <c r="V422" i="48"/>
  <c r="W422" i="48"/>
  <c r="X422" i="48"/>
  <c r="Y422" i="48"/>
  <c r="Z422" i="48"/>
  <c r="AA422" i="48"/>
  <c r="AB422" i="48"/>
  <c r="AC422" i="48"/>
  <c r="AD422" i="48"/>
  <c r="AE422" i="48"/>
  <c r="AF422" i="48"/>
  <c r="E422" i="48"/>
  <c r="C173" i="34"/>
  <c r="C174" i="34" s="1"/>
  <c r="C175" i="34" s="1"/>
  <c r="C176" i="34" s="1"/>
  <c r="C177" i="34" s="1"/>
  <c r="C178" i="34" s="1"/>
  <c r="C179" i="34" s="1"/>
  <c r="C180" i="34" s="1"/>
  <c r="C181" i="34" s="1"/>
  <c r="C182" i="34" s="1"/>
  <c r="C183" i="34" s="1"/>
  <c r="C184" i="34" s="1"/>
  <c r="C185" i="34" s="1"/>
  <c r="C186" i="34" s="1"/>
  <c r="C187" i="34" s="1"/>
  <c r="C188" i="34" s="1"/>
  <c r="F206" i="33"/>
  <c r="F207" i="33" s="1"/>
  <c r="F208" i="33" s="1"/>
  <c r="F209" i="33" s="1"/>
  <c r="F210" i="33" s="1"/>
  <c r="F211" i="33" s="1"/>
  <c r="F212" i="33" s="1"/>
  <c r="F213" i="33" s="1"/>
  <c r="F214" i="33" s="1"/>
  <c r="F215" i="33" s="1"/>
  <c r="F216" i="33" s="1"/>
  <c r="F217" i="33" s="1"/>
  <c r="F218" i="33" s="1"/>
  <c r="F219" i="33" s="1"/>
  <c r="F220" i="33" s="1"/>
  <c r="F221" i="33" s="1"/>
  <c r="F205" i="33"/>
  <c r="F204" i="33"/>
  <c r="E204" i="33"/>
  <c r="C205" i="33"/>
  <c r="E205" i="33" s="1"/>
  <c r="E203" i="33"/>
  <c r="A203" i="33"/>
  <c r="A204" i="33" s="1"/>
  <c r="A205" i="33" s="1"/>
  <c r="A206" i="33" s="1"/>
  <c r="A207" i="33" s="1"/>
  <c r="A208" i="33" s="1"/>
  <c r="A209" i="33" s="1"/>
  <c r="A210" i="33" s="1"/>
  <c r="A211" i="33" s="1"/>
  <c r="A212" i="33" s="1"/>
  <c r="A213" i="33" s="1"/>
  <c r="A214" i="33" s="1"/>
  <c r="A215" i="33" s="1"/>
  <c r="A216" i="33" s="1"/>
  <c r="A217" i="33" s="1"/>
  <c r="A218" i="33" s="1"/>
  <c r="A219" i="33" s="1"/>
  <c r="A220" i="33" s="1"/>
  <c r="A221" i="33" s="1"/>
  <c r="B203" i="33"/>
  <c r="B204" i="33" s="1"/>
  <c r="B205" i="33" s="1"/>
  <c r="B206" i="33" s="1"/>
  <c r="B207" i="33" s="1"/>
  <c r="B208" i="33" s="1"/>
  <c r="B209" i="33" s="1"/>
  <c r="B210" i="33" s="1"/>
  <c r="B211" i="33" s="1"/>
  <c r="B212" i="33" s="1"/>
  <c r="B213" i="33" s="1"/>
  <c r="B214" i="33" s="1"/>
  <c r="B215" i="33" s="1"/>
  <c r="B216" i="33" s="1"/>
  <c r="B217" i="33" s="1"/>
  <c r="B218" i="33" s="1"/>
  <c r="B219" i="33" s="1"/>
  <c r="B220" i="33" s="1"/>
  <c r="B221" i="33" s="1"/>
  <c r="C157" i="34"/>
  <c r="C158" i="34" s="1"/>
  <c r="C159" i="34" s="1"/>
  <c r="C160" i="34" s="1"/>
  <c r="C161" i="34" s="1"/>
  <c r="C162" i="34" s="1"/>
  <c r="C163" i="34" s="1"/>
  <c r="C164" i="34" s="1"/>
  <c r="C165" i="34" s="1"/>
  <c r="C166" i="34" s="1"/>
  <c r="C167" i="34" s="1"/>
  <c r="C168" i="34" s="1"/>
  <c r="C169" i="34" s="1"/>
  <c r="C170" i="34" s="1"/>
  <c r="C171" i="34" s="1"/>
  <c r="C172" i="34" s="1"/>
  <c r="B157" i="34"/>
  <c r="B158" i="34" s="1"/>
  <c r="B159" i="34" s="1"/>
  <c r="B160" i="34" s="1"/>
  <c r="B161" i="34" s="1"/>
  <c r="B162" i="34" s="1"/>
  <c r="B163" i="34" s="1"/>
  <c r="B164" i="34" s="1"/>
  <c r="B165" i="34" s="1"/>
  <c r="B166" i="34" s="1"/>
  <c r="B167" i="34" s="1"/>
  <c r="B168" i="34" s="1"/>
  <c r="B169" i="34" s="1"/>
  <c r="B170" i="34" s="1"/>
  <c r="B171" i="34" s="1"/>
  <c r="B172" i="34" s="1"/>
  <c r="B173" i="34" s="1"/>
  <c r="B174" i="34" s="1"/>
  <c r="B175" i="34" s="1"/>
  <c r="B176" i="34" s="1"/>
  <c r="B177" i="34" s="1"/>
  <c r="B178" i="34" s="1"/>
  <c r="B179" i="34" s="1"/>
  <c r="B180" i="34" s="1"/>
  <c r="B181" i="34" s="1"/>
  <c r="B182" i="34" s="1"/>
  <c r="B183" i="34" s="1"/>
  <c r="B184" i="34" s="1"/>
  <c r="B185" i="34" s="1"/>
  <c r="B186" i="34" s="1"/>
  <c r="B187" i="34" s="1"/>
  <c r="B188" i="34" s="1"/>
  <c r="D141" i="34"/>
  <c r="D142" i="34"/>
  <c r="D143" i="34"/>
  <c r="D140" i="34"/>
  <c r="C140" i="34"/>
  <c r="C136" i="34"/>
  <c r="E136" i="34" s="1"/>
  <c r="B136" i="34"/>
  <c r="B137" i="34" s="1"/>
  <c r="B138" i="34" s="1"/>
  <c r="B139" i="34" s="1"/>
  <c r="B140" i="34" s="1"/>
  <c r="B141" i="34" s="1"/>
  <c r="B142" i="34" s="1"/>
  <c r="B143" i="34" s="1"/>
  <c r="B144" i="34" s="1"/>
  <c r="E200" i="33"/>
  <c r="C201" i="33"/>
  <c r="E201" i="33" s="1"/>
  <c r="G198" i="33"/>
  <c r="G199" i="33" s="1"/>
  <c r="G197" i="33"/>
  <c r="F197" i="33"/>
  <c r="F198" i="33" s="1"/>
  <c r="F199" i="33" s="1"/>
  <c r="F200" i="33" s="1"/>
  <c r="F201" i="33" s="1"/>
  <c r="E199" i="33"/>
  <c r="E198" i="33"/>
  <c r="E197" i="33"/>
  <c r="E196" i="33"/>
  <c r="B196" i="33"/>
  <c r="B197" i="33" s="1"/>
  <c r="B198" i="33" s="1"/>
  <c r="B199" i="33" s="1"/>
  <c r="B200" i="33" s="1"/>
  <c r="B201" i="33" s="1"/>
  <c r="A196" i="33"/>
  <c r="A197" i="33" s="1"/>
  <c r="A198" i="33" s="1"/>
  <c r="A199" i="33" s="1"/>
  <c r="A200" i="33" s="1"/>
  <c r="A201" i="33" s="1"/>
  <c r="C54" i="45"/>
  <c r="C53" i="45"/>
  <c r="B53" i="45"/>
  <c r="B54" i="45" s="1"/>
  <c r="C51" i="45"/>
  <c r="C50" i="45"/>
  <c r="B50" i="45"/>
  <c r="B51" i="45" s="1"/>
  <c r="C46" i="45"/>
  <c r="C47" i="45"/>
  <c r="C48" i="45"/>
  <c r="E45" i="45"/>
  <c r="E46" i="45" s="1"/>
  <c r="E47" i="45" s="1"/>
  <c r="E48" i="45" s="1"/>
  <c r="E50" i="45" s="1"/>
  <c r="E51" i="45" s="1"/>
  <c r="D45" i="45"/>
  <c r="D46" i="45" s="1"/>
  <c r="D47" i="45" s="1"/>
  <c r="D48" i="45" s="1"/>
  <c r="D50" i="45" s="1"/>
  <c r="D51" i="45" s="1"/>
  <c r="C45" i="45"/>
  <c r="C44" i="45"/>
  <c r="B44" i="45"/>
  <c r="B45" i="45" s="1"/>
  <c r="B46" i="45" s="1"/>
  <c r="B47" i="45" s="1"/>
  <c r="B48" i="45" s="1"/>
  <c r="E42" i="45"/>
  <c r="D42" i="45"/>
  <c r="D64" i="45" s="1"/>
  <c r="B42" i="45"/>
  <c r="B64" i="45" s="1"/>
  <c r="B41" i="45"/>
  <c r="B63" i="45" s="1"/>
  <c r="G89" i="34"/>
  <c r="G91" i="34" s="1"/>
  <c r="G92" i="34" s="1"/>
  <c r="G93" i="34" s="1"/>
  <c r="G94" i="34" s="1"/>
  <c r="G95" i="34" s="1"/>
  <c r="G96" i="34" s="1"/>
  <c r="G97" i="34" s="1"/>
  <c r="G98" i="34" s="1"/>
  <c r="G99" i="34" s="1"/>
  <c r="G100" i="34" s="1"/>
  <c r="G101" i="34" s="1"/>
  <c r="G102" i="34" s="1"/>
  <c r="G103" i="34" s="1"/>
  <c r="G104" i="34" s="1"/>
  <c r="G105" i="34" s="1"/>
  <c r="G106" i="34" s="1"/>
  <c r="G107" i="34" s="1"/>
  <c r="G108" i="34" s="1"/>
  <c r="G109" i="34" s="1"/>
  <c r="G110" i="34" s="1"/>
  <c r="G111" i="34" s="1"/>
  <c r="G112" i="34" s="1"/>
  <c r="G113" i="34" s="1"/>
  <c r="G114" i="34" s="1"/>
  <c r="G115" i="34" s="1"/>
  <c r="G116" i="34" s="1"/>
  <c r="G117" i="34" s="1"/>
  <c r="G118" i="34" s="1"/>
  <c r="G119" i="34" s="1"/>
  <c r="G120" i="34" s="1"/>
  <c r="G121" i="34" s="1"/>
  <c r="G122" i="34" s="1"/>
  <c r="F89" i="34"/>
  <c r="F90" i="34" s="1"/>
  <c r="C92" i="34"/>
  <c r="C93" i="34" s="1"/>
  <c r="C94" i="34" s="1"/>
  <c r="C95" i="34" s="1"/>
  <c r="C96" i="34" s="1"/>
  <c r="C97" i="34" s="1"/>
  <c r="C98" i="34" s="1"/>
  <c r="C99" i="34" s="1"/>
  <c r="C100" i="34" s="1"/>
  <c r="C101" i="34" s="1"/>
  <c r="C102" i="34" s="1"/>
  <c r="C103" i="34" s="1"/>
  <c r="C104" i="34" s="1"/>
  <c r="C105" i="34" s="1"/>
  <c r="C106" i="34" s="1"/>
  <c r="B88" i="34"/>
  <c r="B89" i="34" s="1"/>
  <c r="B91" i="34" s="1"/>
  <c r="B92" i="34" s="1"/>
  <c r="B93" i="34" s="1"/>
  <c r="B94" i="34" s="1"/>
  <c r="B95" i="34" s="1"/>
  <c r="B96" i="34" s="1"/>
  <c r="B97" i="34" s="1"/>
  <c r="B98" i="34" s="1"/>
  <c r="B99" i="34" s="1"/>
  <c r="B100" i="34" s="1"/>
  <c r="B101" i="34" s="1"/>
  <c r="B102" i="34" s="1"/>
  <c r="B103" i="34" s="1"/>
  <c r="B104" i="34" s="1"/>
  <c r="B105" i="34" s="1"/>
  <c r="B106" i="34" s="1"/>
  <c r="B107" i="34" s="1"/>
  <c r="B108" i="34" s="1"/>
  <c r="B109" i="34" s="1"/>
  <c r="B110" i="34" s="1"/>
  <c r="B111" i="34" s="1"/>
  <c r="B112" i="34" s="1"/>
  <c r="B113" i="34" s="1"/>
  <c r="B114" i="34" s="1"/>
  <c r="B115" i="34" s="1"/>
  <c r="B116" i="34" s="1"/>
  <c r="B117" i="34" s="1"/>
  <c r="B118" i="34" s="1"/>
  <c r="B119" i="34" s="1"/>
  <c r="B120" i="34" s="1"/>
  <c r="B121" i="34" s="1"/>
  <c r="B122" i="34" s="1"/>
  <c r="B123" i="34" s="1"/>
  <c r="B124" i="34" s="1"/>
  <c r="B125" i="34" s="1"/>
  <c r="B126" i="34" s="1"/>
  <c r="B127" i="34" s="1"/>
  <c r="B128" i="34" s="1"/>
  <c r="B129" i="34" s="1"/>
  <c r="B130" i="34" s="1"/>
  <c r="B131" i="34" s="1"/>
  <c r="B132" i="34" s="1"/>
  <c r="B133" i="34" s="1"/>
  <c r="B134" i="34" s="1"/>
  <c r="B135" i="34" s="1"/>
  <c r="E188" i="33"/>
  <c r="D189" i="33"/>
  <c r="D190" i="33" s="1"/>
  <c r="F51" i="36"/>
  <c r="F52" i="36" s="1"/>
  <c r="F53" i="36" s="1"/>
  <c r="F54" i="36" s="1"/>
  <c r="F55" i="36" s="1"/>
  <c r="F56" i="36" s="1"/>
  <c r="F57" i="36" s="1"/>
  <c r="F58" i="36" s="1"/>
  <c r="F59" i="36" s="1"/>
  <c r="F60" i="36" s="1"/>
  <c r="F61" i="36" s="1"/>
  <c r="F62" i="36" s="1"/>
  <c r="F63" i="36" s="1"/>
  <c r="F64" i="36" s="1"/>
  <c r="F65" i="36" s="1"/>
  <c r="F66" i="36" s="1"/>
  <c r="F67" i="36" s="1"/>
  <c r="F68" i="36" s="1"/>
  <c r="F69" i="36" s="1"/>
  <c r="F70" i="36" s="1"/>
  <c r="F71" i="36" s="1"/>
  <c r="F72" i="36" s="1"/>
  <c r="F73" i="36" s="1"/>
  <c r="F74" i="36" s="1"/>
  <c r="F75" i="36" s="1"/>
  <c r="F76" i="36" s="1"/>
  <c r="F77" i="36" s="1"/>
  <c r="F78" i="36" s="1"/>
  <c r="F79" i="36" s="1"/>
  <c r="F80" i="36" s="1"/>
  <c r="F81" i="36" s="1"/>
  <c r="F82" i="36" s="1"/>
  <c r="F83" i="36" s="1"/>
  <c r="F84" i="36" s="1"/>
  <c r="F85" i="36" s="1"/>
  <c r="B50" i="36"/>
  <c r="B51" i="36" s="1"/>
  <c r="B52" i="36" s="1"/>
  <c r="B53" i="36" s="1"/>
  <c r="B54" i="36" s="1"/>
  <c r="B55" i="36" s="1"/>
  <c r="B56" i="36" s="1"/>
  <c r="B57" i="36" s="1"/>
  <c r="B58" i="36" s="1"/>
  <c r="B59" i="36" s="1"/>
  <c r="B60" i="36" s="1"/>
  <c r="B61" i="36" s="1"/>
  <c r="B62" i="36" s="1"/>
  <c r="B63" i="36" s="1"/>
  <c r="B64" i="36" s="1"/>
  <c r="B65" i="36" s="1"/>
  <c r="B66" i="36" s="1"/>
  <c r="B67" i="36" s="1"/>
  <c r="B68" i="36" s="1"/>
  <c r="B69" i="36" s="1"/>
  <c r="B70" i="36" s="1"/>
  <c r="B71" i="36" s="1"/>
  <c r="B72" i="36" s="1"/>
  <c r="B73" i="36" s="1"/>
  <c r="B74" i="36" s="1"/>
  <c r="B75" i="36" s="1"/>
  <c r="B76" i="36" s="1"/>
  <c r="B77" i="36" s="1"/>
  <c r="B78" i="36" s="1"/>
  <c r="B79" i="36" s="1"/>
  <c r="B80" i="36" s="1"/>
  <c r="B81" i="36" s="1"/>
  <c r="B82" i="36" s="1"/>
  <c r="B83" i="36" s="1"/>
  <c r="B84" i="36" s="1"/>
  <c r="B85" i="36" s="1"/>
  <c r="A50" i="36"/>
  <c r="A51" i="36" s="1"/>
  <c r="A52" i="36" s="1"/>
  <c r="A53" i="36" s="1"/>
  <c r="A54" i="36" s="1"/>
  <c r="A55" i="36" s="1"/>
  <c r="A56" i="36" s="1"/>
  <c r="A57" i="36" s="1"/>
  <c r="A58" i="36" s="1"/>
  <c r="A59" i="36" s="1"/>
  <c r="A60" i="36" s="1"/>
  <c r="A61" i="36" s="1"/>
  <c r="A62" i="36" s="1"/>
  <c r="A63" i="36" s="1"/>
  <c r="A64" i="36" s="1"/>
  <c r="A65" i="36" s="1"/>
  <c r="A66" i="36" s="1"/>
  <c r="A67" i="36" s="1"/>
  <c r="A68" i="36" s="1"/>
  <c r="A69" i="36" s="1"/>
  <c r="A70" i="36" s="1"/>
  <c r="A71" i="36" s="1"/>
  <c r="A72" i="36" s="1"/>
  <c r="A73" i="36" s="1"/>
  <c r="A74" i="36" s="1"/>
  <c r="A75" i="36" s="1"/>
  <c r="A76" i="36" s="1"/>
  <c r="A77" i="36" s="1"/>
  <c r="A78" i="36" s="1"/>
  <c r="A79" i="36" s="1"/>
  <c r="A80" i="36" s="1"/>
  <c r="A81" i="36" s="1"/>
  <c r="A82" i="36" s="1"/>
  <c r="A83" i="36" s="1"/>
  <c r="A84" i="36" s="1"/>
  <c r="A85" i="36" s="1"/>
  <c r="C166" i="33"/>
  <c r="C167" i="33" s="1"/>
  <c r="C165" i="33"/>
  <c r="D165" i="33"/>
  <c r="D177" i="33" s="1"/>
  <c r="E177" i="33" s="1"/>
  <c r="D166" i="33"/>
  <c r="D178" i="33" s="1"/>
  <c r="E178" i="33" s="1"/>
  <c r="D167" i="33"/>
  <c r="D179" i="33" s="1"/>
  <c r="E179" i="33" s="1"/>
  <c r="D168" i="33"/>
  <c r="D180" i="33" s="1"/>
  <c r="E180" i="33" s="1"/>
  <c r="D169" i="33"/>
  <c r="D181" i="33" s="1"/>
  <c r="E181" i="33" s="1"/>
  <c r="D170" i="33"/>
  <c r="D182" i="33" s="1"/>
  <c r="E182" i="33" s="1"/>
  <c r="D171" i="33"/>
  <c r="D183" i="33" s="1"/>
  <c r="E183" i="33" s="1"/>
  <c r="D172" i="33"/>
  <c r="D184" i="33" s="1"/>
  <c r="E184" i="33" s="1"/>
  <c r="D173" i="33"/>
  <c r="D185" i="33" s="1"/>
  <c r="E185" i="33" s="1"/>
  <c r="D174" i="33"/>
  <c r="D186" i="33" s="1"/>
  <c r="E186" i="33" s="1"/>
  <c r="D175" i="33"/>
  <c r="D187" i="33" s="1"/>
  <c r="E187" i="33" s="1"/>
  <c r="F164" i="33"/>
  <c r="F176" i="33" s="1"/>
  <c r="F188" i="33" s="1"/>
  <c r="G164" i="33"/>
  <c r="G176" i="33" s="1"/>
  <c r="D164" i="33"/>
  <c r="E164" i="33" s="1"/>
  <c r="H163" i="33"/>
  <c r="H162" i="33"/>
  <c r="H161" i="33"/>
  <c r="H160" i="33"/>
  <c r="H159" i="33"/>
  <c r="H158" i="33"/>
  <c r="H157" i="33"/>
  <c r="H156" i="33"/>
  <c r="H155" i="33"/>
  <c r="H154" i="33"/>
  <c r="H153" i="33"/>
  <c r="G154" i="33"/>
  <c r="G166" i="33" s="1"/>
  <c r="G178" i="33" s="1"/>
  <c r="G153" i="33"/>
  <c r="G165" i="33" s="1"/>
  <c r="G177" i="33" s="1"/>
  <c r="F153" i="33"/>
  <c r="F165" i="33" s="1"/>
  <c r="F177" i="33" s="1"/>
  <c r="F189" i="33" s="1"/>
  <c r="E153" i="33"/>
  <c r="E152" i="33"/>
  <c r="C153" i="33"/>
  <c r="C154" i="33" s="1"/>
  <c r="C155" i="33" s="1"/>
  <c r="C156" i="33" s="1"/>
  <c r="C157" i="33" s="1"/>
  <c r="C158" i="33" s="1"/>
  <c r="C159" i="33" s="1"/>
  <c r="C160" i="33" s="1"/>
  <c r="C161" i="33" s="1"/>
  <c r="C162" i="33" s="1"/>
  <c r="C163" i="33" s="1"/>
  <c r="E163" i="33" s="1"/>
  <c r="H152" i="33"/>
  <c r="B152" i="33"/>
  <c r="B153" i="33" s="1"/>
  <c r="B154" i="33" s="1"/>
  <c r="B155" i="33" s="1"/>
  <c r="B156" i="33" s="1"/>
  <c r="B157" i="33" s="1"/>
  <c r="B158" i="33" s="1"/>
  <c r="B159" i="33" s="1"/>
  <c r="B160" i="33" s="1"/>
  <c r="B161" i="33" s="1"/>
  <c r="B162" i="33" s="1"/>
  <c r="B163" i="33" s="1"/>
  <c r="B164" i="33" s="1"/>
  <c r="B165" i="33" s="1"/>
  <c r="B166" i="33" s="1"/>
  <c r="B167" i="33" s="1"/>
  <c r="B168" i="33" s="1"/>
  <c r="B169" i="33" s="1"/>
  <c r="B170" i="33" s="1"/>
  <c r="B171" i="33" s="1"/>
  <c r="B172" i="33" s="1"/>
  <c r="B173" i="33" s="1"/>
  <c r="B174" i="33" s="1"/>
  <c r="B175" i="33" s="1"/>
  <c r="B176" i="33" s="1"/>
  <c r="B177" i="33" s="1"/>
  <c r="B178" i="33" s="1"/>
  <c r="B179" i="33" s="1"/>
  <c r="B180" i="33" s="1"/>
  <c r="B181" i="33" s="1"/>
  <c r="B182" i="33" s="1"/>
  <c r="B183" i="33" s="1"/>
  <c r="B184" i="33" s="1"/>
  <c r="B185" i="33" s="1"/>
  <c r="B186" i="33" s="1"/>
  <c r="B187" i="33" s="1"/>
  <c r="B188" i="33" s="1"/>
  <c r="B189" i="33" s="1"/>
  <c r="B190" i="33" s="1"/>
  <c r="B191" i="33" s="1"/>
  <c r="B192" i="33" s="1"/>
  <c r="B193" i="33" s="1"/>
  <c r="B194" i="33" s="1"/>
  <c r="E47" i="36"/>
  <c r="E48" i="36"/>
  <c r="B45" i="36"/>
  <c r="A45" i="36"/>
  <c r="A46" i="36" s="1"/>
  <c r="F359" i="48"/>
  <c r="G359" i="48"/>
  <c r="H359" i="48"/>
  <c r="J359" i="48"/>
  <c r="K359" i="48"/>
  <c r="L359" i="48"/>
  <c r="M359" i="48"/>
  <c r="N359" i="48"/>
  <c r="O359" i="48"/>
  <c r="P359" i="48"/>
  <c r="Q359" i="48"/>
  <c r="R359" i="48"/>
  <c r="S359" i="48"/>
  <c r="V359" i="48"/>
  <c r="W359" i="48"/>
  <c r="X359" i="48"/>
  <c r="Y359" i="48"/>
  <c r="Z359" i="48"/>
  <c r="AA359" i="48"/>
  <c r="AB359" i="48"/>
  <c r="AC359" i="48"/>
  <c r="AD359" i="48"/>
  <c r="AE359" i="48"/>
  <c r="AF359" i="48"/>
  <c r="E359" i="48"/>
  <c r="B87" i="34"/>
  <c r="B150" i="33"/>
  <c r="E46" i="36"/>
  <c r="B46" i="36"/>
  <c r="F401" i="48"/>
  <c r="G401" i="48"/>
  <c r="H401" i="48"/>
  <c r="I401" i="48"/>
  <c r="J401" i="48"/>
  <c r="K401" i="48"/>
  <c r="L401" i="48"/>
  <c r="M401" i="48"/>
  <c r="N401" i="48"/>
  <c r="O401" i="48"/>
  <c r="P401" i="48"/>
  <c r="Q401" i="48"/>
  <c r="R401" i="48"/>
  <c r="S401" i="48"/>
  <c r="T401" i="48"/>
  <c r="V401" i="48"/>
  <c r="W401" i="48"/>
  <c r="X401" i="48"/>
  <c r="Y401" i="48"/>
  <c r="Z401" i="48"/>
  <c r="AA401" i="48"/>
  <c r="AB401" i="48"/>
  <c r="AD401" i="48"/>
  <c r="E401" i="48"/>
  <c r="B47" i="36"/>
  <c r="B48" i="36" s="1"/>
  <c r="F380" i="48"/>
  <c r="G380" i="48"/>
  <c r="H380" i="48"/>
  <c r="I380" i="48"/>
  <c r="J380" i="48"/>
  <c r="K380" i="48"/>
  <c r="L380" i="48"/>
  <c r="M380" i="48"/>
  <c r="N380" i="48"/>
  <c r="O380" i="48"/>
  <c r="P380" i="48"/>
  <c r="Q380" i="48"/>
  <c r="R380" i="48"/>
  <c r="S380" i="48"/>
  <c r="T380" i="48"/>
  <c r="V380" i="48"/>
  <c r="W380" i="48"/>
  <c r="X380" i="48"/>
  <c r="Y380" i="48"/>
  <c r="Z380" i="48"/>
  <c r="AA380" i="48"/>
  <c r="AB380" i="48"/>
  <c r="AC380" i="48"/>
  <c r="AD380" i="48"/>
  <c r="AE380" i="48"/>
  <c r="E380" i="48"/>
  <c r="AK83" i="36"/>
  <c r="AL83" i="36"/>
  <c r="AM83" i="36"/>
  <c r="AN83" i="36"/>
  <c r="AO83" i="36"/>
  <c r="AP83" i="36"/>
  <c r="AQ83" i="36"/>
  <c r="AR83" i="36"/>
  <c r="AS83" i="36"/>
  <c r="AT83" i="36"/>
  <c r="AU83" i="36"/>
  <c r="AV83" i="36"/>
  <c r="AW83" i="36"/>
  <c r="AX83" i="36"/>
  <c r="AY83" i="36"/>
  <c r="AZ83" i="36"/>
  <c r="BA83" i="36"/>
  <c r="BB83" i="36"/>
  <c r="BC83" i="36"/>
  <c r="BD83" i="36"/>
  <c r="BE83" i="36"/>
  <c r="BF83" i="36"/>
  <c r="BG83" i="36"/>
  <c r="BH83" i="36"/>
  <c r="BI83" i="36"/>
  <c r="BJ83" i="36"/>
  <c r="BK83" i="36"/>
  <c r="BL83" i="36"/>
  <c r="BM83" i="36"/>
  <c r="BN83" i="36"/>
  <c r="BO83" i="36"/>
  <c r="BP83" i="36"/>
  <c r="AK84" i="36"/>
  <c r="AL84" i="36"/>
  <c r="AM84" i="36"/>
  <c r="AN84" i="36"/>
  <c r="AO84" i="36"/>
  <c r="AP84" i="36"/>
  <c r="AQ84" i="36"/>
  <c r="AR84" i="36"/>
  <c r="AS84" i="36"/>
  <c r="AT84" i="36"/>
  <c r="AU84" i="36"/>
  <c r="AV84" i="36"/>
  <c r="AW84" i="36"/>
  <c r="AX84" i="36"/>
  <c r="AY84" i="36"/>
  <c r="AZ84" i="36"/>
  <c r="BA84" i="36"/>
  <c r="BB84" i="36"/>
  <c r="BC84" i="36"/>
  <c r="BD84" i="36"/>
  <c r="BE84" i="36"/>
  <c r="BF84" i="36"/>
  <c r="BG84" i="36"/>
  <c r="BH84" i="36"/>
  <c r="BI84" i="36"/>
  <c r="BJ84" i="36"/>
  <c r="BK84" i="36"/>
  <c r="BL84" i="36"/>
  <c r="BM84" i="36"/>
  <c r="BN84" i="36"/>
  <c r="BO84" i="36"/>
  <c r="BP84" i="36"/>
  <c r="B86" i="34"/>
  <c r="B149" i="33"/>
  <c r="A149" i="33"/>
  <c r="A150" i="33" s="1"/>
  <c r="A152" i="33" s="1"/>
  <c r="A153" i="33" s="1"/>
  <c r="A154" i="33" s="1"/>
  <c r="A155" i="33" s="1"/>
  <c r="A156" i="33" s="1"/>
  <c r="A157" i="33" s="1"/>
  <c r="A158" i="33" s="1"/>
  <c r="A159" i="33" s="1"/>
  <c r="A160" i="33" s="1"/>
  <c r="A161" i="33" s="1"/>
  <c r="A162" i="33" s="1"/>
  <c r="A163" i="33" s="1"/>
  <c r="A164" i="33" s="1"/>
  <c r="A165" i="33" s="1"/>
  <c r="A166" i="33" s="1"/>
  <c r="A167" i="33" s="1"/>
  <c r="A168" i="33" s="1"/>
  <c r="A169" i="33" s="1"/>
  <c r="A170" i="33" s="1"/>
  <c r="A171" i="33" s="1"/>
  <c r="A172" i="33" s="1"/>
  <c r="A173" i="33" s="1"/>
  <c r="A174" i="33" s="1"/>
  <c r="A175" i="33" s="1"/>
  <c r="A176" i="33" s="1"/>
  <c r="A177" i="33" s="1"/>
  <c r="A178" i="33" s="1"/>
  <c r="A179" i="33" s="1"/>
  <c r="A180" i="33" s="1"/>
  <c r="A181" i="33" s="1"/>
  <c r="A182" i="33" s="1"/>
  <c r="A183" i="33" s="1"/>
  <c r="A184" i="33" s="1"/>
  <c r="A185" i="33" s="1"/>
  <c r="A186" i="33" s="1"/>
  <c r="A187" i="33" s="1"/>
  <c r="A188" i="33" s="1"/>
  <c r="A189" i="33" s="1"/>
  <c r="A190" i="33" s="1"/>
  <c r="A191" i="33" s="1"/>
  <c r="A192" i="33" s="1"/>
  <c r="A193" i="33" s="1"/>
  <c r="A194" i="33" s="1"/>
  <c r="E45" i="36"/>
  <c r="O334" i="48"/>
  <c r="P334" i="48"/>
  <c r="Q334" i="48"/>
  <c r="R334" i="48"/>
  <c r="S334" i="48"/>
  <c r="T334" i="48"/>
  <c r="U334" i="48"/>
  <c r="V334" i="48"/>
  <c r="W334" i="48"/>
  <c r="X334" i="48"/>
  <c r="Y334" i="48"/>
  <c r="Z334" i="48"/>
  <c r="AA334" i="48"/>
  <c r="AB334" i="48"/>
  <c r="AC334" i="48"/>
  <c r="AD334" i="48"/>
  <c r="AE334" i="48"/>
  <c r="AF334" i="48"/>
  <c r="AG334" i="48"/>
  <c r="E301" i="48"/>
  <c r="A41" i="36"/>
  <c r="A42" i="36" s="1"/>
  <c r="A43" i="36" s="1"/>
  <c r="F334" i="48"/>
  <c r="G334" i="48"/>
  <c r="H334" i="48"/>
  <c r="I334" i="48"/>
  <c r="J334" i="48"/>
  <c r="K334" i="48"/>
  <c r="L334" i="48"/>
  <c r="M334" i="48"/>
  <c r="E334" i="48"/>
  <c r="F329" i="48"/>
  <c r="F336" i="48" s="1"/>
  <c r="G329" i="48"/>
  <c r="G338" i="48" s="1"/>
  <c r="H329" i="48"/>
  <c r="H338" i="48" s="1"/>
  <c r="I329" i="48"/>
  <c r="I338" i="48" s="1"/>
  <c r="J329" i="48"/>
  <c r="J338" i="48" s="1"/>
  <c r="K329" i="48"/>
  <c r="K336" i="48" s="1"/>
  <c r="L329" i="48"/>
  <c r="L336" i="48" s="1"/>
  <c r="M329" i="48"/>
  <c r="M338" i="48" s="1"/>
  <c r="O329" i="48"/>
  <c r="O338" i="48" s="1"/>
  <c r="P329" i="48"/>
  <c r="P338" i="48" s="1"/>
  <c r="Q329" i="48"/>
  <c r="Q338" i="48" s="1"/>
  <c r="R329" i="48"/>
  <c r="R338" i="48" s="1"/>
  <c r="S329" i="48"/>
  <c r="S336" i="48" s="1"/>
  <c r="T329" i="48"/>
  <c r="T338" i="48" s="1"/>
  <c r="U329" i="48"/>
  <c r="U338" i="48" s="1"/>
  <c r="V329" i="48"/>
  <c r="V338" i="48" s="1"/>
  <c r="W329" i="48"/>
  <c r="W336" i="48" s="1"/>
  <c r="X329" i="48"/>
  <c r="X338" i="48" s="1"/>
  <c r="Y329" i="48"/>
  <c r="Y338" i="48" s="1"/>
  <c r="Z329" i="48"/>
  <c r="Z338" i="48" s="1"/>
  <c r="AA329" i="48"/>
  <c r="AA338" i="48" s="1"/>
  <c r="AB329" i="48"/>
  <c r="AB336" i="48" s="1"/>
  <c r="AC329" i="48"/>
  <c r="AC338" i="48" s="1"/>
  <c r="AD329" i="48"/>
  <c r="AD336" i="48" s="1"/>
  <c r="AE329" i="48"/>
  <c r="AE338" i="48" s="1"/>
  <c r="AF329" i="48"/>
  <c r="AF338" i="48" s="1"/>
  <c r="AG329" i="48"/>
  <c r="AG336" i="48" s="1"/>
  <c r="E329" i="48"/>
  <c r="E338" i="48" s="1"/>
  <c r="B333" i="48"/>
  <c r="A333" i="48"/>
  <c r="AG339" i="48"/>
  <c r="AF339" i="48"/>
  <c r="AE339" i="48"/>
  <c r="AD339" i="48"/>
  <c r="AC339" i="48"/>
  <c r="AB339" i="48"/>
  <c r="AA339" i="48"/>
  <c r="Z339" i="48"/>
  <c r="Y339" i="48"/>
  <c r="X339" i="48"/>
  <c r="W339" i="48"/>
  <c r="V339" i="48"/>
  <c r="U339" i="48"/>
  <c r="T339" i="48"/>
  <c r="S339" i="48"/>
  <c r="R339" i="48"/>
  <c r="Q339" i="48"/>
  <c r="P339" i="48"/>
  <c r="O339" i="48"/>
  <c r="N339" i="48"/>
  <c r="M339" i="48"/>
  <c r="L339" i="48"/>
  <c r="K339" i="48"/>
  <c r="AB338" i="48"/>
  <c r="S338" i="48"/>
  <c r="AE336" i="48"/>
  <c r="O336" i="48"/>
  <c r="AG335" i="48"/>
  <c r="AF335" i="48"/>
  <c r="AE335" i="48"/>
  <c r="AD335" i="48"/>
  <c r="AC335" i="48"/>
  <c r="AB335" i="48"/>
  <c r="AA335" i="48"/>
  <c r="Z335" i="48"/>
  <c r="Y335" i="48"/>
  <c r="X335" i="48"/>
  <c r="W335" i="48"/>
  <c r="V335" i="48"/>
  <c r="U335" i="48"/>
  <c r="T335" i="48"/>
  <c r="S335" i="48"/>
  <c r="R335" i="48"/>
  <c r="Q335" i="48"/>
  <c r="P335" i="48"/>
  <c r="O335" i="48"/>
  <c r="M335" i="48"/>
  <c r="L335" i="48"/>
  <c r="K335" i="48"/>
  <c r="J335" i="48"/>
  <c r="I335" i="48"/>
  <c r="H335" i="48"/>
  <c r="G335" i="48"/>
  <c r="F335" i="48"/>
  <c r="E335" i="48"/>
  <c r="F305" i="48"/>
  <c r="G305" i="48"/>
  <c r="H305" i="48"/>
  <c r="I305" i="48"/>
  <c r="J305" i="48"/>
  <c r="K305" i="48"/>
  <c r="L305" i="48"/>
  <c r="M305" i="48"/>
  <c r="N305" i="48"/>
  <c r="O305" i="48"/>
  <c r="P305" i="48"/>
  <c r="Q305" i="48"/>
  <c r="R305" i="48"/>
  <c r="S305" i="48"/>
  <c r="T305" i="48"/>
  <c r="U305" i="48"/>
  <c r="V305" i="48"/>
  <c r="W305" i="48"/>
  <c r="X305" i="48"/>
  <c r="Y305" i="48"/>
  <c r="Z305" i="48"/>
  <c r="AA305" i="48"/>
  <c r="AB305" i="48"/>
  <c r="AC305" i="48"/>
  <c r="AD305" i="48"/>
  <c r="AE305" i="48"/>
  <c r="AF305" i="48"/>
  <c r="AG305" i="48"/>
  <c r="F306" i="48"/>
  <c r="G306" i="48"/>
  <c r="H306" i="48"/>
  <c r="I306" i="48"/>
  <c r="J306" i="48"/>
  <c r="K306" i="48"/>
  <c r="L306" i="48"/>
  <c r="M306" i="48"/>
  <c r="N306" i="48"/>
  <c r="O306" i="48"/>
  <c r="P306" i="48"/>
  <c r="Q306" i="48"/>
  <c r="R306" i="48"/>
  <c r="S306" i="48"/>
  <c r="T306" i="48"/>
  <c r="U306" i="48"/>
  <c r="V306" i="48"/>
  <c r="W306" i="48"/>
  <c r="X306" i="48"/>
  <c r="Y306" i="48"/>
  <c r="Z306" i="48"/>
  <c r="AA306" i="48"/>
  <c r="AB306" i="48"/>
  <c r="AC306" i="48"/>
  <c r="AD306" i="48"/>
  <c r="AE306" i="48"/>
  <c r="AF306" i="48"/>
  <c r="AG306" i="48"/>
  <c r="F302" i="48"/>
  <c r="G302" i="48"/>
  <c r="H302" i="48"/>
  <c r="I302" i="48"/>
  <c r="J302" i="48"/>
  <c r="K302" i="48"/>
  <c r="L302" i="48"/>
  <c r="M302" i="48"/>
  <c r="N302" i="48"/>
  <c r="O302" i="48"/>
  <c r="P302" i="48"/>
  <c r="Q302" i="48"/>
  <c r="R302" i="48"/>
  <c r="S302" i="48"/>
  <c r="T302" i="48"/>
  <c r="U302" i="48"/>
  <c r="V302" i="48"/>
  <c r="W302" i="48"/>
  <c r="X302" i="48"/>
  <c r="Y302" i="48"/>
  <c r="Z302" i="48"/>
  <c r="AA302" i="48"/>
  <c r="AB302" i="48"/>
  <c r="AC302" i="48"/>
  <c r="AD302" i="48"/>
  <c r="AE302" i="48"/>
  <c r="AF302" i="48"/>
  <c r="AG302" i="48"/>
  <c r="F303" i="48"/>
  <c r="G303" i="48"/>
  <c r="H303" i="48"/>
  <c r="I303" i="48"/>
  <c r="J303" i="48"/>
  <c r="K303" i="48"/>
  <c r="L303" i="48"/>
  <c r="M303" i="48"/>
  <c r="N303" i="48"/>
  <c r="O303" i="48"/>
  <c r="P303" i="48"/>
  <c r="Q303" i="48"/>
  <c r="R303" i="48"/>
  <c r="S303" i="48"/>
  <c r="T303" i="48"/>
  <c r="U303" i="48"/>
  <c r="V303" i="48"/>
  <c r="W303" i="48"/>
  <c r="X303" i="48"/>
  <c r="Y303" i="48"/>
  <c r="Z303" i="48"/>
  <c r="AA303" i="48"/>
  <c r="AB303" i="48"/>
  <c r="AC303" i="48"/>
  <c r="AD303" i="48"/>
  <c r="AE303" i="48"/>
  <c r="AF303" i="48"/>
  <c r="AG303" i="48"/>
  <c r="E306" i="48"/>
  <c r="E303" i="48"/>
  <c r="E302" i="48"/>
  <c r="F301" i="48"/>
  <c r="G301" i="48"/>
  <c r="H301" i="48"/>
  <c r="I301" i="48"/>
  <c r="J301" i="48"/>
  <c r="K301" i="48"/>
  <c r="L301" i="48"/>
  <c r="M301" i="48"/>
  <c r="N301" i="48"/>
  <c r="O301" i="48"/>
  <c r="P301" i="48"/>
  <c r="Q301" i="48"/>
  <c r="R301" i="48"/>
  <c r="S301" i="48"/>
  <c r="T301" i="48"/>
  <c r="U301" i="48"/>
  <c r="V301" i="48"/>
  <c r="W301" i="48"/>
  <c r="X301" i="48"/>
  <c r="Y301" i="48"/>
  <c r="Z301" i="48"/>
  <c r="AA301" i="48"/>
  <c r="AB301" i="48"/>
  <c r="AC301" i="48"/>
  <c r="AD301" i="48"/>
  <c r="AE301" i="48"/>
  <c r="AF301" i="48"/>
  <c r="AG301" i="48"/>
  <c r="B300" i="48"/>
  <c r="A300" i="48"/>
  <c r="E305" i="48"/>
  <c r="AG294" i="48"/>
  <c r="AF294" i="48"/>
  <c r="AE294" i="48"/>
  <c r="AD294" i="48"/>
  <c r="AC294" i="48"/>
  <c r="AB294" i="48"/>
  <c r="AA294" i="48"/>
  <c r="Z294" i="48"/>
  <c r="Y294" i="48"/>
  <c r="X294" i="48"/>
  <c r="W294" i="48"/>
  <c r="V294" i="48"/>
  <c r="U294" i="48"/>
  <c r="T294" i="48"/>
  <c r="S294" i="48"/>
  <c r="R294" i="48"/>
  <c r="Q294" i="48"/>
  <c r="P294" i="48"/>
  <c r="O294" i="48"/>
  <c r="N294" i="48"/>
  <c r="M294" i="48"/>
  <c r="L294" i="48"/>
  <c r="K294" i="48"/>
  <c r="J294" i="48"/>
  <c r="I294" i="48"/>
  <c r="H294" i="48"/>
  <c r="G294" i="48"/>
  <c r="F294" i="48"/>
  <c r="E294" i="48"/>
  <c r="AF37" i="50" l="1"/>
  <c r="AF35" i="50" s="1"/>
  <c r="AK52" i="34"/>
  <c r="G136" i="34"/>
  <c r="G137" i="34" s="1"/>
  <c r="G138" i="34" s="1"/>
  <c r="G139" i="34" s="1"/>
  <c r="G140" i="34" s="1"/>
  <c r="G141" i="34" s="1"/>
  <c r="G142" i="34" s="1"/>
  <c r="G143" i="34" s="1"/>
  <c r="G144" i="34" s="1"/>
  <c r="G145" i="34" s="1"/>
  <c r="G123" i="34"/>
  <c r="G124" i="34" s="1"/>
  <c r="G125" i="34" s="1"/>
  <c r="G126" i="34" s="1"/>
  <c r="G127" i="34" s="1"/>
  <c r="G128" i="34" s="1"/>
  <c r="G129" i="34" s="1"/>
  <c r="G130" i="34" s="1"/>
  <c r="G131" i="34" s="1"/>
  <c r="G132" i="34" s="1"/>
  <c r="G133" i="34" s="1"/>
  <c r="G134" i="34" s="1"/>
  <c r="G135" i="34" s="1"/>
  <c r="F91" i="34"/>
  <c r="F92" i="34" s="1"/>
  <c r="F93" i="34" s="1"/>
  <c r="F94" i="34" s="1"/>
  <c r="F95" i="34" s="1"/>
  <c r="F96" i="34" s="1"/>
  <c r="F97" i="34" s="1"/>
  <c r="F98" i="34" s="1"/>
  <c r="F99" i="34" s="1"/>
  <c r="F100" i="34" s="1"/>
  <c r="F101" i="34" s="1"/>
  <c r="F102" i="34" s="1"/>
  <c r="F103" i="34" s="1"/>
  <c r="F104" i="34" s="1"/>
  <c r="F105" i="34" s="1"/>
  <c r="F106" i="34" s="1"/>
  <c r="F107" i="34" s="1"/>
  <c r="F108" i="34" s="1"/>
  <c r="F109" i="34" s="1"/>
  <c r="F110" i="34" s="1"/>
  <c r="F111" i="34" s="1"/>
  <c r="F112" i="34" s="1"/>
  <c r="F113" i="34" s="1"/>
  <c r="F114" i="34" s="1"/>
  <c r="F115" i="34" s="1"/>
  <c r="F116" i="34" s="1"/>
  <c r="F117" i="34" s="1"/>
  <c r="F118" i="34" s="1"/>
  <c r="F119" i="34" s="1"/>
  <c r="F120" i="34" s="1"/>
  <c r="F121" i="34" s="1"/>
  <c r="F122" i="34" s="1"/>
  <c r="F136" i="34" s="1"/>
  <c r="F137" i="34" s="1"/>
  <c r="F138" i="34" s="1"/>
  <c r="F139" i="34" s="1"/>
  <c r="F140" i="34" s="1"/>
  <c r="F141" i="34" s="1"/>
  <c r="F142" i="34" s="1"/>
  <c r="F143" i="34" s="1"/>
  <c r="F144" i="34" s="1"/>
  <c r="F145" i="34" s="1"/>
  <c r="E140" i="34"/>
  <c r="G90" i="34"/>
  <c r="B90" i="34"/>
  <c r="D176" i="33"/>
  <c r="E176" i="33" s="1"/>
  <c r="E165" i="33"/>
  <c r="E166" i="33"/>
  <c r="I85" i="36"/>
  <c r="M85" i="36"/>
  <c r="Q85" i="36"/>
  <c r="U85" i="36"/>
  <c r="Y85" i="36"/>
  <c r="AC85" i="36"/>
  <c r="AG85" i="36"/>
  <c r="H85" i="36"/>
  <c r="O85" i="36"/>
  <c r="AA85" i="36"/>
  <c r="AI85" i="36"/>
  <c r="P85" i="36"/>
  <c r="J85" i="36"/>
  <c r="N85" i="36"/>
  <c r="R85" i="36"/>
  <c r="V85" i="36"/>
  <c r="Z85" i="36"/>
  <c r="AD85" i="36"/>
  <c r="AH85" i="36"/>
  <c r="K85" i="36"/>
  <c r="S85" i="36"/>
  <c r="W85" i="36"/>
  <c r="AE85" i="36"/>
  <c r="L85" i="36"/>
  <c r="T85" i="36"/>
  <c r="X85" i="36"/>
  <c r="AB85" i="36"/>
  <c r="AF85" i="36"/>
  <c r="X336" i="48"/>
  <c r="G336" i="48"/>
  <c r="D53" i="45"/>
  <c r="D54" i="45" s="1"/>
  <c r="D52" i="45"/>
  <c r="D67" i="45" s="1"/>
  <c r="E53" i="45"/>
  <c r="E54" i="45" s="1"/>
  <c r="E52" i="45"/>
  <c r="E84" i="36"/>
  <c r="T336" i="48"/>
  <c r="K338" i="48"/>
  <c r="G384" i="48"/>
  <c r="G385" i="48"/>
  <c r="G363" i="48"/>
  <c r="G364" i="48"/>
  <c r="F338" i="48"/>
  <c r="E336" i="48"/>
  <c r="W338" i="48"/>
  <c r="V336" i="48"/>
  <c r="E49" i="45"/>
  <c r="D49" i="45"/>
  <c r="D66" i="45" s="1"/>
  <c r="C137" i="34"/>
  <c r="E137" i="34" s="1"/>
  <c r="C141" i="34"/>
  <c r="E83" i="36"/>
  <c r="D191" i="33"/>
  <c r="E190" i="33"/>
  <c r="C168" i="33"/>
  <c r="C169" i="33" s="1"/>
  <c r="E167" i="33"/>
  <c r="E160" i="33"/>
  <c r="E156" i="33"/>
  <c r="F154" i="33"/>
  <c r="E189" i="33"/>
  <c r="E159" i="33"/>
  <c r="E155" i="33"/>
  <c r="E161" i="33"/>
  <c r="E157" i="33"/>
  <c r="E162" i="33"/>
  <c r="E158" i="33"/>
  <c r="E154" i="33"/>
  <c r="G155" i="33"/>
  <c r="A47" i="36"/>
  <c r="A48" i="36" s="1"/>
  <c r="E168" i="33"/>
  <c r="H336" i="48"/>
  <c r="L338" i="48"/>
  <c r="R336" i="48"/>
  <c r="AD338" i="48"/>
  <c r="Z336" i="48"/>
  <c r="J336" i="48"/>
  <c r="P336" i="48"/>
  <c r="AA336" i="48"/>
  <c r="AF336" i="48"/>
  <c r="I336" i="48"/>
  <c r="M336" i="48"/>
  <c r="Q336" i="48"/>
  <c r="U336" i="48"/>
  <c r="Y336" i="48"/>
  <c r="AC336" i="48"/>
  <c r="AG338" i="48"/>
  <c r="G146" i="34" l="1"/>
  <c r="G147" i="34" s="1"/>
  <c r="G148" i="34" s="1"/>
  <c r="G149" i="34" s="1"/>
  <c r="G150" i="34" s="1"/>
  <c r="G151" i="34" s="1"/>
  <c r="G152" i="34" s="1"/>
  <c r="G153" i="34" s="1"/>
  <c r="G154" i="34" s="1"/>
  <c r="G155" i="34" s="1"/>
  <c r="G156" i="34" s="1"/>
  <c r="G157" i="34" s="1"/>
  <c r="G158" i="34" s="1"/>
  <c r="G159" i="34" s="1"/>
  <c r="G160" i="34" s="1"/>
  <c r="G161" i="34" s="1"/>
  <c r="G162" i="34" s="1"/>
  <c r="G163" i="34" s="1"/>
  <c r="G164" i="34" s="1"/>
  <c r="G165" i="34" s="1"/>
  <c r="G166" i="34" s="1"/>
  <c r="G167" i="34" s="1"/>
  <c r="G168" i="34" s="1"/>
  <c r="G169" i="34" s="1"/>
  <c r="G170" i="34" s="1"/>
  <c r="G171" i="34" s="1"/>
  <c r="G172" i="34" s="1"/>
  <c r="G173" i="34" s="1"/>
  <c r="G174" i="34" s="1"/>
  <c r="G175" i="34" s="1"/>
  <c r="G176" i="34" s="1"/>
  <c r="G177" i="34" s="1"/>
  <c r="G178" i="34" s="1"/>
  <c r="G179" i="34" s="1"/>
  <c r="G180" i="34" s="1"/>
  <c r="G181" i="34" s="1"/>
  <c r="G182" i="34" s="1"/>
  <c r="G183" i="34" s="1"/>
  <c r="G184" i="34" s="1"/>
  <c r="G185" i="34" s="1"/>
  <c r="G186" i="34" s="1"/>
  <c r="G187" i="34" s="1"/>
  <c r="G188" i="34" s="1"/>
  <c r="F146" i="34"/>
  <c r="F147" i="34" s="1"/>
  <c r="F148" i="34" s="1"/>
  <c r="F149" i="34" s="1"/>
  <c r="F150" i="34" s="1"/>
  <c r="F151" i="34" s="1"/>
  <c r="F152" i="34" s="1"/>
  <c r="F153" i="34" s="1"/>
  <c r="F154" i="34" s="1"/>
  <c r="F155" i="34" s="1"/>
  <c r="F156" i="34" s="1"/>
  <c r="F157" i="34" s="1"/>
  <c r="F158" i="34" s="1"/>
  <c r="F159" i="34" s="1"/>
  <c r="F160" i="34" s="1"/>
  <c r="F161" i="34" s="1"/>
  <c r="F162" i="34" s="1"/>
  <c r="F163" i="34" s="1"/>
  <c r="F164" i="34" s="1"/>
  <c r="F165" i="34" s="1"/>
  <c r="F166" i="34" s="1"/>
  <c r="F167" i="34" s="1"/>
  <c r="F168" i="34" s="1"/>
  <c r="F169" i="34" s="1"/>
  <c r="F170" i="34" s="1"/>
  <c r="F171" i="34" s="1"/>
  <c r="F172" i="34" s="1"/>
  <c r="F173" i="34" s="1"/>
  <c r="F174" i="34" s="1"/>
  <c r="F175" i="34" s="1"/>
  <c r="F176" i="34" s="1"/>
  <c r="F177" i="34" s="1"/>
  <c r="F178" i="34" s="1"/>
  <c r="F179" i="34" s="1"/>
  <c r="F180" i="34" s="1"/>
  <c r="F181" i="34" s="1"/>
  <c r="F182" i="34" s="1"/>
  <c r="F183" i="34" s="1"/>
  <c r="F184" i="34" s="1"/>
  <c r="F185" i="34" s="1"/>
  <c r="F186" i="34" s="1"/>
  <c r="F187" i="34" s="1"/>
  <c r="F188" i="34" s="1"/>
  <c r="C138" i="34"/>
  <c r="E138" i="34" s="1"/>
  <c r="E141" i="34"/>
  <c r="C142" i="34"/>
  <c r="G156" i="33"/>
  <c r="G167" i="33"/>
  <c r="G179" i="33" s="1"/>
  <c r="F155" i="33"/>
  <c r="F166" i="33"/>
  <c r="F178" i="33" s="1"/>
  <c r="F190" i="33" s="1"/>
  <c r="D192" i="33"/>
  <c r="E191" i="33"/>
  <c r="E169" i="33"/>
  <c r="C170" i="33"/>
  <c r="C139" i="34" l="1"/>
  <c r="E139" i="34" s="1"/>
  <c r="C143" i="34"/>
  <c r="E142" i="34"/>
  <c r="F156" i="33"/>
  <c r="F167" i="33"/>
  <c r="F179" i="33" s="1"/>
  <c r="F191" i="33" s="1"/>
  <c r="D193" i="33"/>
  <c r="E193" i="33" s="1"/>
  <c r="E192" i="33"/>
  <c r="G157" i="33"/>
  <c r="G168" i="33"/>
  <c r="G180" i="33" s="1"/>
  <c r="C171" i="33"/>
  <c r="E170" i="33"/>
  <c r="C144" i="34" l="1"/>
  <c r="C145" i="34" s="1"/>
  <c r="C146" i="34" s="1"/>
  <c r="E143" i="34"/>
  <c r="G158" i="33"/>
  <c r="G169" i="33"/>
  <c r="G181" i="33" s="1"/>
  <c r="F157" i="33"/>
  <c r="F168" i="33"/>
  <c r="F180" i="33" s="1"/>
  <c r="F192" i="33" s="1"/>
  <c r="E171" i="33"/>
  <c r="C172" i="33"/>
  <c r="C147" i="34" l="1"/>
  <c r="E146" i="34"/>
  <c r="E145" i="34"/>
  <c r="E144" i="34"/>
  <c r="F158" i="33"/>
  <c r="F169" i="33"/>
  <c r="F181" i="33" s="1"/>
  <c r="F193" i="33" s="1"/>
  <c r="G159" i="33"/>
  <c r="G170" i="33"/>
  <c r="G182" i="33" s="1"/>
  <c r="E172" i="33"/>
  <c r="C173" i="33"/>
  <c r="C148" i="34" l="1"/>
  <c r="E147" i="34"/>
  <c r="G160" i="33"/>
  <c r="G171" i="33"/>
  <c r="G183" i="33" s="1"/>
  <c r="F159" i="33"/>
  <c r="F170" i="33"/>
  <c r="F182" i="33" s="1"/>
  <c r="F194" i="33" s="1"/>
  <c r="C174" i="33"/>
  <c r="E173" i="33"/>
  <c r="C149" i="34" l="1"/>
  <c r="E148" i="34"/>
  <c r="F160" i="33"/>
  <c r="F171" i="33"/>
  <c r="F183" i="33" s="1"/>
  <c r="G161" i="33"/>
  <c r="G172" i="33"/>
  <c r="G184" i="33" s="1"/>
  <c r="C175" i="33"/>
  <c r="E175" i="33" s="1"/>
  <c r="E174" i="33"/>
  <c r="C150" i="34" l="1"/>
  <c r="E149" i="34"/>
  <c r="G162" i="33"/>
  <c r="G173" i="33"/>
  <c r="G185" i="33" s="1"/>
  <c r="F161" i="33"/>
  <c r="F172" i="33"/>
  <c r="F184" i="33" s="1"/>
  <c r="C151" i="34" l="1"/>
  <c r="E150" i="34"/>
  <c r="F162" i="33"/>
  <c r="F173" i="33"/>
  <c r="F185" i="33" s="1"/>
  <c r="G163" i="33"/>
  <c r="G175" i="33" s="1"/>
  <c r="G187" i="33" s="1"/>
  <c r="G174" i="33"/>
  <c r="G186" i="33" s="1"/>
  <c r="C152" i="34" l="1"/>
  <c r="E151" i="34"/>
  <c r="F163" i="33"/>
  <c r="F175" i="33" s="1"/>
  <c r="F187" i="33" s="1"/>
  <c r="F174" i="33"/>
  <c r="F186" i="33" s="1"/>
  <c r="C153" i="34" l="1"/>
  <c r="E152" i="34"/>
  <c r="B359" i="48"/>
  <c r="F267" i="48"/>
  <c r="G267" i="48"/>
  <c r="H267" i="48"/>
  <c r="I267" i="48"/>
  <c r="J267" i="48"/>
  <c r="K267" i="48"/>
  <c r="L267" i="48"/>
  <c r="M267" i="48"/>
  <c r="N267" i="48"/>
  <c r="O267" i="48"/>
  <c r="P267" i="48"/>
  <c r="Q267" i="48"/>
  <c r="R267" i="48"/>
  <c r="S267" i="48"/>
  <c r="T267" i="48"/>
  <c r="U267" i="48"/>
  <c r="V267" i="48"/>
  <c r="W267" i="48"/>
  <c r="X267" i="48"/>
  <c r="Y267" i="48"/>
  <c r="Z267" i="48"/>
  <c r="AA267" i="48"/>
  <c r="AB267" i="48"/>
  <c r="AC267" i="48"/>
  <c r="AD267" i="48"/>
  <c r="AE267" i="48"/>
  <c r="AF267" i="48"/>
  <c r="AG267" i="48"/>
  <c r="E267" i="48"/>
  <c r="F263" i="48"/>
  <c r="G263" i="48"/>
  <c r="H263" i="48"/>
  <c r="I263" i="48"/>
  <c r="J263" i="48"/>
  <c r="K263" i="48"/>
  <c r="L263" i="48"/>
  <c r="M263" i="48"/>
  <c r="N263" i="48"/>
  <c r="O263" i="48"/>
  <c r="P263" i="48"/>
  <c r="Q263" i="48"/>
  <c r="R263" i="48"/>
  <c r="S263" i="48"/>
  <c r="T263" i="48"/>
  <c r="U263" i="48"/>
  <c r="V263" i="48"/>
  <c r="W263" i="48"/>
  <c r="X263" i="48"/>
  <c r="Y263" i="48"/>
  <c r="Z263" i="48"/>
  <c r="AA263" i="48"/>
  <c r="AB263" i="48"/>
  <c r="AC263" i="48"/>
  <c r="AD263" i="48"/>
  <c r="AE263" i="48"/>
  <c r="AF263" i="48"/>
  <c r="AG263" i="48"/>
  <c r="E263" i="48"/>
  <c r="B262" i="48"/>
  <c r="A262" i="48"/>
  <c r="F255" i="48"/>
  <c r="G255" i="48"/>
  <c r="H255" i="48"/>
  <c r="I255" i="48"/>
  <c r="J255" i="48"/>
  <c r="K255" i="48"/>
  <c r="L255" i="48"/>
  <c r="M255" i="48"/>
  <c r="N255" i="48"/>
  <c r="O255" i="48"/>
  <c r="P255" i="48"/>
  <c r="Q255" i="48"/>
  <c r="R255" i="48"/>
  <c r="S255" i="48"/>
  <c r="T255" i="48"/>
  <c r="U255" i="48"/>
  <c r="V255" i="48"/>
  <c r="W255" i="48"/>
  <c r="X255" i="48"/>
  <c r="Y255" i="48"/>
  <c r="Z255" i="48"/>
  <c r="AA255" i="48"/>
  <c r="AB255" i="48"/>
  <c r="AC255" i="48"/>
  <c r="AD255" i="48"/>
  <c r="AE255" i="48"/>
  <c r="AF255" i="48"/>
  <c r="AG255" i="48"/>
  <c r="E255" i="48"/>
  <c r="C154" i="34" l="1"/>
  <c r="E153" i="34"/>
  <c r="G71" i="34"/>
  <c r="G72" i="34" s="1"/>
  <c r="G73" i="34" s="1"/>
  <c r="G74" i="34" s="1"/>
  <c r="G75" i="34" s="1"/>
  <c r="G76" i="34" s="1"/>
  <c r="G77" i="34" s="1"/>
  <c r="G78" i="34" s="1"/>
  <c r="G79" i="34" s="1"/>
  <c r="G80" i="34" s="1"/>
  <c r="G81" i="34" s="1"/>
  <c r="G82" i="34" s="1"/>
  <c r="G83" i="34" s="1"/>
  <c r="G84" i="34" s="1"/>
  <c r="G85" i="34" s="1"/>
  <c r="F71" i="34"/>
  <c r="F72" i="34" s="1"/>
  <c r="F73" i="34" s="1"/>
  <c r="F74" i="34" s="1"/>
  <c r="F75" i="34" s="1"/>
  <c r="F76" i="34" s="1"/>
  <c r="F77" i="34" s="1"/>
  <c r="F78" i="34" s="1"/>
  <c r="F79" i="34" s="1"/>
  <c r="F80" i="34" s="1"/>
  <c r="F81" i="34" s="1"/>
  <c r="F82" i="34" s="1"/>
  <c r="F83" i="34" s="1"/>
  <c r="F84" i="34" s="1"/>
  <c r="F85" i="34" s="1"/>
  <c r="B70" i="34"/>
  <c r="B71" i="34" s="1"/>
  <c r="B72" i="34" s="1"/>
  <c r="B73" i="34" s="1"/>
  <c r="B74" i="34" s="1"/>
  <c r="B75" i="34" s="1"/>
  <c r="B76" i="34" s="1"/>
  <c r="B77" i="34" s="1"/>
  <c r="B78" i="34" s="1"/>
  <c r="B79" i="34" s="1"/>
  <c r="B80" i="34" s="1"/>
  <c r="B81" i="34" s="1"/>
  <c r="B82" i="34" s="1"/>
  <c r="B83" i="34" s="1"/>
  <c r="B84" i="34" s="1"/>
  <c r="B85" i="34" s="1"/>
  <c r="C69" i="34"/>
  <c r="C85" i="34" s="1"/>
  <c r="C67" i="34"/>
  <c r="C68" i="34" s="1"/>
  <c r="C84" i="34" s="1"/>
  <c r="C66" i="34"/>
  <c r="C82" i="34" s="1"/>
  <c r="C63" i="34"/>
  <c r="C79" i="34" s="1"/>
  <c r="C58" i="34"/>
  <c r="C59" i="34" s="1"/>
  <c r="C155" i="34" l="1"/>
  <c r="E154" i="34"/>
  <c r="C83" i="34"/>
  <c r="C75" i="34"/>
  <c r="C60" i="34"/>
  <c r="C61" i="34" s="1"/>
  <c r="C62" i="34" s="1"/>
  <c r="C78" i="34" s="1"/>
  <c r="C74" i="34"/>
  <c r="C64" i="34"/>
  <c r="C156" i="34" l="1"/>
  <c r="E156" i="34" s="1"/>
  <c r="E155" i="34"/>
  <c r="C76" i="34"/>
  <c r="C77" i="34"/>
  <c r="C65" i="34"/>
  <c r="C81" i="34" s="1"/>
  <c r="C80" i="34"/>
  <c r="B34" i="45"/>
  <c r="B62" i="45" s="1"/>
  <c r="B27" i="45"/>
  <c r="B61" i="45" s="1"/>
  <c r="A27" i="45"/>
  <c r="A61" i="45" s="1"/>
  <c r="D36" i="45"/>
  <c r="D37" i="45" s="1"/>
  <c r="D38" i="45" s="1"/>
  <c r="D39" i="45" s="1"/>
  <c r="D40" i="45" s="1"/>
  <c r="C36" i="45"/>
  <c r="C37" i="45"/>
  <c r="C38" i="45"/>
  <c r="C39" i="45"/>
  <c r="C40" i="45"/>
  <c r="C35" i="45"/>
  <c r="B35" i="45"/>
  <c r="B36" i="45" s="1"/>
  <c r="B37" i="45" s="1"/>
  <c r="B38" i="45" s="1"/>
  <c r="B39" i="45" s="1"/>
  <c r="B40" i="45" s="1"/>
  <c r="D29" i="45"/>
  <c r="D30" i="45" s="1"/>
  <c r="D31" i="45" s="1"/>
  <c r="D32" i="45" s="1"/>
  <c r="D33" i="45" s="1"/>
  <c r="C29" i="45"/>
  <c r="C30" i="45"/>
  <c r="C31" i="45"/>
  <c r="C32" i="45"/>
  <c r="C33" i="45"/>
  <c r="C28" i="45"/>
  <c r="B28" i="45"/>
  <c r="B29" i="45" s="1"/>
  <c r="B30" i="45" s="1"/>
  <c r="B31" i="45" s="1"/>
  <c r="B32" i="45" s="1"/>
  <c r="B33" i="45" s="1"/>
  <c r="A28" i="45"/>
  <c r="A29" i="45" s="1"/>
  <c r="A30" i="45" s="1"/>
  <c r="A31" i="45" s="1"/>
  <c r="A32" i="45" s="1"/>
  <c r="A33" i="45" s="1"/>
  <c r="A35" i="45" s="1"/>
  <c r="A36" i="45" s="1"/>
  <c r="A37" i="45" s="1"/>
  <c r="A38" i="45" s="1"/>
  <c r="A39" i="45" s="1"/>
  <c r="A40" i="45" s="1"/>
  <c r="A41" i="45" s="1"/>
  <c r="G55" i="34"/>
  <c r="G56" i="34" s="1"/>
  <c r="G57" i="34" s="1"/>
  <c r="G58" i="34" s="1"/>
  <c r="G59" i="34" s="1"/>
  <c r="G60" i="34" s="1"/>
  <c r="G61" i="34" s="1"/>
  <c r="G62" i="34" s="1"/>
  <c r="G63" i="34" s="1"/>
  <c r="G64" i="34" s="1"/>
  <c r="G65" i="34" s="1"/>
  <c r="G66" i="34" s="1"/>
  <c r="G67" i="34" s="1"/>
  <c r="G68" i="34" s="1"/>
  <c r="G69" i="34" s="1"/>
  <c r="F55" i="34"/>
  <c r="F56" i="34" s="1"/>
  <c r="F57" i="34" s="1"/>
  <c r="F58" i="34" s="1"/>
  <c r="F59" i="34" s="1"/>
  <c r="F60" i="34" s="1"/>
  <c r="F61" i="34" s="1"/>
  <c r="F62" i="34" s="1"/>
  <c r="F63" i="34" s="1"/>
  <c r="F64" i="34" s="1"/>
  <c r="F65" i="34" s="1"/>
  <c r="F66" i="34" s="1"/>
  <c r="F67" i="34" s="1"/>
  <c r="F68" i="34" s="1"/>
  <c r="F69" i="34" s="1"/>
  <c r="C54" i="34"/>
  <c r="B54" i="34"/>
  <c r="B55" i="34" s="1"/>
  <c r="B56" i="34" s="1"/>
  <c r="B57" i="34" s="1"/>
  <c r="B58" i="34" s="1"/>
  <c r="B59" i="34" s="1"/>
  <c r="B60" i="34" s="1"/>
  <c r="B61" i="34" s="1"/>
  <c r="B62" i="34" s="1"/>
  <c r="B63" i="34" s="1"/>
  <c r="B64" i="34" s="1"/>
  <c r="B65" i="34" s="1"/>
  <c r="B66" i="34" s="1"/>
  <c r="B67" i="34" s="1"/>
  <c r="B68" i="34" s="1"/>
  <c r="B69" i="34" s="1"/>
  <c r="A54" i="34"/>
  <c r="A55" i="34" s="1"/>
  <c r="A56" i="34" s="1"/>
  <c r="A57" i="34" s="1"/>
  <c r="A58" i="34" s="1"/>
  <c r="A59" i="34" s="1"/>
  <c r="A60" i="34" s="1"/>
  <c r="A61" i="34" s="1"/>
  <c r="A62" i="34" s="1"/>
  <c r="A63" i="34" s="1"/>
  <c r="A64" i="34" s="1"/>
  <c r="A65" i="34" s="1"/>
  <c r="A66" i="34" s="1"/>
  <c r="A67" i="34" s="1"/>
  <c r="A68" i="34" s="1"/>
  <c r="A69" i="34" s="1"/>
  <c r="A70" i="34" s="1"/>
  <c r="A71" i="34" s="1"/>
  <c r="A72" i="34" s="1"/>
  <c r="A73" i="34" s="1"/>
  <c r="A74" i="34" s="1"/>
  <c r="A75" i="34" s="1"/>
  <c r="A76" i="34" s="1"/>
  <c r="A77" i="34" s="1"/>
  <c r="A78" i="34" s="1"/>
  <c r="A79" i="34" s="1"/>
  <c r="A80" i="34" s="1"/>
  <c r="A81" i="34" s="1"/>
  <c r="A82" i="34" s="1"/>
  <c r="A83" i="34" s="1"/>
  <c r="A84" i="34" s="1"/>
  <c r="A85" i="34" s="1"/>
  <c r="A86" i="34" s="1"/>
  <c r="A87" i="34" s="1"/>
  <c r="A88" i="34" s="1"/>
  <c r="A89" i="34" s="1"/>
  <c r="A91" i="34" l="1"/>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A119" i="34" s="1"/>
  <c r="A120" i="34" s="1"/>
  <c r="A121" i="34" s="1"/>
  <c r="A122" i="34" s="1"/>
  <c r="A90" i="34"/>
  <c r="A42" i="45"/>
  <c r="A64" i="45" s="1"/>
  <c r="A63" i="45"/>
  <c r="C70" i="34"/>
  <c r="C55" i="34"/>
  <c r="A34" i="45"/>
  <c r="A62" i="45" s="1"/>
  <c r="F133" i="33"/>
  <c r="F134" i="33" s="1"/>
  <c r="F135" i="33" s="1"/>
  <c r="F136" i="33" s="1"/>
  <c r="F137" i="33" s="1"/>
  <c r="F138" i="33" s="1"/>
  <c r="F139" i="33" s="1"/>
  <c r="F140" i="33" s="1"/>
  <c r="F141" i="33" s="1"/>
  <c r="F142" i="33" s="1"/>
  <c r="F144" i="33" s="1"/>
  <c r="F145" i="33" s="1"/>
  <c r="F146" i="33" s="1"/>
  <c r="F147" i="33" s="1"/>
  <c r="F143" i="33" s="1"/>
  <c r="F117" i="33"/>
  <c r="F118" i="33" s="1"/>
  <c r="F119" i="33" s="1"/>
  <c r="F120" i="33" s="1"/>
  <c r="F121" i="33" s="1"/>
  <c r="F122" i="33" s="1"/>
  <c r="F123" i="33" s="1"/>
  <c r="F124" i="33" s="1"/>
  <c r="F125" i="33" s="1"/>
  <c r="F126" i="33" s="1"/>
  <c r="F128" i="33" s="1"/>
  <c r="F129" i="33" s="1"/>
  <c r="F130" i="33" s="1"/>
  <c r="F131" i="33" s="1"/>
  <c r="F127" i="33" s="1"/>
  <c r="E117" i="33"/>
  <c r="E118" i="33" s="1"/>
  <c r="E119" i="33" s="1"/>
  <c r="E120" i="33" s="1"/>
  <c r="E121" i="33" s="1"/>
  <c r="E122" i="33" s="1"/>
  <c r="E123" i="33" s="1"/>
  <c r="E124" i="33" s="1"/>
  <c r="E125" i="33" s="1"/>
  <c r="E126" i="33" s="1"/>
  <c r="E128" i="33" s="1"/>
  <c r="E129" i="33" s="1"/>
  <c r="E130" i="33" s="1"/>
  <c r="E131" i="33" s="1"/>
  <c r="E127" i="33" s="1"/>
  <c r="E132" i="33" s="1"/>
  <c r="E133" i="33" s="1"/>
  <c r="E134" i="33" s="1"/>
  <c r="E135" i="33" s="1"/>
  <c r="E136" i="33" s="1"/>
  <c r="E137" i="33" s="1"/>
  <c r="E138" i="33" s="1"/>
  <c r="E139" i="33" s="1"/>
  <c r="E140" i="33" s="1"/>
  <c r="E141" i="33" s="1"/>
  <c r="E142" i="33" s="1"/>
  <c r="E144" i="33" s="1"/>
  <c r="E145" i="33" s="1"/>
  <c r="E146" i="33" s="1"/>
  <c r="E147" i="33" s="1"/>
  <c r="E143" i="33" s="1"/>
  <c r="E85" i="33"/>
  <c r="E86" i="33" s="1"/>
  <c r="E87" i="33" s="1"/>
  <c r="E88" i="33" s="1"/>
  <c r="E89" i="33" s="1"/>
  <c r="E90" i="33" s="1"/>
  <c r="E91" i="33" s="1"/>
  <c r="E92" i="33" s="1"/>
  <c r="E93" i="33" s="1"/>
  <c r="E94" i="33" s="1"/>
  <c r="E96" i="33" s="1"/>
  <c r="E97" i="33" s="1"/>
  <c r="E98" i="33" s="1"/>
  <c r="E99" i="33" s="1"/>
  <c r="E95" i="33" s="1"/>
  <c r="E101" i="33" s="1"/>
  <c r="E102" i="33" s="1"/>
  <c r="E103" i="33" s="1"/>
  <c r="E104" i="33" s="1"/>
  <c r="E105" i="33" s="1"/>
  <c r="E106" i="33" s="1"/>
  <c r="E107" i="33" s="1"/>
  <c r="E108" i="33" s="1"/>
  <c r="E109" i="33" s="1"/>
  <c r="E110" i="33" s="1"/>
  <c r="E112" i="33" s="1"/>
  <c r="E113" i="33" s="1"/>
  <c r="E114" i="33" s="1"/>
  <c r="E115" i="33" s="1"/>
  <c r="E111" i="33" s="1"/>
  <c r="B100" i="33"/>
  <c r="B101" i="33" s="1"/>
  <c r="B102" i="33" s="1"/>
  <c r="B103" i="33" s="1"/>
  <c r="B104" i="33" s="1"/>
  <c r="B105" i="33" s="1"/>
  <c r="B106" i="33" s="1"/>
  <c r="B107" i="33" s="1"/>
  <c r="B108" i="33" s="1"/>
  <c r="B109" i="33" s="1"/>
  <c r="B110" i="33" s="1"/>
  <c r="B112" i="33" s="1"/>
  <c r="B113" i="33" s="1"/>
  <c r="B114" i="33" s="1"/>
  <c r="B115" i="33" s="1"/>
  <c r="D95" i="33"/>
  <c r="D85" i="33"/>
  <c r="D86" i="33"/>
  <c r="D87" i="33"/>
  <c r="D88" i="33"/>
  <c r="D89" i="33"/>
  <c r="D90" i="33"/>
  <c r="D91" i="33"/>
  <c r="D92" i="33"/>
  <c r="D93" i="33"/>
  <c r="D94" i="33"/>
  <c r="D96" i="33"/>
  <c r="D97" i="33"/>
  <c r="D98" i="33"/>
  <c r="D99" i="33"/>
  <c r="D84" i="33"/>
  <c r="B84" i="33"/>
  <c r="B85" i="33" s="1"/>
  <c r="B86" i="33" s="1"/>
  <c r="B87" i="33" s="1"/>
  <c r="B88" i="33" s="1"/>
  <c r="B89" i="33" s="1"/>
  <c r="B90" i="33" s="1"/>
  <c r="B91" i="33" s="1"/>
  <c r="B92" i="33" s="1"/>
  <c r="B93" i="33" s="1"/>
  <c r="B94" i="33" s="1"/>
  <c r="B96" i="33" s="1"/>
  <c r="B97" i="33" s="1"/>
  <c r="B98" i="33" s="1"/>
  <c r="B99" i="33" s="1"/>
  <c r="B95" i="33" s="1"/>
  <c r="A84" i="33"/>
  <c r="A85" i="33" s="1"/>
  <c r="A86" i="33" s="1"/>
  <c r="A87" i="33" s="1"/>
  <c r="A88" i="33" s="1"/>
  <c r="A89" i="33" s="1"/>
  <c r="A90" i="33" s="1"/>
  <c r="A91" i="33" s="1"/>
  <c r="A92" i="33" s="1"/>
  <c r="A93" i="33" s="1"/>
  <c r="A94" i="33" s="1"/>
  <c r="A96" i="33" s="1"/>
  <c r="A97" i="33" s="1"/>
  <c r="A98" i="33" s="1"/>
  <c r="A99" i="33" s="1"/>
  <c r="A95" i="33" s="1"/>
  <c r="A100" i="33" s="1"/>
  <c r="A101" i="33" s="1"/>
  <c r="A102" i="33" s="1"/>
  <c r="A103" i="33" s="1"/>
  <c r="A104" i="33" s="1"/>
  <c r="A105" i="33" s="1"/>
  <c r="A106" i="33" s="1"/>
  <c r="A107" i="33" s="1"/>
  <c r="A108" i="33" s="1"/>
  <c r="A109" i="33" s="1"/>
  <c r="A110" i="33" s="1"/>
  <c r="A112" i="33" s="1"/>
  <c r="A113" i="33" s="1"/>
  <c r="A114" i="33" s="1"/>
  <c r="A115" i="33" s="1"/>
  <c r="B73" i="33"/>
  <c r="B74" i="33" s="1"/>
  <c r="B75" i="33" s="1"/>
  <c r="B76" i="33" s="1"/>
  <c r="B77" i="33" s="1"/>
  <c r="B78" i="33" s="1"/>
  <c r="B79" i="33" s="1"/>
  <c r="B80" i="33" s="1"/>
  <c r="B81" i="33" s="1"/>
  <c r="A73" i="33"/>
  <c r="A74" i="33" s="1"/>
  <c r="A75" i="33" s="1"/>
  <c r="A76" i="33" s="1"/>
  <c r="A77" i="33" s="1"/>
  <c r="A78" i="33" s="1"/>
  <c r="A79" i="33" s="1"/>
  <c r="A80" i="33" s="1"/>
  <c r="A81" i="33" s="1"/>
  <c r="A136" i="34" l="1"/>
  <c r="A137" i="34" s="1"/>
  <c r="A138" i="34" s="1"/>
  <c r="A139" i="34" s="1"/>
  <c r="A140" i="34" s="1"/>
  <c r="A141" i="34" s="1"/>
  <c r="A142" i="34" s="1"/>
  <c r="A143" i="34" s="1"/>
  <c r="A144" i="34" s="1"/>
  <c r="A145" i="34" s="1"/>
  <c r="A146" i="34" s="1"/>
  <c r="A147" i="34" s="1"/>
  <c r="A148" i="34" s="1"/>
  <c r="A149" i="34" s="1"/>
  <c r="A150" i="34" s="1"/>
  <c r="A151" i="34" s="1"/>
  <c r="A152" i="34" s="1"/>
  <c r="A153" i="34" s="1"/>
  <c r="A154" i="34" s="1"/>
  <c r="A155" i="34" s="1"/>
  <c r="A156" i="34" s="1"/>
  <c r="A123" i="34"/>
  <c r="A124" i="34" s="1"/>
  <c r="A125" i="34" s="1"/>
  <c r="A126" i="34" s="1"/>
  <c r="A127" i="34" s="1"/>
  <c r="A128" i="34" s="1"/>
  <c r="A129" i="34" s="1"/>
  <c r="A130" i="34" s="1"/>
  <c r="A131" i="34" s="1"/>
  <c r="A132" i="34" s="1"/>
  <c r="A133" i="34" s="1"/>
  <c r="A134" i="34" s="1"/>
  <c r="A135" i="34" s="1"/>
  <c r="A44" i="45"/>
  <c r="A45" i="45" s="1"/>
  <c r="A46" i="45" s="1"/>
  <c r="A47" i="45" s="1"/>
  <c r="A48" i="45" s="1"/>
  <c r="A50" i="45" s="1"/>
  <c r="A51" i="45" s="1"/>
  <c r="A43" i="45"/>
  <c r="A65" i="45" s="1"/>
  <c r="A111" i="33"/>
  <c r="A116" i="33"/>
  <c r="A117" i="33" s="1"/>
  <c r="A118" i="33" s="1"/>
  <c r="A119" i="33" s="1"/>
  <c r="A120" i="33" s="1"/>
  <c r="A121" i="33" s="1"/>
  <c r="A122" i="33" s="1"/>
  <c r="A123" i="33" s="1"/>
  <c r="A124" i="33" s="1"/>
  <c r="A125" i="33" s="1"/>
  <c r="A126" i="33" s="1"/>
  <c r="A127" i="33" s="1"/>
  <c r="A128" i="33" s="1"/>
  <c r="A129" i="33" s="1"/>
  <c r="A130" i="33" s="1"/>
  <c r="A131" i="33" s="1"/>
  <c r="A132" i="33" s="1"/>
  <c r="A133" i="33" s="1"/>
  <c r="A134" i="33" s="1"/>
  <c r="A135" i="33" s="1"/>
  <c r="A136" i="33" s="1"/>
  <c r="A137" i="33" s="1"/>
  <c r="A138" i="33" s="1"/>
  <c r="A139" i="33" s="1"/>
  <c r="A140" i="33" s="1"/>
  <c r="A141" i="33" s="1"/>
  <c r="A142" i="33" s="1"/>
  <c r="A143" i="33" s="1"/>
  <c r="A144" i="33" s="1"/>
  <c r="A145" i="33" s="1"/>
  <c r="A146" i="33" s="1"/>
  <c r="A147" i="33" s="1"/>
  <c r="B111" i="33"/>
  <c r="B116" i="33"/>
  <c r="B117" i="33" s="1"/>
  <c r="B118" i="33" s="1"/>
  <c r="B119" i="33" s="1"/>
  <c r="B120" i="33" s="1"/>
  <c r="B121" i="33" s="1"/>
  <c r="B122" i="33" s="1"/>
  <c r="B123" i="33" s="1"/>
  <c r="B124" i="33" s="1"/>
  <c r="B125" i="33" s="1"/>
  <c r="B126" i="33" s="1"/>
  <c r="B127" i="33" s="1"/>
  <c r="B128" i="33" s="1"/>
  <c r="B129" i="33" s="1"/>
  <c r="B130" i="33" s="1"/>
  <c r="B131" i="33" s="1"/>
  <c r="B132" i="33" s="1"/>
  <c r="B133" i="33" s="1"/>
  <c r="B134" i="33" s="1"/>
  <c r="B135" i="33" s="1"/>
  <c r="B136" i="33" s="1"/>
  <c r="B137" i="33" s="1"/>
  <c r="B138" i="33" s="1"/>
  <c r="B139" i="33" s="1"/>
  <c r="B140" i="33" s="1"/>
  <c r="B141" i="33" s="1"/>
  <c r="B142" i="33" s="1"/>
  <c r="B143" i="33" s="1"/>
  <c r="B144" i="33" s="1"/>
  <c r="B145" i="33" s="1"/>
  <c r="B146" i="33" s="1"/>
  <c r="B147" i="33" s="1"/>
  <c r="C71" i="34"/>
  <c r="C56" i="34"/>
  <c r="D104" i="33"/>
  <c r="D58" i="34"/>
  <c r="D114" i="33"/>
  <c r="D68" i="34"/>
  <c r="D105" i="33"/>
  <c r="D59" i="34"/>
  <c r="D113" i="33"/>
  <c r="D67" i="34"/>
  <c r="D108" i="33"/>
  <c r="D62" i="34"/>
  <c r="D111" i="33"/>
  <c r="D65" i="34"/>
  <c r="D100" i="33"/>
  <c r="D54" i="34"/>
  <c r="D112" i="33"/>
  <c r="D66" i="34"/>
  <c r="D107" i="33"/>
  <c r="D61" i="34"/>
  <c r="D103" i="33"/>
  <c r="D57" i="34"/>
  <c r="D109" i="33"/>
  <c r="D63" i="34"/>
  <c r="D101" i="33"/>
  <c r="D55" i="34"/>
  <c r="D115" i="33"/>
  <c r="D69" i="34"/>
  <c r="D110" i="33"/>
  <c r="D64" i="34"/>
  <c r="D106" i="33"/>
  <c r="D60" i="34"/>
  <c r="D102" i="33"/>
  <c r="D56" i="34"/>
  <c r="A49" i="45" l="1"/>
  <c r="A66" i="45" s="1"/>
  <c r="A53" i="45"/>
  <c r="A54" i="45" s="1"/>
  <c r="A52" i="45"/>
  <c r="A67" i="45" s="1"/>
  <c r="C57" i="34"/>
  <c r="C72" i="34"/>
  <c r="D118" i="33"/>
  <c r="D134" i="33" s="1"/>
  <c r="D72" i="34"/>
  <c r="D126" i="33"/>
  <c r="D142" i="33" s="1"/>
  <c r="D80" i="34"/>
  <c r="D117" i="33"/>
  <c r="D133" i="33" s="1"/>
  <c r="D71" i="34"/>
  <c r="D119" i="33"/>
  <c r="D135" i="33" s="1"/>
  <c r="D73" i="34"/>
  <c r="D128" i="33"/>
  <c r="D144" i="33" s="1"/>
  <c r="D82" i="34"/>
  <c r="D127" i="33"/>
  <c r="D143" i="33" s="1"/>
  <c r="D81" i="34"/>
  <c r="D129" i="33"/>
  <c r="D145" i="33" s="1"/>
  <c r="D83" i="34"/>
  <c r="D130" i="33"/>
  <c r="D146" i="33" s="1"/>
  <c r="D84" i="34"/>
  <c r="D122" i="33"/>
  <c r="D138" i="33" s="1"/>
  <c r="D76" i="34"/>
  <c r="D131" i="33"/>
  <c r="D147" i="33" s="1"/>
  <c r="D85" i="34"/>
  <c r="D125" i="33"/>
  <c r="D141" i="33" s="1"/>
  <c r="D79" i="34"/>
  <c r="D123" i="33"/>
  <c r="D139" i="33" s="1"/>
  <c r="D77" i="34"/>
  <c r="D116" i="33"/>
  <c r="AJ54" i="34" s="1"/>
  <c r="D70" i="34"/>
  <c r="D124" i="33"/>
  <c r="D140" i="33" s="1"/>
  <c r="D78" i="34"/>
  <c r="D121" i="33"/>
  <c r="D137" i="33" s="1"/>
  <c r="D75" i="34"/>
  <c r="D120" i="33"/>
  <c r="D136" i="33" s="1"/>
  <c r="D74" i="34"/>
  <c r="R61" i="34" l="1"/>
  <c r="H64" i="34"/>
  <c r="AD68" i="34"/>
  <c r="AH55" i="34"/>
  <c r="AG58" i="34"/>
  <c r="O62" i="34"/>
  <c r="S61" i="34"/>
  <c r="AH60" i="34"/>
  <c r="H67" i="34"/>
  <c r="M64" i="34"/>
  <c r="L69" i="34"/>
  <c r="J33" i="45" s="1"/>
  <c r="S68" i="34"/>
  <c r="V58" i="34"/>
  <c r="X54" i="34"/>
  <c r="Z63" i="34"/>
  <c r="K60" i="34"/>
  <c r="Q67" i="34"/>
  <c r="D132" i="33"/>
  <c r="O77" i="34" s="1"/>
  <c r="AC64" i="34"/>
  <c r="O57" i="34"/>
  <c r="AF57" i="34"/>
  <c r="AG67" i="34"/>
  <c r="O67" i="34"/>
  <c r="U60" i="34"/>
  <c r="W60" i="34"/>
  <c r="AB69" i="34"/>
  <c r="U63" i="34"/>
  <c r="AB63" i="34"/>
  <c r="AI61" i="34"/>
  <c r="Q61" i="34"/>
  <c r="O54" i="34"/>
  <c r="Q54" i="34"/>
  <c r="AE62" i="34"/>
  <c r="U59" i="34"/>
  <c r="K59" i="34"/>
  <c r="H58" i="34"/>
  <c r="X58" i="34"/>
  <c r="U55" i="34"/>
  <c r="I55" i="34"/>
  <c r="H66" i="34"/>
  <c r="AB66" i="34"/>
  <c r="U68" i="34"/>
  <c r="O68" i="34"/>
  <c r="P64" i="34"/>
  <c r="AI64" i="34"/>
  <c r="AE57" i="34"/>
  <c r="Q57" i="34"/>
  <c r="AF67" i="34"/>
  <c r="AE67" i="34"/>
  <c r="I60" i="34"/>
  <c r="S69" i="34"/>
  <c r="Q33" i="45" s="1"/>
  <c r="M69" i="34"/>
  <c r="K33" i="45" s="1"/>
  <c r="J63" i="34"/>
  <c r="W63" i="34"/>
  <c r="H61" i="34"/>
  <c r="AG61" i="34"/>
  <c r="AE54" i="34"/>
  <c r="V62" i="34"/>
  <c r="L62" i="34"/>
  <c r="J59" i="34"/>
  <c r="AA59" i="34"/>
  <c r="O58" i="34"/>
  <c r="Q58" i="34"/>
  <c r="J55" i="34"/>
  <c r="W55" i="34"/>
  <c r="O66" i="34"/>
  <c r="M31" i="45" s="1"/>
  <c r="Y66" i="34"/>
  <c r="W31" i="45" s="1"/>
  <c r="I68" i="34"/>
  <c r="AF64" i="34"/>
  <c r="Z64" i="34"/>
  <c r="Z57" i="34"/>
  <c r="AG57" i="34"/>
  <c r="V67" i="34"/>
  <c r="T60" i="34"/>
  <c r="R60" i="34"/>
  <c r="AI69" i="34"/>
  <c r="AC69" i="34"/>
  <c r="I63" i="34"/>
  <c r="T63" i="34"/>
  <c r="X61" i="34"/>
  <c r="V54" i="34"/>
  <c r="AG54" i="34"/>
  <c r="H62" i="34"/>
  <c r="AB62" i="34"/>
  <c r="R59" i="34"/>
  <c r="AB59" i="34"/>
  <c r="AE58" i="34"/>
  <c r="R55" i="34"/>
  <c r="L55" i="34"/>
  <c r="AE66" i="34"/>
  <c r="T68" i="34"/>
  <c r="N68" i="34"/>
  <c r="V66" i="34"/>
  <c r="T31" i="45" s="1"/>
  <c r="Y62" i="34"/>
  <c r="L66" i="34"/>
  <c r="AH59" i="34"/>
  <c r="H54" i="34"/>
  <c r="AH69" i="34"/>
  <c r="P57" i="34"/>
  <c r="K77" i="34"/>
  <c r="W77" i="34"/>
  <c r="AA77" i="34"/>
  <c r="AI77" i="34"/>
  <c r="V77" i="34"/>
  <c r="L77" i="34"/>
  <c r="P77" i="34"/>
  <c r="AB77" i="34"/>
  <c r="AF77" i="34"/>
  <c r="R77" i="34"/>
  <c r="M77" i="34"/>
  <c r="Q77" i="34"/>
  <c r="Y77" i="34"/>
  <c r="AG77" i="34"/>
  <c r="Z77" i="34"/>
  <c r="AD77" i="34"/>
  <c r="R84" i="34"/>
  <c r="V84" i="34"/>
  <c r="Z84" i="34"/>
  <c r="I84" i="34"/>
  <c r="U84" i="34"/>
  <c r="K84" i="34"/>
  <c r="S84" i="34"/>
  <c r="AA84" i="34"/>
  <c r="AE84" i="34"/>
  <c r="AG84" i="34"/>
  <c r="L84" i="34"/>
  <c r="P84" i="34"/>
  <c r="AB84" i="34"/>
  <c r="AF84" i="34"/>
  <c r="M84" i="34"/>
  <c r="J31" i="45"/>
  <c r="F31" i="45"/>
  <c r="AG65" i="34"/>
  <c r="AF65" i="34"/>
  <c r="J65" i="34"/>
  <c r="AI56" i="34"/>
  <c r="V56" i="34"/>
  <c r="Y56" i="34"/>
  <c r="X56" i="34"/>
  <c r="H68" i="34"/>
  <c r="Z68" i="34"/>
  <c r="AI68" i="34"/>
  <c r="AG68" i="34"/>
  <c r="Q68" i="34"/>
  <c r="AF68" i="34"/>
  <c r="P68" i="34"/>
  <c r="Q66" i="34"/>
  <c r="X66" i="34"/>
  <c r="AC66" i="34"/>
  <c r="AA66" i="34"/>
  <c r="K66" i="34"/>
  <c r="AH66" i="34"/>
  <c r="R66" i="34"/>
  <c r="AI55" i="34"/>
  <c r="S55" i="34"/>
  <c r="AF55" i="34"/>
  <c r="AD55" i="34"/>
  <c r="N55" i="34"/>
  <c r="AG55" i="34"/>
  <c r="Q55" i="34"/>
  <c r="J58" i="34"/>
  <c r="T58" i="34"/>
  <c r="U58" i="34"/>
  <c r="AA58" i="34"/>
  <c r="K58" i="34"/>
  <c r="AH58" i="34"/>
  <c r="R58" i="34"/>
  <c r="P59" i="34"/>
  <c r="W59" i="34"/>
  <c r="AF59" i="34"/>
  <c r="AD59" i="34"/>
  <c r="N59" i="34"/>
  <c r="AG59" i="34"/>
  <c r="Q59" i="34"/>
  <c r="M62" i="34"/>
  <c r="X62" i="34"/>
  <c r="U62" i="34"/>
  <c r="AA62" i="34"/>
  <c r="K62" i="34"/>
  <c r="AH62" i="34"/>
  <c r="R62" i="34"/>
  <c r="J54" i="34"/>
  <c r="T54" i="34"/>
  <c r="U54" i="34"/>
  <c r="AA54" i="34"/>
  <c r="K54" i="34"/>
  <c r="AH54" i="34"/>
  <c r="R54" i="34"/>
  <c r="AC61" i="34"/>
  <c r="M61" i="34"/>
  <c r="N61" i="34"/>
  <c r="T61" i="34"/>
  <c r="AH61" i="34"/>
  <c r="AE61" i="34"/>
  <c r="O61" i="34"/>
  <c r="AI63" i="34"/>
  <c r="S63" i="34"/>
  <c r="L63" i="34"/>
  <c r="V63" i="34"/>
  <c r="X63" i="34"/>
  <c r="AG63" i="34"/>
  <c r="Q63" i="34"/>
  <c r="AD69" i="34"/>
  <c r="Y69" i="34"/>
  <c r="H69" i="34"/>
  <c r="X69" i="34"/>
  <c r="Z69" i="34"/>
  <c r="AE69" i="34"/>
  <c r="O69" i="34"/>
  <c r="O60" i="34"/>
  <c r="AD60" i="34"/>
  <c r="N60" i="34"/>
  <c r="AG60" i="34"/>
  <c r="Q60" i="34"/>
  <c r="AF60" i="34"/>
  <c r="P60" i="34"/>
  <c r="AA67" i="34"/>
  <c r="K67" i="34"/>
  <c r="AH67" i="34"/>
  <c r="R67" i="34"/>
  <c r="X67" i="34"/>
  <c r="AC67" i="34"/>
  <c r="M67" i="34"/>
  <c r="AC57" i="34"/>
  <c r="M57" i="34"/>
  <c r="AB57" i="34"/>
  <c r="L57" i="34"/>
  <c r="N57" i="34"/>
  <c r="AA57" i="34"/>
  <c r="K57" i="34"/>
  <c r="J64" i="34"/>
  <c r="V64" i="34"/>
  <c r="O64" i="34"/>
  <c r="Y64" i="34"/>
  <c r="AE64" i="34"/>
  <c r="AB64" i="34"/>
  <c r="L64" i="34"/>
  <c r="I65" i="34"/>
  <c r="AC65" i="34"/>
  <c r="M65" i="34"/>
  <c r="AB65" i="34"/>
  <c r="L65" i="34"/>
  <c r="AI65" i="34"/>
  <c r="S65" i="34"/>
  <c r="W56" i="34"/>
  <c r="AH56" i="34"/>
  <c r="R56" i="34"/>
  <c r="I56" i="34"/>
  <c r="U56" i="34"/>
  <c r="O56" i="34"/>
  <c r="T56" i="34"/>
  <c r="L74" i="34"/>
  <c r="P74" i="34"/>
  <c r="T74" i="34"/>
  <c r="X74" i="34"/>
  <c r="AB74" i="34"/>
  <c r="AF74" i="34"/>
  <c r="H74" i="34"/>
  <c r="O74" i="34"/>
  <c r="AA74" i="34"/>
  <c r="I74" i="34"/>
  <c r="M74" i="34"/>
  <c r="Q74" i="34"/>
  <c r="U74" i="34"/>
  <c r="Y74" i="34"/>
  <c r="AC74" i="34"/>
  <c r="AG74" i="34"/>
  <c r="S74" i="34"/>
  <c r="AI74" i="34"/>
  <c r="J74" i="34"/>
  <c r="N74" i="34"/>
  <c r="R74" i="34"/>
  <c r="V74" i="34"/>
  <c r="Z74" i="34"/>
  <c r="AD74" i="34"/>
  <c r="AH74" i="34"/>
  <c r="K74" i="34"/>
  <c r="W74" i="34"/>
  <c r="AE74" i="34"/>
  <c r="K85" i="34"/>
  <c r="O85" i="34"/>
  <c r="S85" i="34"/>
  <c r="W85" i="34"/>
  <c r="AA85" i="34"/>
  <c r="AE85" i="34"/>
  <c r="AI85" i="34"/>
  <c r="N85" i="34"/>
  <c r="Z85" i="34"/>
  <c r="AH85" i="34"/>
  <c r="L85" i="34"/>
  <c r="P85" i="34"/>
  <c r="T85" i="34"/>
  <c r="X85" i="34"/>
  <c r="AB85" i="34"/>
  <c r="AF85" i="34"/>
  <c r="R85" i="34"/>
  <c r="AD85" i="34"/>
  <c r="H85" i="34"/>
  <c r="I85" i="34"/>
  <c r="M85" i="34"/>
  <c r="Q85" i="34"/>
  <c r="U85" i="34"/>
  <c r="Y85" i="34"/>
  <c r="AC85" i="34"/>
  <c r="AG85" i="34"/>
  <c r="J85" i="34"/>
  <c r="V85" i="34"/>
  <c r="K73" i="34"/>
  <c r="O73" i="34"/>
  <c r="S73" i="34"/>
  <c r="W73" i="34"/>
  <c r="AA73" i="34"/>
  <c r="AE73" i="34"/>
  <c r="AI73" i="34"/>
  <c r="J73" i="34"/>
  <c r="V73" i="34"/>
  <c r="AD73" i="34"/>
  <c r="L73" i="34"/>
  <c r="P73" i="34"/>
  <c r="T73" i="34"/>
  <c r="X73" i="34"/>
  <c r="AB73" i="34"/>
  <c r="AF73" i="34"/>
  <c r="R73" i="34"/>
  <c r="AH73" i="34"/>
  <c r="I73" i="34"/>
  <c r="M73" i="34"/>
  <c r="Q73" i="34"/>
  <c r="U73" i="34"/>
  <c r="Y73" i="34"/>
  <c r="AC73" i="34"/>
  <c r="AG73" i="34"/>
  <c r="N73" i="34"/>
  <c r="Z73" i="34"/>
  <c r="H73" i="34"/>
  <c r="H65" i="34"/>
  <c r="Q65" i="34"/>
  <c r="P65" i="34"/>
  <c r="W65" i="34"/>
  <c r="J56" i="34"/>
  <c r="S56" i="34"/>
  <c r="AA56" i="34"/>
  <c r="I75" i="34"/>
  <c r="M75" i="34"/>
  <c r="Q75" i="34"/>
  <c r="U75" i="34"/>
  <c r="Y75" i="34"/>
  <c r="AC75" i="34"/>
  <c r="AG75" i="34"/>
  <c r="L75" i="34"/>
  <c r="X75" i="34"/>
  <c r="J75" i="34"/>
  <c r="N75" i="34"/>
  <c r="R75" i="34"/>
  <c r="V75" i="34"/>
  <c r="Z75" i="34"/>
  <c r="AD75" i="34"/>
  <c r="AH75" i="34"/>
  <c r="H75" i="34"/>
  <c r="T75" i="34"/>
  <c r="AF75" i="34"/>
  <c r="K75" i="34"/>
  <c r="O75" i="34"/>
  <c r="S75" i="34"/>
  <c r="W75" i="34"/>
  <c r="AA75" i="34"/>
  <c r="AE75" i="34"/>
  <c r="AI75" i="34"/>
  <c r="P75" i="34"/>
  <c r="AB75" i="34"/>
  <c r="L70" i="34"/>
  <c r="P70" i="34"/>
  <c r="T70" i="34"/>
  <c r="X70" i="34"/>
  <c r="AB70" i="34"/>
  <c r="AF70" i="34"/>
  <c r="H70" i="34"/>
  <c r="K70" i="34"/>
  <c r="S70" i="34"/>
  <c r="AA70" i="34"/>
  <c r="AI70" i="34"/>
  <c r="I70" i="34"/>
  <c r="M70" i="34"/>
  <c r="Q70" i="34"/>
  <c r="U70" i="34"/>
  <c r="Y70" i="34"/>
  <c r="AC70" i="34"/>
  <c r="AG70" i="34"/>
  <c r="J70" i="34"/>
  <c r="N70" i="34"/>
  <c r="R70" i="34"/>
  <c r="V70" i="34"/>
  <c r="Z70" i="34"/>
  <c r="AD70" i="34"/>
  <c r="AH70" i="34"/>
  <c r="O70" i="34"/>
  <c r="W70" i="34"/>
  <c r="AE70" i="34"/>
  <c r="I79" i="34"/>
  <c r="M79" i="34"/>
  <c r="Q79" i="34"/>
  <c r="U79" i="34"/>
  <c r="Y79" i="34"/>
  <c r="AC79" i="34"/>
  <c r="AG79" i="34"/>
  <c r="T79" i="34"/>
  <c r="AF79" i="34"/>
  <c r="J79" i="34"/>
  <c r="N79" i="34"/>
  <c r="R79" i="34"/>
  <c r="V79" i="34"/>
  <c r="Z79" i="34"/>
  <c r="AD79" i="34"/>
  <c r="AH79" i="34"/>
  <c r="H79" i="34"/>
  <c r="P79" i="34"/>
  <c r="AB79" i="34"/>
  <c r="K79" i="34"/>
  <c r="O79" i="34"/>
  <c r="S79" i="34"/>
  <c r="W79" i="34"/>
  <c r="AA79" i="34"/>
  <c r="AE79" i="34"/>
  <c r="AI79" i="34"/>
  <c r="L79" i="34"/>
  <c r="X79" i="34"/>
  <c r="J76" i="34"/>
  <c r="N76" i="34"/>
  <c r="R76" i="34"/>
  <c r="V76" i="34"/>
  <c r="Z76" i="34"/>
  <c r="AD76" i="34"/>
  <c r="AH76" i="34"/>
  <c r="M76" i="34"/>
  <c r="Y76" i="34"/>
  <c r="K76" i="34"/>
  <c r="O76" i="34"/>
  <c r="S76" i="34"/>
  <c r="W76" i="34"/>
  <c r="AA76" i="34"/>
  <c r="AE76" i="34"/>
  <c r="AI76" i="34"/>
  <c r="Q76" i="34"/>
  <c r="AG76" i="34"/>
  <c r="L76" i="34"/>
  <c r="P76" i="34"/>
  <c r="T76" i="34"/>
  <c r="X76" i="34"/>
  <c r="AB76" i="34"/>
  <c r="AF76" i="34"/>
  <c r="H76" i="34"/>
  <c r="I76" i="34"/>
  <c r="U76" i="34"/>
  <c r="AC76" i="34"/>
  <c r="I83" i="34"/>
  <c r="M83" i="34"/>
  <c r="Q83" i="34"/>
  <c r="U83" i="34"/>
  <c r="Y83" i="34"/>
  <c r="AC83" i="34"/>
  <c r="AG83" i="34"/>
  <c r="P83" i="34"/>
  <c r="AB83" i="34"/>
  <c r="J83" i="34"/>
  <c r="N83" i="34"/>
  <c r="R83" i="34"/>
  <c r="V83" i="34"/>
  <c r="Z83" i="34"/>
  <c r="AD83" i="34"/>
  <c r="AH83" i="34"/>
  <c r="H83" i="34"/>
  <c r="T83" i="34"/>
  <c r="AF83" i="34"/>
  <c r="K83" i="34"/>
  <c r="O83" i="34"/>
  <c r="S83" i="34"/>
  <c r="W83" i="34"/>
  <c r="AA83" i="34"/>
  <c r="AE83" i="34"/>
  <c r="AI83" i="34"/>
  <c r="L83" i="34"/>
  <c r="X83" i="34"/>
  <c r="L82" i="34"/>
  <c r="P82" i="34"/>
  <c r="T82" i="34"/>
  <c r="X82" i="34"/>
  <c r="AB82" i="34"/>
  <c r="AF82" i="34"/>
  <c r="H82" i="34"/>
  <c r="S82" i="34"/>
  <c r="AE82" i="34"/>
  <c r="I82" i="34"/>
  <c r="M82" i="34"/>
  <c r="Q82" i="34"/>
  <c r="U82" i="34"/>
  <c r="Y82" i="34"/>
  <c r="AC82" i="34"/>
  <c r="AG82" i="34"/>
  <c r="K82" i="34"/>
  <c r="W82" i="34"/>
  <c r="AI82" i="34"/>
  <c r="J82" i="34"/>
  <c r="N82" i="34"/>
  <c r="R82" i="34"/>
  <c r="V82" i="34"/>
  <c r="Z82" i="34"/>
  <c r="AD82" i="34"/>
  <c r="AH82" i="34"/>
  <c r="O82" i="34"/>
  <c r="AA82" i="34"/>
  <c r="I71" i="34"/>
  <c r="M71" i="34"/>
  <c r="Q71" i="34"/>
  <c r="U71" i="34"/>
  <c r="Y71" i="34"/>
  <c r="AC71" i="34"/>
  <c r="AG71" i="34"/>
  <c r="P71" i="34"/>
  <c r="X71" i="34"/>
  <c r="AF71" i="34"/>
  <c r="J71" i="34"/>
  <c r="N71" i="34"/>
  <c r="R71" i="34"/>
  <c r="V71" i="34"/>
  <c r="Z71" i="34"/>
  <c r="AD71" i="34"/>
  <c r="AH71" i="34"/>
  <c r="H71" i="34"/>
  <c r="K71" i="34"/>
  <c r="O71" i="34"/>
  <c r="S71" i="34"/>
  <c r="W71" i="34"/>
  <c r="AA71" i="34"/>
  <c r="AE71" i="34"/>
  <c r="AI71" i="34"/>
  <c r="L71" i="34"/>
  <c r="T71" i="34"/>
  <c r="AB71" i="34"/>
  <c r="J72" i="34"/>
  <c r="N72" i="34"/>
  <c r="R72" i="34"/>
  <c r="V72" i="34"/>
  <c r="Z72" i="34"/>
  <c r="AD72" i="34"/>
  <c r="AH72" i="34"/>
  <c r="Q72" i="34"/>
  <c r="Y72" i="34"/>
  <c r="K72" i="34"/>
  <c r="O72" i="34"/>
  <c r="S72" i="34"/>
  <c r="W72" i="34"/>
  <c r="AA72" i="34"/>
  <c r="AE72" i="34"/>
  <c r="AI72" i="34"/>
  <c r="I72" i="34"/>
  <c r="AG72" i="34"/>
  <c r="L72" i="34"/>
  <c r="P72" i="34"/>
  <c r="T72" i="34"/>
  <c r="X72" i="34"/>
  <c r="AB72" i="34"/>
  <c r="AF72" i="34"/>
  <c r="H72" i="34"/>
  <c r="M72" i="34"/>
  <c r="U72" i="34"/>
  <c r="AC72" i="34"/>
  <c r="J68" i="34"/>
  <c r="V68" i="34"/>
  <c r="W68" i="34"/>
  <c r="AC68" i="34"/>
  <c r="M68" i="34"/>
  <c r="AB68" i="34"/>
  <c r="L68" i="34"/>
  <c r="J66" i="34"/>
  <c r="T66" i="34"/>
  <c r="I66" i="34"/>
  <c r="W66" i="34"/>
  <c r="U66" i="34"/>
  <c r="AD66" i="34"/>
  <c r="N66" i="34"/>
  <c r="AE55" i="34"/>
  <c r="O55" i="34"/>
  <c r="T55" i="34"/>
  <c r="Z55" i="34"/>
  <c r="AB55" i="34"/>
  <c r="AC55" i="34"/>
  <c r="M55" i="34"/>
  <c r="AF58" i="34"/>
  <c r="P58" i="34"/>
  <c r="I58" i="34"/>
  <c r="W58" i="34"/>
  <c r="Y58" i="34"/>
  <c r="AD58" i="34"/>
  <c r="N58" i="34"/>
  <c r="AI59" i="34"/>
  <c r="S59" i="34"/>
  <c r="T59" i="34"/>
  <c r="Z59" i="34"/>
  <c r="X59" i="34"/>
  <c r="AC59" i="34"/>
  <c r="M59" i="34"/>
  <c r="J62" i="34"/>
  <c r="T62" i="34"/>
  <c r="I62" i="34"/>
  <c r="W62" i="34"/>
  <c r="AC62" i="34"/>
  <c r="AD62" i="34"/>
  <c r="N62" i="34"/>
  <c r="AF54" i="34"/>
  <c r="P54" i="34"/>
  <c r="I54" i="34"/>
  <c r="W54" i="34"/>
  <c r="AC54" i="34"/>
  <c r="AD54" i="34"/>
  <c r="N54" i="34"/>
  <c r="Y61" i="34"/>
  <c r="I61" i="34"/>
  <c r="AF61" i="34"/>
  <c r="P61" i="34"/>
  <c r="V61" i="34"/>
  <c r="AA61" i="34"/>
  <c r="K61" i="34"/>
  <c r="AE63" i="34"/>
  <c r="O63" i="34"/>
  <c r="AH63" i="34"/>
  <c r="R63" i="34"/>
  <c r="P63" i="34"/>
  <c r="AC63" i="34"/>
  <c r="M63" i="34"/>
  <c r="R69" i="34"/>
  <c r="U69" i="34"/>
  <c r="V69" i="34"/>
  <c r="T69" i="34"/>
  <c r="N69" i="34"/>
  <c r="AA69" i="34"/>
  <c r="K69" i="34"/>
  <c r="H60" i="34"/>
  <c r="Z60" i="34"/>
  <c r="AE60" i="34"/>
  <c r="AC60" i="34"/>
  <c r="M60" i="34"/>
  <c r="AB60" i="34"/>
  <c r="L60" i="34"/>
  <c r="T67" i="34"/>
  <c r="W67" i="34"/>
  <c r="AB67" i="34"/>
  <c r="AD67" i="34"/>
  <c r="N67" i="34"/>
  <c r="L67" i="34"/>
  <c r="Y67" i="34"/>
  <c r="AH57" i="34"/>
  <c r="Y57" i="34"/>
  <c r="H57" i="34"/>
  <c r="X57" i="34"/>
  <c r="I57" i="34"/>
  <c r="J57" i="34"/>
  <c r="W57" i="34"/>
  <c r="AA64" i="34"/>
  <c r="AH64" i="34"/>
  <c r="R64" i="34"/>
  <c r="I64" i="34"/>
  <c r="U64" i="34"/>
  <c r="W64" i="34"/>
  <c r="X64" i="34"/>
  <c r="AD65" i="34"/>
  <c r="Y65" i="34"/>
  <c r="AH65" i="34"/>
  <c r="X65" i="34"/>
  <c r="Z65" i="34"/>
  <c r="AE65" i="34"/>
  <c r="O65" i="34"/>
  <c r="K56" i="34"/>
  <c r="AD56" i="34"/>
  <c r="N56" i="34"/>
  <c r="AG56" i="34"/>
  <c r="Q56" i="34"/>
  <c r="AF56" i="34"/>
  <c r="P56" i="34"/>
  <c r="L78" i="34"/>
  <c r="P78" i="34"/>
  <c r="T78" i="34"/>
  <c r="X78" i="34"/>
  <c r="AB78" i="34"/>
  <c r="AF78" i="34"/>
  <c r="H78" i="34"/>
  <c r="K78" i="34"/>
  <c r="W78" i="34"/>
  <c r="AI78" i="34"/>
  <c r="I78" i="34"/>
  <c r="M78" i="34"/>
  <c r="Q78" i="34"/>
  <c r="U78" i="34"/>
  <c r="Y78" i="34"/>
  <c r="AC78" i="34"/>
  <c r="AG78" i="34"/>
  <c r="S78" i="34"/>
  <c r="AE78" i="34"/>
  <c r="J78" i="34"/>
  <c r="N78" i="34"/>
  <c r="R78" i="34"/>
  <c r="V78" i="34"/>
  <c r="Z78" i="34"/>
  <c r="AD78" i="34"/>
  <c r="AH78" i="34"/>
  <c r="O78" i="34"/>
  <c r="AA78" i="34"/>
  <c r="K81" i="34"/>
  <c r="O81" i="34"/>
  <c r="S81" i="34"/>
  <c r="W81" i="34"/>
  <c r="AA81" i="34"/>
  <c r="AE81" i="34"/>
  <c r="AI81" i="34"/>
  <c r="N81" i="34"/>
  <c r="Z81" i="34"/>
  <c r="AH81" i="34"/>
  <c r="L81" i="34"/>
  <c r="P81" i="34"/>
  <c r="T81" i="34"/>
  <c r="X81" i="34"/>
  <c r="AB81" i="34"/>
  <c r="AF81" i="34"/>
  <c r="J81" i="34"/>
  <c r="V81" i="34"/>
  <c r="I81" i="34"/>
  <c r="M81" i="34"/>
  <c r="Q81" i="34"/>
  <c r="U81" i="34"/>
  <c r="Y81" i="34"/>
  <c r="AC81" i="34"/>
  <c r="AG81" i="34"/>
  <c r="R81" i="34"/>
  <c r="AD81" i="34"/>
  <c r="H81" i="34"/>
  <c r="J80" i="34"/>
  <c r="N80" i="34"/>
  <c r="R80" i="34"/>
  <c r="V80" i="34"/>
  <c r="Z80" i="34"/>
  <c r="AD80" i="34"/>
  <c r="AH80" i="34"/>
  <c r="Q80" i="34"/>
  <c r="AC80" i="34"/>
  <c r="K80" i="34"/>
  <c r="O80" i="34"/>
  <c r="S80" i="34"/>
  <c r="W80" i="34"/>
  <c r="AA80" i="34"/>
  <c r="AE80" i="34"/>
  <c r="AI80" i="34"/>
  <c r="M80" i="34"/>
  <c r="Y80" i="34"/>
  <c r="L80" i="34"/>
  <c r="P80" i="34"/>
  <c r="T80" i="34"/>
  <c r="X80" i="34"/>
  <c r="AB80" i="34"/>
  <c r="AF80" i="34"/>
  <c r="H80" i="34"/>
  <c r="I80" i="34"/>
  <c r="U80" i="34"/>
  <c r="AG80" i="34"/>
  <c r="AA68" i="34"/>
  <c r="AH68" i="34"/>
  <c r="R68" i="34"/>
  <c r="K68" i="34"/>
  <c r="Y68" i="34"/>
  <c r="AE68" i="34"/>
  <c r="X68" i="34"/>
  <c r="AG66" i="34"/>
  <c r="AF66" i="34"/>
  <c r="P66" i="34"/>
  <c r="AI66" i="34"/>
  <c r="S66" i="34"/>
  <c r="M66" i="34"/>
  <c r="Z66" i="34"/>
  <c r="X55" i="34"/>
  <c r="AA55" i="34"/>
  <c r="K55" i="34"/>
  <c r="H55" i="34"/>
  <c r="V55" i="34"/>
  <c r="P55" i="34"/>
  <c r="Y55" i="34"/>
  <c r="AC58" i="34"/>
  <c r="AB58" i="34"/>
  <c r="L58" i="34"/>
  <c r="AI58" i="34"/>
  <c r="S58" i="34"/>
  <c r="M58" i="34"/>
  <c r="Z58" i="34"/>
  <c r="I59" i="34"/>
  <c r="AE59" i="34"/>
  <c r="O59" i="34"/>
  <c r="H59" i="34"/>
  <c r="V59" i="34"/>
  <c r="L59" i="34"/>
  <c r="Y59" i="34"/>
  <c r="AG62" i="34"/>
  <c r="AF62" i="34"/>
  <c r="P62" i="34"/>
  <c r="AI62" i="34"/>
  <c r="S62" i="34"/>
  <c r="Q62" i="34"/>
  <c r="Z62" i="34"/>
  <c r="Y54" i="34"/>
  <c r="AB54" i="34"/>
  <c r="L54" i="34"/>
  <c r="AI54" i="34"/>
  <c r="S54" i="34"/>
  <c r="M54" i="34"/>
  <c r="Z54" i="34"/>
  <c r="Z61" i="34"/>
  <c r="U61" i="34"/>
  <c r="AD61" i="34"/>
  <c r="AB61" i="34"/>
  <c r="L61" i="34"/>
  <c r="J61" i="34"/>
  <c r="W61" i="34"/>
  <c r="AF63" i="34"/>
  <c r="AA63" i="34"/>
  <c r="K63" i="34"/>
  <c r="AD63" i="34"/>
  <c r="N63" i="34"/>
  <c r="H63" i="34"/>
  <c r="Y63" i="34"/>
  <c r="I69" i="34"/>
  <c r="AG69" i="34"/>
  <c r="Q69" i="34"/>
  <c r="AF69" i="34"/>
  <c r="P69" i="34"/>
  <c r="J69" i="34"/>
  <c r="W69" i="34"/>
  <c r="AI60" i="34"/>
  <c r="J60" i="34"/>
  <c r="V60" i="34"/>
  <c r="S60" i="34"/>
  <c r="Y60" i="34"/>
  <c r="AA60" i="34"/>
  <c r="X60" i="34"/>
  <c r="AI67" i="34"/>
  <c r="S67" i="34"/>
  <c r="P67" i="34"/>
  <c r="Z67" i="34"/>
  <c r="I67" i="34"/>
  <c r="J67" i="34"/>
  <c r="U67" i="34"/>
  <c r="V57" i="34"/>
  <c r="U57" i="34"/>
  <c r="R57" i="34"/>
  <c r="T57" i="34"/>
  <c r="AD57" i="34"/>
  <c r="AI57" i="34"/>
  <c r="S57" i="34"/>
  <c r="S64" i="34"/>
  <c r="AD64" i="34"/>
  <c r="N64" i="34"/>
  <c r="AG64" i="34"/>
  <c r="Q64" i="34"/>
  <c r="K64" i="34"/>
  <c r="T64" i="34"/>
  <c r="N65" i="34"/>
  <c r="U65" i="34"/>
  <c r="V65" i="34"/>
  <c r="T65" i="34"/>
  <c r="R65" i="34"/>
  <c r="AA65" i="34"/>
  <c r="K65" i="34"/>
  <c r="H56" i="34"/>
  <c r="Z56" i="34"/>
  <c r="AE56" i="34"/>
  <c r="AC56" i="34"/>
  <c r="M56" i="34"/>
  <c r="AB56" i="34"/>
  <c r="L56" i="34"/>
  <c r="C73" i="34"/>
  <c r="O32" i="45" l="1"/>
  <c r="Y84" i="34"/>
  <c r="X84" i="34"/>
  <c r="V39" i="45" s="1"/>
  <c r="AI84" i="34"/>
  <c r="O84" i="34"/>
  <c r="M39" i="45" s="1"/>
  <c r="AH84" i="34"/>
  <c r="J84" i="34"/>
  <c r="H39" i="45" s="1"/>
  <c r="AC77" i="34"/>
  <c r="I77" i="34"/>
  <c r="G36" i="45" s="1"/>
  <c r="T77" i="34"/>
  <c r="J77" i="34"/>
  <c r="H36" i="45" s="1"/>
  <c r="S77" i="34"/>
  <c r="Q36" i="45" s="1"/>
  <c r="H84" i="34"/>
  <c r="F39" i="45" s="1"/>
  <c r="T84" i="34"/>
  <c r="Q84" i="34"/>
  <c r="O39" i="45" s="1"/>
  <c r="W84" i="34"/>
  <c r="AC84" i="34"/>
  <c r="AD84" i="34"/>
  <c r="N84" i="34"/>
  <c r="L39" i="45" s="1"/>
  <c r="N77" i="34"/>
  <c r="L36" i="45" s="1"/>
  <c r="U77" i="34"/>
  <c r="S36" i="45" s="1"/>
  <c r="AH77" i="34"/>
  <c r="X77" i="34"/>
  <c r="V36" i="45" s="1"/>
  <c r="H77" i="34"/>
  <c r="AE77" i="34"/>
  <c r="M32" i="45"/>
  <c r="T29" i="45"/>
  <c r="F28" i="45"/>
  <c r="U30" i="45"/>
  <c r="O29" i="45"/>
  <c r="U33" i="45"/>
  <c r="Y30" i="45"/>
  <c r="Q29" i="45"/>
  <c r="N30" i="45"/>
  <c r="L28" i="45"/>
  <c r="U29" i="45"/>
  <c r="M38" i="45"/>
  <c r="R38" i="45"/>
  <c r="X35" i="45"/>
  <c r="H40" i="45"/>
  <c r="Q40" i="45"/>
  <c r="V30" i="45"/>
  <c r="P28" i="45"/>
  <c r="Y29" i="45"/>
  <c r="S32" i="45"/>
  <c r="N32" i="45"/>
  <c r="H33" i="45"/>
  <c r="L30" i="45"/>
  <c r="X28" i="45"/>
  <c r="J28" i="45"/>
  <c r="X30" i="45"/>
  <c r="J32" i="45"/>
  <c r="U32" i="45"/>
  <c r="L33" i="45"/>
  <c r="P33" i="45"/>
  <c r="P30" i="45"/>
  <c r="N28" i="45"/>
  <c r="L29" i="45"/>
  <c r="G29" i="45"/>
  <c r="L31" i="45"/>
  <c r="G31" i="45"/>
  <c r="P38" i="45"/>
  <c r="U38" i="45"/>
  <c r="W38" i="45"/>
  <c r="G38" i="45"/>
  <c r="N38" i="45"/>
  <c r="Q39" i="45"/>
  <c r="X39" i="45"/>
  <c r="K39" i="45"/>
  <c r="Q37" i="45"/>
  <c r="N37" i="45"/>
  <c r="X37" i="45"/>
  <c r="H37" i="45"/>
  <c r="K37" i="45"/>
  <c r="M35" i="45"/>
  <c r="T35" i="45"/>
  <c r="O35" i="45"/>
  <c r="Y35" i="45"/>
  <c r="N35" i="45"/>
  <c r="O40" i="45"/>
  <c r="V40" i="45"/>
  <c r="M40" i="45"/>
  <c r="I36" i="45"/>
  <c r="T36" i="45"/>
  <c r="W36" i="45"/>
  <c r="N36" i="45"/>
  <c r="V32" i="45"/>
  <c r="Y32" i="45"/>
  <c r="X33" i="45"/>
  <c r="T30" i="45"/>
  <c r="R28" i="45"/>
  <c r="P29" i="45"/>
  <c r="S29" i="45"/>
  <c r="P31" i="45"/>
  <c r="M28" i="45"/>
  <c r="F29" i="45"/>
  <c r="X32" i="45"/>
  <c r="F30" i="45"/>
  <c r="Q31" i="45"/>
  <c r="S33" i="45"/>
  <c r="F38" i="45"/>
  <c r="J39" i="45"/>
  <c r="U37" i="45"/>
  <c r="L37" i="45"/>
  <c r="U35" i="45"/>
  <c r="S35" i="45"/>
  <c r="R35" i="45"/>
  <c r="F40" i="45"/>
  <c r="X36" i="45"/>
  <c r="K36" i="45"/>
  <c r="H32" i="45"/>
  <c r="Q32" i="45"/>
  <c r="N33" i="45"/>
  <c r="G33" i="45"/>
  <c r="K28" i="45"/>
  <c r="X29" i="45"/>
  <c r="J29" i="45"/>
  <c r="X31" i="45"/>
  <c r="N31" i="45"/>
  <c r="L32" i="45"/>
  <c r="R32" i="45"/>
  <c r="R33" i="45"/>
  <c r="K30" i="45"/>
  <c r="N29" i="45"/>
  <c r="R31" i="45"/>
  <c r="L38" i="45"/>
  <c r="I38" i="45"/>
  <c r="S38" i="45"/>
  <c r="J38" i="45"/>
  <c r="T39" i="45"/>
  <c r="G39" i="45"/>
  <c r="M37" i="45"/>
  <c r="F37" i="45"/>
  <c r="T37" i="45"/>
  <c r="W37" i="45"/>
  <c r="G37" i="45"/>
  <c r="P35" i="45"/>
  <c r="K35" i="45"/>
  <c r="Q35" i="45"/>
  <c r="J35" i="45"/>
  <c r="T32" i="45"/>
  <c r="G30" i="45"/>
  <c r="T28" i="45"/>
  <c r="V28" i="45"/>
  <c r="M29" i="45"/>
  <c r="K40" i="45"/>
  <c r="P40" i="45"/>
  <c r="R40" i="45"/>
  <c r="X40" i="45"/>
  <c r="Y40" i="45"/>
  <c r="I40" i="45"/>
  <c r="P36" i="45"/>
  <c r="Y36" i="45"/>
  <c r="J36" i="45"/>
  <c r="P32" i="45"/>
  <c r="V33" i="45"/>
  <c r="O30" i="45"/>
  <c r="J30" i="45"/>
  <c r="I28" i="45"/>
  <c r="H28" i="45"/>
  <c r="R29" i="45"/>
  <c r="V31" i="45"/>
  <c r="F32" i="45"/>
  <c r="O33" i="45"/>
  <c r="W32" i="45"/>
  <c r="Y33" i="45"/>
  <c r="G28" i="45"/>
  <c r="U31" i="45"/>
  <c r="T38" i="45"/>
  <c r="K38" i="45"/>
  <c r="J37" i="45"/>
  <c r="O37" i="45"/>
  <c r="H35" i="45"/>
  <c r="F35" i="45"/>
  <c r="S40" i="45"/>
  <c r="J40" i="45"/>
  <c r="U36" i="45"/>
  <c r="I32" i="45"/>
  <c r="W33" i="45"/>
  <c r="S28" i="45"/>
  <c r="Y31" i="45"/>
  <c r="G32" i="45"/>
  <c r="W30" i="45"/>
  <c r="I30" i="45"/>
  <c r="Q28" i="45"/>
  <c r="W28" i="45"/>
  <c r="K29" i="45"/>
  <c r="K31" i="45"/>
  <c r="S30" i="45"/>
  <c r="R30" i="45"/>
  <c r="I33" i="45"/>
  <c r="T33" i="45"/>
  <c r="M30" i="45"/>
  <c r="U28" i="45"/>
  <c r="W29" i="45"/>
  <c r="S31" i="45"/>
  <c r="H31" i="45"/>
  <c r="Y38" i="45"/>
  <c r="X38" i="45"/>
  <c r="H38" i="45"/>
  <c r="O38" i="45"/>
  <c r="Q38" i="45"/>
  <c r="V38" i="45"/>
  <c r="Y39" i="45"/>
  <c r="I39" i="45"/>
  <c r="P39" i="45"/>
  <c r="N39" i="45"/>
  <c r="S39" i="45"/>
  <c r="V37" i="45"/>
  <c r="Y37" i="45"/>
  <c r="I37" i="45"/>
  <c r="P37" i="45"/>
  <c r="R37" i="45"/>
  <c r="S37" i="45"/>
  <c r="L35" i="45"/>
  <c r="W35" i="45"/>
  <c r="G35" i="45"/>
  <c r="I35" i="45"/>
  <c r="V35" i="45"/>
  <c r="T40" i="45"/>
  <c r="W40" i="45"/>
  <c r="G40" i="45"/>
  <c r="N40" i="45"/>
  <c r="L40" i="45"/>
  <c r="U40" i="45"/>
  <c r="O36" i="45"/>
  <c r="M36" i="45"/>
  <c r="K32" i="45"/>
  <c r="M33" i="45"/>
  <c r="F33" i="45"/>
  <c r="Q30" i="45"/>
  <c r="Y28" i="45"/>
  <c r="I29" i="45"/>
  <c r="H29" i="45"/>
  <c r="I31" i="45"/>
  <c r="O31" i="45"/>
  <c r="H30" i="45"/>
  <c r="O28" i="45"/>
  <c r="V29" i="45"/>
  <c r="E25" i="36"/>
  <c r="E26" i="36"/>
  <c r="E27" i="36"/>
  <c r="E28" i="36"/>
  <c r="E29" i="36"/>
  <c r="E30" i="36"/>
  <c r="E31" i="36"/>
  <c r="E32" i="36"/>
  <c r="E33" i="36"/>
  <c r="E34" i="36"/>
  <c r="E36" i="36"/>
  <c r="E37" i="36"/>
  <c r="E38" i="36"/>
  <c r="E39" i="36"/>
  <c r="E35" i="36"/>
  <c r="E24" i="36"/>
  <c r="C39" i="36"/>
  <c r="C99" i="33" s="1"/>
  <c r="C115" i="33" s="1"/>
  <c r="C131" i="33" s="1"/>
  <c r="C147" i="33" s="1"/>
  <c r="C37" i="36"/>
  <c r="C97" i="33" s="1"/>
  <c r="C113" i="33" s="1"/>
  <c r="C129" i="33" s="1"/>
  <c r="C145" i="33" s="1"/>
  <c r="C36" i="36"/>
  <c r="C96" i="33" s="1"/>
  <c r="C112" i="33" s="1"/>
  <c r="C128" i="33" s="1"/>
  <c r="C144" i="33" s="1"/>
  <c r="C33" i="36"/>
  <c r="C93" i="33" s="1"/>
  <c r="C109" i="33" s="1"/>
  <c r="C125" i="33" s="1"/>
  <c r="C141" i="33" s="1"/>
  <c r="C28" i="36"/>
  <c r="C88" i="33" s="1"/>
  <c r="C104" i="33" s="1"/>
  <c r="C120" i="33" s="1"/>
  <c r="C136" i="33" s="1"/>
  <c r="C24" i="36"/>
  <c r="C84" i="33" s="1"/>
  <c r="C100" i="33" s="1"/>
  <c r="C116" i="33" s="1"/>
  <c r="C132" i="33" s="1"/>
  <c r="B24" i="36"/>
  <c r="B25" i="36" s="1"/>
  <c r="B26" i="36" s="1"/>
  <c r="B27" i="36" s="1"/>
  <c r="B28" i="36" s="1"/>
  <c r="B29" i="36" s="1"/>
  <c r="B30" i="36" s="1"/>
  <c r="B31" i="36" s="1"/>
  <c r="B32" i="36" s="1"/>
  <c r="B33" i="36" s="1"/>
  <c r="B34" i="36" s="1"/>
  <c r="B36" i="36" s="1"/>
  <c r="B37" i="36" s="1"/>
  <c r="B38" i="36" s="1"/>
  <c r="B39" i="36" s="1"/>
  <c r="B35" i="36" s="1"/>
  <c r="A24" i="36"/>
  <c r="A25" i="36" s="1"/>
  <c r="A26" i="36" s="1"/>
  <c r="A27" i="36" s="1"/>
  <c r="A28" i="36" s="1"/>
  <c r="A29" i="36" s="1"/>
  <c r="A30" i="36" s="1"/>
  <c r="A31" i="36" s="1"/>
  <c r="A32" i="36" s="1"/>
  <c r="A33" i="36" s="1"/>
  <c r="A34" i="36" s="1"/>
  <c r="A36" i="36" s="1"/>
  <c r="A37" i="36" s="1"/>
  <c r="A38" i="36" s="1"/>
  <c r="A39" i="36" s="1"/>
  <c r="A35" i="36" s="1"/>
  <c r="Y27" i="45" l="1"/>
  <c r="Y61" i="45" s="1"/>
  <c r="F36" i="45"/>
  <c r="F34" i="45" s="1"/>
  <c r="F62" i="45" s="1"/>
  <c r="U39" i="45"/>
  <c r="U34" i="45" s="1"/>
  <c r="U62" i="45" s="1"/>
  <c r="W39" i="45"/>
  <c r="W34" i="45" s="1"/>
  <c r="W62" i="45" s="1"/>
  <c r="R36" i="45"/>
  <c r="R39" i="45"/>
  <c r="I34" i="45"/>
  <c r="I62" i="45" s="1"/>
  <c r="S27" i="45"/>
  <c r="S61" i="45" s="1"/>
  <c r="Q34" i="45"/>
  <c r="Q62" i="45" s="1"/>
  <c r="V27" i="45"/>
  <c r="V61" i="45" s="1"/>
  <c r="F27" i="45"/>
  <c r="F61" i="45" s="1"/>
  <c r="P34" i="45"/>
  <c r="P62" i="45" s="1"/>
  <c r="S34" i="45"/>
  <c r="S62" i="45" s="1"/>
  <c r="N34" i="45"/>
  <c r="N62" i="45" s="1"/>
  <c r="O34" i="45"/>
  <c r="O62" i="45" s="1"/>
  <c r="M34" i="45"/>
  <c r="M62" i="45" s="1"/>
  <c r="N27" i="45"/>
  <c r="N61" i="45" s="1"/>
  <c r="I27" i="45"/>
  <c r="I61" i="45" s="1"/>
  <c r="J27" i="45"/>
  <c r="J61" i="45" s="1"/>
  <c r="G34" i="45"/>
  <c r="G62" i="45" s="1"/>
  <c r="U27" i="45"/>
  <c r="U61" i="45" s="1"/>
  <c r="H34" i="45"/>
  <c r="H62" i="45" s="1"/>
  <c r="G27" i="45"/>
  <c r="G61" i="45" s="1"/>
  <c r="K34" i="45"/>
  <c r="K62" i="45" s="1"/>
  <c r="K27" i="45"/>
  <c r="K61" i="45" s="1"/>
  <c r="R27" i="45"/>
  <c r="R61" i="45" s="1"/>
  <c r="Y34" i="45"/>
  <c r="Y62" i="45" s="1"/>
  <c r="T34" i="45"/>
  <c r="T62" i="45" s="1"/>
  <c r="X34" i="45"/>
  <c r="X62" i="45" s="1"/>
  <c r="L27" i="45"/>
  <c r="L61" i="45" s="1"/>
  <c r="W27" i="45"/>
  <c r="W61" i="45" s="1"/>
  <c r="O27" i="45"/>
  <c r="O61" i="45" s="1"/>
  <c r="V34" i="45"/>
  <c r="V62" i="45" s="1"/>
  <c r="L34" i="45"/>
  <c r="L62" i="45" s="1"/>
  <c r="Q27" i="45"/>
  <c r="Q61" i="45" s="1"/>
  <c r="J34" i="45"/>
  <c r="J62" i="45" s="1"/>
  <c r="H27" i="45"/>
  <c r="H61" i="45" s="1"/>
  <c r="T27" i="45"/>
  <c r="T61" i="45" s="1"/>
  <c r="M27" i="45"/>
  <c r="M61" i="45" s="1"/>
  <c r="X27" i="45"/>
  <c r="X61" i="45" s="1"/>
  <c r="P27" i="45"/>
  <c r="P61" i="45" s="1"/>
  <c r="BM75" i="36"/>
  <c r="BM59" i="36"/>
  <c r="BM166" i="34"/>
  <c r="BM182" i="34"/>
  <c r="BE59" i="36"/>
  <c r="BE75" i="36"/>
  <c r="BE166" i="34"/>
  <c r="BE182" i="34"/>
  <c r="AW59" i="36"/>
  <c r="AW75" i="36"/>
  <c r="AW166" i="34"/>
  <c r="AW182" i="34"/>
  <c r="AO59" i="36"/>
  <c r="AO75" i="36"/>
  <c r="AO182" i="34"/>
  <c r="AO166" i="34"/>
  <c r="BN74" i="36"/>
  <c r="BN58" i="36"/>
  <c r="BN165" i="34"/>
  <c r="BN181" i="34"/>
  <c r="BF74" i="36"/>
  <c r="BF58" i="36"/>
  <c r="BF165" i="34"/>
  <c r="BF181" i="34"/>
  <c r="AX74" i="36"/>
  <c r="AX58" i="36"/>
  <c r="AX165" i="34"/>
  <c r="AX181" i="34"/>
  <c r="AP74" i="36"/>
  <c r="AP58" i="36"/>
  <c r="AP165" i="34"/>
  <c r="AP181" i="34"/>
  <c r="BL75" i="36"/>
  <c r="BL59" i="36"/>
  <c r="BL166" i="34"/>
  <c r="BL182" i="34"/>
  <c r="BD75" i="36"/>
  <c r="BD59" i="36"/>
  <c r="BD182" i="34"/>
  <c r="BD166" i="34"/>
  <c r="AV75" i="36"/>
  <c r="AV59" i="36"/>
  <c r="AV166" i="34"/>
  <c r="AV182" i="34"/>
  <c r="AN75" i="36"/>
  <c r="AN59" i="36"/>
  <c r="AN166" i="34"/>
  <c r="AN182" i="34"/>
  <c r="BM74" i="36"/>
  <c r="BM58" i="36"/>
  <c r="BM165" i="34"/>
  <c r="BM181" i="34"/>
  <c r="BA74" i="36"/>
  <c r="BA58" i="36"/>
  <c r="BA165" i="34"/>
  <c r="BA181" i="34"/>
  <c r="AS74" i="36"/>
  <c r="AS58" i="36"/>
  <c r="AS181" i="34"/>
  <c r="AS165" i="34"/>
  <c r="BO75" i="36"/>
  <c r="BO59" i="36"/>
  <c r="BO166" i="34"/>
  <c r="BO182" i="34"/>
  <c r="BK75" i="36"/>
  <c r="BK59" i="36"/>
  <c r="BK182" i="34"/>
  <c r="BK166" i="34"/>
  <c r="BG75" i="36"/>
  <c r="BG59" i="36"/>
  <c r="BG166" i="34"/>
  <c r="BG182" i="34"/>
  <c r="BC75" i="36"/>
  <c r="BC59" i="36"/>
  <c r="BC166" i="34"/>
  <c r="BC182" i="34"/>
  <c r="AY59" i="36"/>
  <c r="AY75" i="36"/>
  <c r="AY182" i="34"/>
  <c r="AY166" i="34"/>
  <c r="AU75" i="36"/>
  <c r="AU59" i="36"/>
  <c r="AU166" i="34"/>
  <c r="AU182" i="34"/>
  <c r="AQ75" i="36"/>
  <c r="AQ59" i="36"/>
  <c r="AQ182" i="34"/>
  <c r="AQ166" i="34"/>
  <c r="AM75" i="36"/>
  <c r="AM59" i="36"/>
  <c r="AM166" i="34"/>
  <c r="AM182" i="34"/>
  <c r="BP58" i="36"/>
  <c r="BP74" i="36"/>
  <c r="BP181" i="34"/>
  <c r="BP165" i="34"/>
  <c r="BL74" i="36"/>
  <c r="BL58" i="36"/>
  <c r="BL165" i="34"/>
  <c r="BL181" i="34"/>
  <c r="BH74" i="36"/>
  <c r="BH58" i="36"/>
  <c r="BH181" i="34"/>
  <c r="BH165" i="34"/>
  <c r="BD74" i="36"/>
  <c r="BD58" i="36"/>
  <c r="BD165" i="34"/>
  <c r="BD181" i="34"/>
  <c r="AZ74" i="36"/>
  <c r="AZ58" i="36"/>
  <c r="AZ181" i="34"/>
  <c r="AZ165" i="34"/>
  <c r="AV74" i="36"/>
  <c r="AV58" i="36"/>
  <c r="AV165" i="34"/>
  <c r="AV181" i="34"/>
  <c r="AR74" i="36"/>
  <c r="AR58" i="36"/>
  <c r="AR165" i="34"/>
  <c r="AR181" i="34"/>
  <c r="AN74" i="36"/>
  <c r="AN58" i="36"/>
  <c r="AN165" i="34"/>
  <c r="AN181" i="34"/>
  <c r="AJ58" i="36"/>
  <c r="AJ74" i="36"/>
  <c r="AJ181" i="34"/>
  <c r="AJ165" i="34"/>
  <c r="BI75" i="36"/>
  <c r="BI59" i="36"/>
  <c r="BI166" i="34"/>
  <c r="BI182" i="34"/>
  <c r="BA75" i="36"/>
  <c r="BA59" i="36"/>
  <c r="BA166" i="34"/>
  <c r="BA182" i="34"/>
  <c r="AS75" i="36"/>
  <c r="AS59" i="36"/>
  <c r="AS182" i="34"/>
  <c r="AS166" i="34"/>
  <c r="AK75" i="36"/>
  <c r="AK59" i="36"/>
  <c r="AK182" i="34"/>
  <c r="AK166" i="34"/>
  <c r="BJ58" i="36"/>
  <c r="BJ74" i="36"/>
  <c r="BJ181" i="34"/>
  <c r="BJ165" i="34"/>
  <c r="BB58" i="36"/>
  <c r="BB74" i="36"/>
  <c r="BB165" i="34"/>
  <c r="BB181" i="34"/>
  <c r="AT58" i="36"/>
  <c r="AT74" i="36"/>
  <c r="AT165" i="34"/>
  <c r="AT181" i="34"/>
  <c r="AL74" i="36"/>
  <c r="AL58" i="36"/>
  <c r="AL165" i="34"/>
  <c r="AL181" i="34"/>
  <c r="BP75" i="36"/>
  <c r="BP59" i="36"/>
  <c r="BP166" i="34"/>
  <c r="BP182" i="34"/>
  <c r="BH75" i="36"/>
  <c r="BH59" i="36"/>
  <c r="BH166" i="34"/>
  <c r="BH182" i="34"/>
  <c r="AZ75" i="36"/>
  <c r="AZ59" i="36"/>
  <c r="AZ166" i="34"/>
  <c r="AZ182" i="34"/>
  <c r="AR75" i="36"/>
  <c r="AR59" i="36"/>
  <c r="AR182" i="34"/>
  <c r="AR166" i="34"/>
  <c r="AJ75" i="36"/>
  <c r="AJ59" i="36"/>
  <c r="AJ166" i="34"/>
  <c r="AJ182" i="34"/>
  <c r="BI74" i="36"/>
  <c r="BI58" i="36"/>
  <c r="BI181" i="34"/>
  <c r="BI165" i="34"/>
  <c r="BE74" i="36"/>
  <c r="BE58" i="36"/>
  <c r="BE165" i="34"/>
  <c r="BE181" i="34"/>
  <c r="AW74" i="36"/>
  <c r="AW58" i="36"/>
  <c r="AW165" i="34"/>
  <c r="AW181" i="34"/>
  <c r="AO74" i="36"/>
  <c r="AO58" i="36"/>
  <c r="AO181" i="34"/>
  <c r="AO165" i="34"/>
  <c r="AK74" i="36"/>
  <c r="AK58" i="36"/>
  <c r="AK165" i="34"/>
  <c r="AK181" i="34"/>
  <c r="BN75" i="36"/>
  <c r="BN59" i="36"/>
  <c r="BN182" i="34"/>
  <c r="BN166" i="34"/>
  <c r="BJ59" i="36"/>
  <c r="BJ75" i="36"/>
  <c r="BJ166" i="34"/>
  <c r="BJ182" i="34"/>
  <c r="BF75" i="36"/>
  <c r="BF59" i="36"/>
  <c r="BF182" i="34"/>
  <c r="BF166" i="34"/>
  <c r="BB75" i="36"/>
  <c r="BB59" i="36"/>
  <c r="BB182" i="34"/>
  <c r="BB166" i="34"/>
  <c r="AX75" i="36"/>
  <c r="AX59" i="36"/>
  <c r="AX166" i="34"/>
  <c r="AX182" i="34"/>
  <c r="AT75" i="36"/>
  <c r="AT59" i="36"/>
  <c r="AT182" i="34"/>
  <c r="AT166" i="34"/>
  <c r="AP75" i="36"/>
  <c r="AP59" i="36"/>
  <c r="AP182" i="34"/>
  <c r="AP166" i="34"/>
  <c r="AL59" i="36"/>
  <c r="AL75" i="36"/>
  <c r="AL182" i="34"/>
  <c r="AL166" i="34"/>
  <c r="BO74" i="36"/>
  <c r="BO58" i="36"/>
  <c r="BO181" i="34"/>
  <c r="BO165" i="34"/>
  <c r="BK74" i="36"/>
  <c r="BK58" i="36"/>
  <c r="BK181" i="34"/>
  <c r="BK165" i="34"/>
  <c r="BG74" i="36"/>
  <c r="BG58" i="36"/>
  <c r="BG181" i="34"/>
  <c r="BG165" i="34"/>
  <c r="BC74" i="36"/>
  <c r="BC58" i="36"/>
  <c r="BC165" i="34"/>
  <c r="BC181" i="34"/>
  <c r="AY74" i="36"/>
  <c r="AY58" i="36"/>
  <c r="AY181" i="34"/>
  <c r="AY165" i="34"/>
  <c r="AU74" i="36"/>
  <c r="AU58" i="36"/>
  <c r="AU181" i="34"/>
  <c r="AU165" i="34"/>
  <c r="AQ74" i="36"/>
  <c r="AQ58" i="36"/>
  <c r="AQ181" i="34"/>
  <c r="AQ165" i="34"/>
  <c r="AM74" i="36"/>
  <c r="AM58" i="36"/>
  <c r="AM165" i="34"/>
  <c r="AM181" i="34"/>
  <c r="C34" i="36"/>
  <c r="C94" i="33" s="1"/>
  <c r="C110" i="33" s="1"/>
  <c r="C126" i="33" s="1"/>
  <c r="C142" i="33" s="1"/>
  <c r="C25" i="36"/>
  <c r="C85" i="33" s="1"/>
  <c r="C101" i="33" s="1"/>
  <c r="C117" i="33" s="1"/>
  <c r="C133" i="33" s="1"/>
  <c r="C29" i="36"/>
  <c r="C38" i="36"/>
  <c r="C98" i="33" s="1"/>
  <c r="C114" i="33" s="1"/>
  <c r="C130" i="33" s="1"/>
  <c r="C146" i="33" s="1"/>
  <c r="C35" i="36"/>
  <c r="C95" i="33" s="1"/>
  <c r="C111" i="33" s="1"/>
  <c r="C127" i="33" s="1"/>
  <c r="C143" i="33" s="1"/>
  <c r="R34" i="45" l="1"/>
  <c r="R62" i="45" s="1"/>
  <c r="AM99" i="34"/>
  <c r="AQ99" i="34"/>
  <c r="AU99" i="34"/>
  <c r="AY99" i="34"/>
  <c r="BC99" i="34"/>
  <c r="BG99" i="34"/>
  <c r="BK99" i="34"/>
  <c r="BO99" i="34"/>
  <c r="AL116" i="34"/>
  <c r="AP100" i="34"/>
  <c r="AT100" i="34"/>
  <c r="AX100" i="34"/>
  <c r="BB100" i="34"/>
  <c r="BF100" i="34"/>
  <c r="BJ116" i="34"/>
  <c r="BN100" i="34"/>
  <c r="AK99" i="34"/>
  <c r="AO99" i="34"/>
  <c r="AW99" i="34"/>
  <c r="BE99" i="34"/>
  <c r="BI99" i="34"/>
  <c r="AJ100" i="34"/>
  <c r="AR100" i="34"/>
  <c r="AZ100" i="34"/>
  <c r="BH100" i="34"/>
  <c r="BP100" i="34"/>
  <c r="AL99" i="34"/>
  <c r="AT115" i="34"/>
  <c r="BB115" i="34"/>
  <c r="BJ115" i="34"/>
  <c r="AK100" i="34"/>
  <c r="AS100" i="34"/>
  <c r="BA100" i="34"/>
  <c r="BI100" i="34"/>
  <c r="AJ115" i="34"/>
  <c r="AN99" i="34"/>
  <c r="AR99" i="34"/>
  <c r="AV99" i="34"/>
  <c r="AZ99" i="34"/>
  <c r="BD99" i="34"/>
  <c r="BH99" i="34"/>
  <c r="BL99" i="34"/>
  <c r="BP115" i="34"/>
  <c r="AM100" i="34"/>
  <c r="AQ100" i="34"/>
  <c r="AU100" i="34"/>
  <c r="AY116" i="34"/>
  <c r="BC100" i="34"/>
  <c r="BG100" i="34"/>
  <c r="BK100" i="34"/>
  <c r="BO100" i="34"/>
  <c r="AS99" i="34"/>
  <c r="BA99" i="34"/>
  <c r="BM99" i="34"/>
  <c r="AN100" i="34"/>
  <c r="AV100" i="34"/>
  <c r="BD100" i="34"/>
  <c r="BL100" i="34"/>
  <c r="AP99" i="34"/>
  <c r="AX99" i="34"/>
  <c r="BF99" i="34"/>
  <c r="BN99" i="34"/>
  <c r="AO116" i="34"/>
  <c r="AW116" i="34"/>
  <c r="BE116" i="34"/>
  <c r="BM100" i="34"/>
  <c r="AM115" i="34"/>
  <c r="AQ115" i="34"/>
  <c r="AU115" i="34"/>
  <c r="AY115" i="34"/>
  <c r="BC115" i="34"/>
  <c r="BG115" i="34"/>
  <c r="BK115" i="34"/>
  <c r="BO115" i="34"/>
  <c r="AL100" i="34"/>
  <c r="AP116" i="34"/>
  <c r="AT116" i="34"/>
  <c r="AX116" i="34"/>
  <c r="BB116" i="34"/>
  <c r="BF116" i="34"/>
  <c r="BJ100" i="34"/>
  <c r="BN116" i="34"/>
  <c r="AK115" i="34"/>
  <c r="AO115" i="34"/>
  <c r="AW115" i="34"/>
  <c r="BE115" i="34"/>
  <c r="BI115" i="34"/>
  <c r="AJ116" i="34"/>
  <c r="AR116" i="34"/>
  <c r="AZ116" i="34"/>
  <c r="BH116" i="34"/>
  <c r="BP116" i="34"/>
  <c r="AL115" i="34"/>
  <c r="AT99" i="34"/>
  <c r="BB99" i="34"/>
  <c r="BJ99" i="34"/>
  <c r="AK116" i="34"/>
  <c r="AS116" i="34"/>
  <c r="BA116" i="34"/>
  <c r="BI116" i="34"/>
  <c r="AJ99" i="34"/>
  <c r="AN115" i="34"/>
  <c r="AR115" i="34"/>
  <c r="AV115" i="34"/>
  <c r="AZ115" i="34"/>
  <c r="BD115" i="34"/>
  <c r="BH115" i="34"/>
  <c r="BL115" i="34"/>
  <c r="BP99" i="34"/>
  <c r="AM116" i="34"/>
  <c r="AQ116" i="34"/>
  <c r="AU116" i="34"/>
  <c r="AY100" i="34"/>
  <c r="BC116" i="34"/>
  <c r="BG116" i="34"/>
  <c r="BK116" i="34"/>
  <c r="BO116" i="34"/>
  <c r="AS115" i="34"/>
  <c r="BA115" i="34"/>
  <c r="BM115" i="34"/>
  <c r="AN116" i="34"/>
  <c r="AV116" i="34"/>
  <c r="BD116" i="34"/>
  <c r="BL116" i="34"/>
  <c r="AP115" i="34"/>
  <c r="AX115" i="34"/>
  <c r="BF115" i="34"/>
  <c r="BN115" i="34"/>
  <c r="AO100" i="34"/>
  <c r="AW100" i="34"/>
  <c r="BE100" i="34"/>
  <c r="BM116" i="34"/>
  <c r="C26" i="36"/>
  <c r="C27" i="36" s="1"/>
  <c r="C87" i="33" s="1"/>
  <c r="C103" i="33" s="1"/>
  <c r="C119" i="33" s="1"/>
  <c r="C135" i="33" s="1"/>
  <c r="C89" i="33"/>
  <c r="C105" i="33" s="1"/>
  <c r="C121" i="33" s="1"/>
  <c r="C137" i="33" s="1"/>
  <c r="C30" i="36"/>
  <c r="B148" i="48"/>
  <c r="A148" i="48"/>
  <c r="AG118" i="48"/>
  <c r="AG78" i="48"/>
  <c r="F119" i="48"/>
  <c r="G119" i="48"/>
  <c r="H119" i="48"/>
  <c r="I119" i="48"/>
  <c r="J119" i="48"/>
  <c r="K119" i="48"/>
  <c r="L119" i="48"/>
  <c r="M119" i="48"/>
  <c r="N119" i="48"/>
  <c r="O119" i="48"/>
  <c r="P119" i="48"/>
  <c r="Q119" i="48"/>
  <c r="R119" i="48"/>
  <c r="S119" i="48"/>
  <c r="T119" i="48"/>
  <c r="U119" i="48"/>
  <c r="V119" i="48"/>
  <c r="V114" i="48" s="1"/>
  <c r="W119" i="48"/>
  <c r="X119" i="48"/>
  <c r="Y119" i="48"/>
  <c r="Z119" i="48"/>
  <c r="AA119" i="48"/>
  <c r="AB119" i="48"/>
  <c r="AC119" i="48"/>
  <c r="AD119" i="48"/>
  <c r="AE119" i="48"/>
  <c r="AF119" i="48"/>
  <c r="AG119" i="48"/>
  <c r="E119" i="48"/>
  <c r="F233" i="48"/>
  <c r="G233" i="48"/>
  <c r="H233" i="48"/>
  <c r="I233" i="48"/>
  <c r="J233" i="48"/>
  <c r="K233" i="48"/>
  <c r="L233" i="48"/>
  <c r="M233" i="48"/>
  <c r="N233" i="48"/>
  <c r="O233" i="48"/>
  <c r="P233" i="48"/>
  <c r="Q233" i="48"/>
  <c r="R233" i="48"/>
  <c r="S233" i="48"/>
  <c r="T233" i="48"/>
  <c r="U233" i="48"/>
  <c r="V233" i="48"/>
  <c r="W233" i="48"/>
  <c r="X233" i="48"/>
  <c r="Y233" i="48"/>
  <c r="Z233" i="48"/>
  <c r="AA233" i="48"/>
  <c r="AB233" i="48"/>
  <c r="AC233" i="48"/>
  <c r="AD233" i="48"/>
  <c r="AE233" i="48"/>
  <c r="AF233" i="48"/>
  <c r="AG233" i="48"/>
  <c r="E233" i="48"/>
  <c r="B232" i="48"/>
  <c r="A232" i="48"/>
  <c r="AG227" i="48"/>
  <c r="AF227" i="48"/>
  <c r="AE227" i="48"/>
  <c r="AD227" i="48"/>
  <c r="AC227" i="48"/>
  <c r="AB227" i="48"/>
  <c r="AA227" i="48"/>
  <c r="Z227" i="48"/>
  <c r="Y227" i="48"/>
  <c r="X227" i="48"/>
  <c r="W227" i="48"/>
  <c r="V227" i="48"/>
  <c r="U227" i="48"/>
  <c r="T227" i="48"/>
  <c r="S227" i="48"/>
  <c r="R227" i="48"/>
  <c r="Q227" i="48"/>
  <c r="P227" i="48"/>
  <c r="O227" i="48"/>
  <c r="N227" i="48"/>
  <c r="M227" i="48"/>
  <c r="L227" i="48"/>
  <c r="K227" i="48"/>
  <c r="J227" i="48"/>
  <c r="I227" i="48"/>
  <c r="H227" i="48"/>
  <c r="G227" i="48"/>
  <c r="F227" i="48"/>
  <c r="E227" i="48"/>
  <c r="E205" i="48"/>
  <c r="F205" i="48"/>
  <c r="G205" i="48"/>
  <c r="H205" i="48"/>
  <c r="I205" i="48"/>
  <c r="J205" i="48"/>
  <c r="K205" i="48"/>
  <c r="L205" i="48"/>
  <c r="M205" i="48"/>
  <c r="N205" i="48"/>
  <c r="O205" i="48"/>
  <c r="P205" i="48"/>
  <c r="Q205" i="48"/>
  <c r="R205" i="48"/>
  <c r="S205" i="48"/>
  <c r="T205" i="48"/>
  <c r="U205" i="48"/>
  <c r="V205" i="48"/>
  <c r="W205" i="48"/>
  <c r="X205" i="48"/>
  <c r="Y205" i="48"/>
  <c r="Z205" i="48"/>
  <c r="AA205" i="48"/>
  <c r="AB205" i="48"/>
  <c r="AC205" i="48"/>
  <c r="AD205" i="48"/>
  <c r="AE205" i="48"/>
  <c r="AF205" i="48"/>
  <c r="AG205" i="48"/>
  <c r="B204" i="48"/>
  <c r="A204" i="48"/>
  <c r="AG200" i="48"/>
  <c r="AF200" i="48"/>
  <c r="AE200" i="48"/>
  <c r="AD200" i="48"/>
  <c r="AC200" i="48"/>
  <c r="AB200" i="48"/>
  <c r="AA200" i="48"/>
  <c r="Z200" i="48"/>
  <c r="Y200" i="48"/>
  <c r="X200" i="48"/>
  <c r="W200" i="48"/>
  <c r="V200" i="48"/>
  <c r="U200" i="48"/>
  <c r="T200" i="48"/>
  <c r="S200" i="48"/>
  <c r="R200" i="48"/>
  <c r="Q200" i="48"/>
  <c r="P200" i="48"/>
  <c r="O200" i="48"/>
  <c r="N200" i="48"/>
  <c r="M200" i="48"/>
  <c r="L200" i="48"/>
  <c r="K200" i="48"/>
  <c r="J200" i="48"/>
  <c r="I200" i="48"/>
  <c r="H200" i="48"/>
  <c r="G200" i="48"/>
  <c r="F200" i="48"/>
  <c r="E200" i="48"/>
  <c r="F176" i="48"/>
  <c r="G176" i="48"/>
  <c r="H176" i="48"/>
  <c r="I176" i="48"/>
  <c r="J176" i="48"/>
  <c r="K176" i="48"/>
  <c r="L176" i="48"/>
  <c r="M176" i="48"/>
  <c r="N176" i="48"/>
  <c r="O176" i="48"/>
  <c r="P176" i="48"/>
  <c r="Q176" i="48"/>
  <c r="R176" i="48"/>
  <c r="S176" i="48"/>
  <c r="T176" i="48"/>
  <c r="U176" i="48"/>
  <c r="V176" i="48"/>
  <c r="W176" i="48"/>
  <c r="X176" i="48"/>
  <c r="Y176" i="48"/>
  <c r="Z176" i="48"/>
  <c r="AA176" i="48"/>
  <c r="AB176" i="48"/>
  <c r="AC176" i="48"/>
  <c r="AD176" i="48"/>
  <c r="AE176" i="48"/>
  <c r="AF176" i="48"/>
  <c r="AG176" i="48"/>
  <c r="E176" i="48"/>
  <c r="B175" i="48"/>
  <c r="A175" i="48"/>
  <c r="AG171" i="48"/>
  <c r="AF171" i="48"/>
  <c r="AE171" i="48"/>
  <c r="AD171" i="48"/>
  <c r="AC171" i="48"/>
  <c r="AB171" i="48"/>
  <c r="AA171" i="48"/>
  <c r="Z171" i="48"/>
  <c r="Y171" i="48"/>
  <c r="X171" i="48"/>
  <c r="W171" i="48"/>
  <c r="V171" i="48"/>
  <c r="U171" i="48"/>
  <c r="T171" i="48"/>
  <c r="S171" i="48"/>
  <c r="R171" i="48"/>
  <c r="Q171" i="48"/>
  <c r="P171" i="48"/>
  <c r="O171" i="48"/>
  <c r="N171" i="48"/>
  <c r="M171" i="48"/>
  <c r="L171" i="48"/>
  <c r="K171" i="48"/>
  <c r="J171" i="48"/>
  <c r="I171" i="48"/>
  <c r="H171" i="48"/>
  <c r="G171" i="48"/>
  <c r="F171" i="48"/>
  <c r="E171" i="48"/>
  <c r="B117" i="48"/>
  <c r="A117" i="48"/>
  <c r="AG83" i="48"/>
  <c r="B82" i="48"/>
  <c r="A82" i="48"/>
  <c r="AC114" i="48" l="1"/>
  <c r="AC115" i="48" s="1"/>
  <c r="Y114" i="48"/>
  <c r="Y115" i="48" s="1"/>
  <c r="U114" i="48"/>
  <c r="U115" i="48" s="1"/>
  <c r="Q114" i="48"/>
  <c r="Q115" i="48" s="1"/>
  <c r="M114" i="48"/>
  <c r="M115" i="48" s="1"/>
  <c r="I114" i="48"/>
  <c r="I115" i="48" s="1"/>
  <c r="AF123" i="48"/>
  <c r="AF114" i="48"/>
  <c r="AB123" i="48"/>
  <c r="AB114" i="48"/>
  <c r="X114" i="48"/>
  <c r="X115" i="48" s="1"/>
  <c r="T114" i="48"/>
  <c r="T115" i="48" s="1"/>
  <c r="P114" i="48"/>
  <c r="P115" i="48" s="1"/>
  <c r="L114" i="48"/>
  <c r="L118" i="48" s="1"/>
  <c r="H114" i="48"/>
  <c r="H115" i="48" s="1"/>
  <c r="AE114" i="48"/>
  <c r="AE115" i="48" s="1"/>
  <c r="AA123" i="48"/>
  <c r="AA114" i="48"/>
  <c r="W114" i="48"/>
  <c r="W115" i="48" s="1"/>
  <c r="S114" i="48"/>
  <c r="S115" i="48" s="1"/>
  <c r="O114" i="48"/>
  <c r="O79" i="48" s="1"/>
  <c r="K114" i="48"/>
  <c r="K115" i="48" s="1"/>
  <c r="G114" i="48"/>
  <c r="G115" i="48" s="1"/>
  <c r="E114" i="48"/>
  <c r="E118" i="48" s="1"/>
  <c r="AD123" i="48"/>
  <c r="AD114" i="48"/>
  <c r="AD115" i="48" s="1"/>
  <c r="AD113" i="48" s="1"/>
  <c r="Z123" i="48"/>
  <c r="Z114" i="48"/>
  <c r="R114" i="48"/>
  <c r="R79" i="48" s="1"/>
  <c r="N114" i="48"/>
  <c r="N115" i="48" s="1"/>
  <c r="J114" i="48"/>
  <c r="J115" i="48" s="1"/>
  <c r="F114" i="48"/>
  <c r="F115" i="48" s="1"/>
  <c r="V115" i="48"/>
  <c r="V113" i="48" s="1"/>
  <c r="BJ67" i="36"/>
  <c r="BJ51" i="36"/>
  <c r="BJ158" i="34"/>
  <c r="BJ174" i="34"/>
  <c r="BB67" i="36"/>
  <c r="BB51" i="36"/>
  <c r="BB174" i="34"/>
  <c r="BB158" i="34"/>
  <c r="AP51" i="36"/>
  <c r="AP67" i="36"/>
  <c r="AP174" i="34"/>
  <c r="AP158" i="34"/>
  <c r="BK66" i="36"/>
  <c r="BK50" i="36"/>
  <c r="BK173" i="34"/>
  <c r="BK157" i="34"/>
  <c r="BC66" i="36"/>
  <c r="BC50" i="36"/>
  <c r="BC173" i="34"/>
  <c r="BC157" i="34"/>
  <c r="AY66" i="36"/>
  <c r="AY50" i="36"/>
  <c r="AY157" i="34"/>
  <c r="AY173" i="34"/>
  <c r="AQ50" i="36"/>
  <c r="AQ66" i="36"/>
  <c r="AQ157" i="34"/>
  <c r="AQ173" i="34"/>
  <c r="BL73" i="36"/>
  <c r="BL57" i="36"/>
  <c r="BL164" i="34"/>
  <c r="BL180" i="34"/>
  <c r="AZ57" i="36"/>
  <c r="AZ73" i="36"/>
  <c r="AZ164" i="34"/>
  <c r="AZ180" i="34"/>
  <c r="AR73" i="36"/>
  <c r="AR57" i="36"/>
  <c r="AR180" i="34"/>
  <c r="AR164" i="34"/>
  <c r="BI72" i="36"/>
  <c r="BI56" i="36"/>
  <c r="BI179" i="34"/>
  <c r="BI163" i="34"/>
  <c r="AW72" i="36"/>
  <c r="AW56" i="36"/>
  <c r="AW179" i="34"/>
  <c r="AW163" i="34"/>
  <c r="AK72" i="36"/>
  <c r="AK56" i="36"/>
  <c r="AK179" i="34"/>
  <c r="AK163" i="34"/>
  <c r="BM79" i="36"/>
  <c r="BM63" i="36"/>
  <c r="BM170" i="34"/>
  <c r="BM186" i="34"/>
  <c r="BE79" i="36"/>
  <c r="BE63" i="36"/>
  <c r="BE170" i="34"/>
  <c r="BE186" i="34"/>
  <c r="AW79" i="36"/>
  <c r="AW63" i="36"/>
  <c r="AW186" i="34"/>
  <c r="AW170" i="34"/>
  <c r="AK79" i="36"/>
  <c r="AK63" i="36"/>
  <c r="AK170" i="34"/>
  <c r="AK186" i="34"/>
  <c r="BF78" i="36"/>
  <c r="BF62" i="36"/>
  <c r="BF169" i="34"/>
  <c r="BF185" i="34"/>
  <c r="AX78" i="36"/>
  <c r="AX62" i="36"/>
  <c r="AX185" i="34"/>
  <c r="AX169" i="34"/>
  <c r="AL78" i="36"/>
  <c r="AL62" i="36"/>
  <c r="AL185" i="34"/>
  <c r="AL169" i="34"/>
  <c r="BM80" i="36"/>
  <c r="BM64" i="36"/>
  <c r="BM171" i="34"/>
  <c r="BM187" i="34"/>
  <c r="BA80" i="36"/>
  <c r="BA64" i="36"/>
  <c r="BA171" i="34"/>
  <c r="BA187" i="34"/>
  <c r="AK80" i="36"/>
  <c r="AK64" i="36"/>
  <c r="AK171" i="34"/>
  <c r="AK187" i="34"/>
  <c r="BO81" i="36"/>
  <c r="BO65" i="36"/>
  <c r="BO188" i="34"/>
  <c r="BO172" i="34"/>
  <c r="AU81" i="36"/>
  <c r="AU65" i="36"/>
  <c r="AU188" i="34"/>
  <c r="AU172" i="34"/>
  <c r="BP60" i="36"/>
  <c r="BP76" i="36"/>
  <c r="BP167" i="34"/>
  <c r="BP183" i="34"/>
  <c r="BH76" i="36"/>
  <c r="BH60" i="36"/>
  <c r="BH183" i="34"/>
  <c r="BH167" i="34"/>
  <c r="AZ60" i="36"/>
  <c r="AZ76" i="36"/>
  <c r="AZ183" i="34"/>
  <c r="AZ167" i="34"/>
  <c r="AJ76" i="36"/>
  <c r="AJ60" i="36"/>
  <c r="AJ167" i="34"/>
  <c r="AJ183" i="34"/>
  <c r="BM67" i="36"/>
  <c r="BM51" i="36"/>
  <c r="BM174" i="34"/>
  <c r="BM158" i="34"/>
  <c r="BI67" i="36"/>
  <c r="BI51" i="36"/>
  <c r="BI158" i="34"/>
  <c r="BI174" i="34"/>
  <c r="BE67" i="36"/>
  <c r="BE51" i="36"/>
  <c r="BE158" i="34"/>
  <c r="BE174" i="34"/>
  <c r="BA67" i="36"/>
  <c r="BA51" i="36"/>
  <c r="BA174" i="34"/>
  <c r="BA158" i="34"/>
  <c r="AW67" i="36"/>
  <c r="AW51" i="36"/>
  <c r="AW158" i="34"/>
  <c r="AW174" i="34"/>
  <c r="AS67" i="36"/>
  <c r="AS51" i="36"/>
  <c r="AS158" i="34"/>
  <c r="AS174" i="34"/>
  <c r="AO67" i="36"/>
  <c r="AO51" i="36"/>
  <c r="AO158" i="34"/>
  <c r="AO174" i="34"/>
  <c r="AK67" i="36"/>
  <c r="AK51" i="36"/>
  <c r="AK174" i="34"/>
  <c r="AK158" i="34"/>
  <c r="BN66" i="36"/>
  <c r="BN50" i="36"/>
  <c r="BN157" i="34"/>
  <c r="BN173" i="34"/>
  <c r="BJ66" i="36"/>
  <c r="BJ50" i="36"/>
  <c r="BJ173" i="34"/>
  <c r="BJ157" i="34"/>
  <c r="BF66" i="36"/>
  <c r="BF50" i="36"/>
  <c r="BF173" i="34"/>
  <c r="BF157" i="34"/>
  <c r="BB66" i="36"/>
  <c r="BB50" i="36"/>
  <c r="BB157" i="34"/>
  <c r="BB173" i="34"/>
  <c r="AX66" i="36"/>
  <c r="AX50" i="36"/>
  <c r="AX157" i="34"/>
  <c r="AX173" i="34"/>
  <c r="AT66" i="36"/>
  <c r="AT50" i="36"/>
  <c r="AT173" i="34"/>
  <c r="AT157" i="34"/>
  <c r="AP66" i="36"/>
  <c r="AP50" i="36"/>
  <c r="AP173" i="34"/>
  <c r="AP157" i="34"/>
  <c r="AL66" i="36"/>
  <c r="AL50" i="36"/>
  <c r="AL157" i="34"/>
  <c r="AL173" i="34"/>
  <c r="BO73" i="36"/>
  <c r="BO57" i="36"/>
  <c r="BO164" i="34"/>
  <c r="BO180" i="34"/>
  <c r="BK57" i="36"/>
  <c r="BK73" i="36"/>
  <c r="BK180" i="34"/>
  <c r="BK164" i="34"/>
  <c r="BG73" i="36"/>
  <c r="BG57" i="36"/>
  <c r="BG164" i="34"/>
  <c r="BG180" i="34"/>
  <c r="BC73" i="36"/>
  <c r="BC57" i="36"/>
  <c r="BC164" i="34"/>
  <c r="BC180" i="34"/>
  <c r="AY73" i="36"/>
  <c r="AY57" i="36"/>
  <c r="AY180" i="34"/>
  <c r="AY164" i="34"/>
  <c r="AU57" i="36"/>
  <c r="AU73" i="36"/>
  <c r="AU180" i="34"/>
  <c r="AU164" i="34"/>
  <c r="AQ73" i="36"/>
  <c r="AQ57" i="36"/>
  <c r="AQ180" i="34"/>
  <c r="AQ164" i="34"/>
  <c r="AM57" i="36"/>
  <c r="AM73" i="36"/>
  <c r="AM164" i="34"/>
  <c r="AM180" i="34"/>
  <c r="BP56" i="36"/>
  <c r="BP72" i="36"/>
  <c r="BP163" i="34"/>
  <c r="BP179" i="34"/>
  <c r="BL72" i="36"/>
  <c r="BL56" i="36"/>
  <c r="BL163" i="34"/>
  <c r="BL179" i="34"/>
  <c r="BH72" i="36"/>
  <c r="BH56" i="36"/>
  <c r="BH179" i="34"/>
  <c r="BH163" i="34"/>
  <c r="BD72" i="36"/>
  <c r="BD56" i="36"/>
  <c r="BD179" i="34"/>
  <c r="BD163" i="34"/>
  <c r="AZ56" i="36"/>
  <c r="AZ72" i="36"/>
  <c r="AZ179" i="34"/>
  <c r="AZ163" i="34"/>
  <c r="AV72" i="36"/>
  <c r="AV56" i="36"/>
  <c r="AV163" i="34"/>
  <c r="AV179" i="34"/>
  <c r="AR56" i="36"/>
  <c r="AR72" i="36"/>
  <c r="AR163" i="34"/>
  <c r="AR179" i="34"/>
  <c r="AN72" i="36"/>
  <c r="AN56" i="36"/>
  <c r="AN179" i="34"/>
  <c r="AN163" i="34"/>
  <c r="AJ56" i="36"/>
  <c r="AJ72" i="36"/>
  <c r="AJ179" i="34"/>
  <c r="AJ163" i="34"/>
  <c r="BP63" i="36"/>
  <c r="BP79" i="36"/>
  <c r="BP186" i="34"/>
  <c r="BP170" i="34"/>
  <c r="BL63" i="36"/>
  <c r="BL79" i="36"/>
  <c r="BL186" i="34"/>
  <c r="BL170" i="34"/>
  <c r="BH63" i="36"/>
  <c r="BH79" i="36"/>
  <c r="BH170" i="34"/>
  <c r="BH186" i="34"/>
  <c r="BD63" i="36"/>
  <c r="BD79" i="36"/>
  <c r="BD186" i="34"/>
  <c r="BD170" i="34"/>
  <c r="AZ79" i="36"/>
  <c r="AZ63" i="36"/>
  <c r="AZ170" i="34"/>
  <c r="AZ186" i="34"/>
  <c r="AV63" i="36"/>
  <c r="AV79" i="36"/>
  <c r="AV186" i="34"/>
  <c r="AV170" i="34"/>
  <c r="AR63" i="36"/>
  <c r="AR79" i="36"/>
  <c r="AR186" i="34"/>
  <c r="AR170" i="34"/>
  <c r="AN63" i="36"/>
  <c r="AN79" i="36"/>
  <c r="AN170" i="34"/>
  <c r="AN186" i="34"/>
  <c r="AJ63" i="36"/>
  <c r="AJ79" i="36"/>
  <c r="AJ186" i="34"/>
  <c r="AJ170" i="34"/>
  <c r="BM78" i="36"/>
  <c r="BM62" i="36"/>
  <c r="BM185" i="34"/>
  <c r="BM169" i="34"/>
  <c r="BI78" i="36"/>
  <c r="BI62" i="36"/>
  <c r="BI169" i="34"/>
  <c r="BI185" i="34"/>
  <c r="BE62" i="36"/>
  <c r="BE78" i="36"/>
  <c r="BE169" i="34"/>
  <c r="BE185" i="34"/>
  <c r="BA62" i="36"/>
  <c r="BA78" i="36"/>
  <c r="BA169" i="34"/>
  <c r="BA185" i="34"/>
  <c r="AW62" i="36"/>
  <c r="AW78" i="36"/>
  <c r="AW185" i="34"/>
  <c r="AW169" i="34"/>
  <c r="AS78" i="36"/>
  <c r="AS62" i="36"/>
  <c r="AS185" i="34"/>
  <c r="AS169" i="34"/>
  <c r="AO62" i="36"/>
  <c r="AO78" i="36"/>
  <c r="AO185" i="34"/>
  <c r="AO169" i="34"/>
  <c r="AK78" i="36"/>
  <c r="AK62" i="36"/>
  <c r="AK169" i="34"/>
  <c r="AK185" i="34"/>
  <c r="BP80" i="36"/>
  <c r="BP64" i="36"/>
  <c r="BP187" i="34"/>
  <c r="BP171" i="34"/>
  <c r="BL80" i="36"/>
  <c r="BL64" i="36"/>
  <c r="BL187" i="34"/>
  <c r="BL171" i="34"/>
  <c r="BH80" i="36"/>
  <c r="BH64" i="36"/>
  <c r="BH171" i="34"/>
  <c r="BH187" i="34"/>
  <c r="BD64" i="36"/>
  <c r="BD80" i="36"/>
  <c r="BD171" i="34"/>
  <c r="BD187" i="34"/>
  <c r="AZ80" i="36"/>
  <c r="AZ64" i="36"/>
  <c r="AZ187" i="34"/>
  <c r="AZ171" i="34"/>
  <c r="AV80" i="36"/>
  <c r="AV64" i="36"/>
  <c r="AV187" i="34"/>
  <c r="AV171" i="34"/>
  <c r="AR64" i="36"/>
  <c r="AR80" i="36"/>
  <c r="AR187" i="34"/>
  <c r="AR171" i="34"/>
  <c r="AN64" i="36"/>
  <c r="AN80" i="36"/>
  <c r="AN171" i="34"/>
  <c r="AN187" i="34"/>
  <c r="AJ80" i="36"/>
  <c r="AJ64" i="36"/>
  <c r="AJ171" i="34"/>
  <c r="AJ187" i="34"/>
  <c r="BN65" i="36"/>
  <c r="BN81" i="36"/>
  <c r="BN188" i="34"/>
  <c r="BN172" i="34"/>
  <c r="BJ81" i="36"/>
  <c r="BJ65" i="36"/>
  <c r="BJ172" i="34"/>
  <c r="BJ188" i="34"/>
  <c r="BF65" i="36"/>
  <c r="BF81" i="36"/>
  <c r="BF172" i="34"/>
  <c r="BF188" i="34"/>
  <c r="BB65" i="36"/>
  <c r="BB81" i="36"/>
  <c r="BB172" i="34"/>
  <c r="BB188" i="34"/>
  <c r="AX65" i="36"/>
  <c r="AX81" i="36"/>
  <c r="AX188" i="34"/>
  <c r="AX172" i="34"/>
  <c r="AT81" i="36"/>
  <c r="AT65" i="36"/>
  <c r="AT172" i="34"/>
  <c r="AT188" i="34"/>
  <c r="AP65" i="36"/>
  <c r="AP81" i="36"/>
  <c r="AP188" i="34"/>
  <c r="AP172" i="34"/>
  <c r="AL65" i="36"/>
  <c r="AL81" i="36"/>
  <c r="AL188" i="34"/>
  <c r="AL172" i="34"/>
  <c r="BO76" i="36"/>
  <c r="BO60" i="36"/>
  <c r="BO167" i="34"/>
  <c r="BO183" i="34"/>
  <c r="BK76" i="36"/>
  <c r="BK60" i="36"/>
  <c r="BK183" i="34"/>
  <c r="BK167" i="34"/>
  <c r="BG76" i="36"/>
  <c r="BG60" i="36"/>
  <c r="BG167" i="34"/>
  <c r="BG183" i="34"/>
  <c r="BC76" i="36"/>
  <c r="BC60" i="36"/>
  <c r="BC183" i="34"/>
  <c r="BC167" i="34"/>
  <c r="AY76" i="36"/>
  <c r="AY60" i="36"/>
  <c r="AY167" i="34"/>
  <c r="AY183" i="34"/>
  <c r="AU76" i="36"/>
  <c r="AU60" i="36"/>
  <c r="AU183" i="34"/>
  <c r="AU167" i="34"/>
  <c r="AQ76" i="36"/>
  <c r="AQ60" i="36"/>
  <c r="AQ167" i="34"/>
  <c r="AQ183" i="34"/>
  <c r="AM76" i="36"/>
  <c r="AM60" i="36"/>
  <c r="AM183" i="34"/>
  <c r="AM167" i="34"/>
  <c r="BN67" i="36"/>
  <c r="BN51" i="36"/>
  <c r="BN158" i="34"/>
  <c r="BN174" i="34"/>
  <c r="BF51" i="36"/>
  <c r="BF67" i="36"/>
  <c r="BF174" i="34"/>
  <c r="BF158" i="34"/>
  <c r="AT67" i="36"/>
  <c r="AT51" i="36"/>
  <c r="AT158" i="34"/>
  <c r="AT174" i="34"/>
  <c r="AL67" i="36"/>
  <c r="AL51" i="36"/>
  <c r="AL174" i="34"/>
  <c r="AL158" i="34"/>
  <c r="BG50" i="36"/>
  <c r="BG66" i="36"/>
  <c r="BG173" i="34"/>
  <c r="BG157" i="34"/>
  <c r="AM66" i="36"/>
  <c r="AM50" i="36"/>
  <c r="AM157" i="34"/>
  <c r="AM173" i="34"/>
  <c r="BP73" i="36"/>
  <c r="BP57" i="36"/>
  <c r="BP164" i="34"/>
  <c r="BP180" i="34"/>
  <c r="BH73" i="36"/>
  <c r="BH57" i="36"/>
  <c r="BH180" i="34"/>
  <c r="BH164" i="34"/>
  <c r="AV73" i="36"/>
  <c r="AV57" i="36"/>
  <c r="AV164" i="34"/>
  <c r="AV180" i="34"/>
  <c r="AJ73" i="36"/>
  <c r="AJ57" i="36"/>
  <c r="AJ164" i="34"/>
  <c r="AJ180" i="34"/>
  <c r="BM72" i="36"/>
  <c r="BM56" i="36"/>
  <c r="BM179" i="34"/>
  <c r="BM163" i="34"/>
  <c r="BA72" i="36"/>
  <c r="BA56" i="36"/>
  <c r="BA179" i="34"/>
  <c r="BA163" i="34"/>
  <c r="AO72" i="36"/>
  <c r="AO56" i="36"/>
  <c r="AO179" i="34"/>
  <c r="AO163" i="34"/>
  <c r="BA79" i="36"/>
  <c r="BA63" i="36"/>
  <c r="BA170" i="34"/>
  <c r="BA186" i="34"/>
  <c r="AO79" i="36"/>
  <c r="AO63" i="36"/>
  <c r="AO186" i="34"/>
  <c r="AO170" i="34"/>
  <c r="BJ78" i="36"/>
  <c r="BJ62" i="36"/>
  <c r="BJ169" i="34"/>
  <c r="BJ185" i="34"/>
  <c r="BB62" i="36"/>
  <c r="BB78" i="36"/>
  <c r="BB169" i="34"/>
  <c r="BB185" i="34"/>
  <c r="AT78" i="36"/>
  <c r="AT62" i="36"/>
  <c r="AT185" i="34"/>
  <c r="AT169" i="34"/>
  <c r="BI64" i="36"/>
  <c r="BI80" i="36"/>
  <c r="BI187" i="34"/>
  <c r="BI171" i="34"/>
  <c r="AW80" i="36"/>
  <c r="AW64" i="36"/>
  <c r="AW171" i="34"/>
  <c r="AW187" i="34"/>
  <c r="AO80" i="36"/>
  <c r="AO64" i="36"/>
  <c r="AO171" i="34"/>
  <c r="AO187" i="34"/>
  <c r="BG81" i="36"/>
  <c r="BG65" i="36"/>
  <c r="BG172" i="34"/>
  <c r="BG188" i="34"/>
  <c r="AY81" i="36"/>
  <c r="AY65" i="36"/>
  <c r="AY172" i="34"/>
  <c r="AY188" i="34"/>
  <c r="AM81" i="36"/>
  <c r="AM65" i="36"/>
  <c r="AM188" i="34"/>
  <c r="AM172" i="34"/>
  <c r="BL76" i="36"/>
  <c r="BL60" i="36"/>
  <c r="BL167" i="34"/>
  <c r="BL183" i="34"/>
  <c r="BD60" i="36"/>
  <c r="BD76" i="36"/>
  <c r="BD167" i="34"/>
  <c r="BD183" i="34"/>
  <c r="AV60" i="36"/>
  <c r="AV76" i="36"/>
  <c r="AV167" i="34"/>
  <c r="AV183" i="34"/>
  <c r="AN60" i="36"/>
  <c r="AN76" i="36"/>
  <c r="AN183" i="34"/>
  <c r="AN167" i="34"/>
  <c r="BP51" i="36"/>
  <c r="BP67" i="36"/>
  <c r="BP158" i="34"/>
  <c r="BP174" i="34"/>
  <c r="BL51" i="36"/>
  <c r="BL67" i="36"/>
  <c r="BL158" i="34"/>
  <c r="BL174" i="34"/>
  <c r="BH67" i="36"/>
  <c r="BH51" i="36"/>
  <c r="BH158" i="34"/>
  <c r="BH174" i="34"/>
  <c r="BD67" i="36"/>
  <c r="BD51" i="36"/>
  <c r="BD174" i="34"/>
  <c r="BD158" i="34"/>
  <c r="AZ67" i="36"/>
  <c r="AZ51" i="36"/>
  <c r="AZ158" i="34"/>
  <c r="AZ174" i="34"/>
  <c r="AV67" i="36"/>
  <c r="AV51" i="36"/>
  <c r="AV174" i="34"/>
  <c r="AV158" i="34"/>
  <c r="AR67" i="36"/>
  <c r="AR51" i="36"/>
  <c r="AR158" i="34"/>
  <c r="AR174" i="34"/>
  <c r="AN67" i="36"/>
  <c r="AN51" i="36"/>
  <c r="AN158" i="34"/>
  <c r="AN174" i="34"/>
  <c r="AJ67" i="36"/>
  <c r="AJ51" i="36"/>
  <c r="AJ174" i="34"/>
  <c r="AJ158" i="34"/>
  <c r="BM66" i="36"/>
  <c r="BM50" i="36"/>
  <c r="BM157" i="34"/>
  <c r="BM173" i="34"/>
  <c r="BI66" i="36"/>
  <c r="BI50" i="36"/>
  <c r="BI157" i="34"/>
  <c r="BI173" i="34"/>
  <c r="BE66" i="36"/>
  <c r="BE50" i="36"/>
  <c r="BE173" i="34"/>
  <c r="BE157" i="34"/>
  <c r="BA66" i="36"/>
  <c r="BA50" i="36"/>
  <c r="BA173" i="34"/>
  <c r="BA157" i="34"/>
  <c r="AW66" i="36"/>
  <c r="AW50" i="36"/>
  <c r="AW157" i="34"/>
  <c r="AW173" i="34"/>
  <c r="AS66" i="36"/>
  <c r="AS50" i="36"/>
  <c r="AS157" i="34"/>
  <c r="AS173" i="34"/>
  <c r="AO66" i="36"/>
  <c r="AO50" i="36"/>
  <c r="AO173" i="34"/>
  <c r="AO157" i="34"/>
  <c r="AK50" i="36"/>
  <c r="AK66" i="36"/>
  <c r="AK173" i="34"/>
  <c r="AK157" i="34"/>
  <c r="BN73" i="36"/>
  <c r="BN57" i="36"/>
  <c r="BN164" i="34"/>
  <c r="BN180" i="34"/>
  <c r="BJ73" i="36"/>
  <c r="BJ57" i="36"/>
  <c r="BJ164" i="34"/>
  <c r="BJ180" i="34"/>
  <c r="BF73" i="36"/>
  <c r="BF57" i="36"/>
  <c r="BF180" i="34"/>
  <c r="BF164" i="34"/>
  <c r="BB73" i="36"/>
  <c r="BB57" i="36"/>
  <c r="BB180" i="34"/>
  <c r="BB164" i="34"/>
  <c r="AX73" i="36"/>
  <c r="AX57" i="36"/>
  <c r="AX164" i="34"/>
  <c r="AX180" i="34"/>
  <c r="AT73" i="36"/>
  <c r="AT57" i="36"/>
  <c r="AT164" i="34"/>
  <c r="AT180" i="34"/>
  <c r="AP73" i="36"/>
  <c r="AP57" i="36"/>
  <c r="AP180" i="34"/>
  <c r="AP164" i="34"/>
  <c r="AL73" i="36"/>
  <c r="AL57" i="36"/>
  <c r="AL180" i="34"/>
  <c r="AL164" i="34"/>
  <c r="BO72" i="36"/>
  <c r="BO56" i="36"/>
  <c r="BO179" i="34"/>
  <c r="BO163" i="34"/>
  <c r="BK72" i="36"/>
  <c r="BK56" i="36"/>
  <c r="BK163" i="34"/>
  <c r="BK179" i="34"/>
  <c r="BG72" i="36"/>
  <c r="BG56" i="36"/>
  <c r="BG163" i="34"/>
  <c r="BG179" i="34"/>
  <c r="BC72" i="36"/>
  <c r="BC56" i="36"/>
  <c r="BC163" i="34"/>
  <c r="BC179" i="34"/>
  <c r="AY72" i="36"/>
  <c r="AY56" i="36"/>
  <c r="AY163" i="34"/>
  <c r="AY179" i="34"/>
  <c r="AU56" i="36"/>
  <c r="AU72" i="36"/>
  <c r="AU163" i="34"/>
  <c r="AU179" i="34"/>
  <c r="AQ72" i="36"/>
  <c r="AQ56" i="36"/>
  <c r="AQ163" i="34"/>
  <c r="AQ179" i="34"/>
  <c r="AM72" i="36"/>
  <c r="AM56" i="36"/>
  <c r="AM163" i="34"/>
  <c r="AM179" i="34"/>
  <c r="BO63" i="36"/>
  <c r="BO79" i="36"/>
  <c r="BO186" i="34"/>
  <c r="BO170" i="34"/>
  <c r="BK79" i="36"/>
  <c r="BK63" i="36"/>
  <c r="BK186" i="34"/>
  <c r="BK170" i="34"/>
  <c r="BG79" i="36"/>
  <c r="BG63" i="36"/>
  <c r="BG170" i="34"/>
  <c r="BG186" i="34"/>
  <c r="BC79" i="36"/>
  <c r="BC63" i="36"/>
  <c r="BC170" i="34"/>
  <c r="BC186" i="34"/>
  <c r="AY63" i="36"/>
  <c r="AY79" i="36"/>
  <c r="AY170" i="34"/>
  <c r="AY186" i="34"/>
  <c r="AU79" i="36"/>
  <c r="AU63" i="36"/>
  <c r="AU186" i="34"/>
  <c r="AU170" i="34"/>
  <c r="AQ79" i="36"/>
  <c r="AQ63" i="36"/>
  <c r="AQ186" i="34"/>
  <c r="AQ170" i="34"/>
  <c r="AM79" i="36"/>
  <c r="AM63" i="36"/>
  <c r="AM186" i="34"/>
  <c r="AM170" i="34"/>
  <c r="BP78" i="36"/>
  <c r="BP62" i="36"/>
  <c r="BP185" i="34"/>
  <c r="BP169" i="34"/>
  <c r="BL78" i="36"/>
  <c r="BL62" i="36"/>
  <c r="BL185" i="34"/>
  <c r="BL169" i="34"/>
  <c r="BH78" i="36"/>
  <c r="BH62" i="36"/>
  <c r="BH169" i="34"/>
  <c r="BH185" i="34"/>
  <c r="BD78" i="36"/>
  <c r="BD62" i="36"/>
  <c r="BD169" i="34"/>
  <c r="BD185" i="34"/>
  <c r="AZ78" i="36"/>
  <c r="AZ62" i="36"/>
  <c r="AZ185" i="34"/>
  <c r="AZ169" i="34"/>
  <c r="AV78" i="36"/>
  <c r="AV62" i="36"/>
  <c r="AV169" i="34"/>
  <c r="AV185" i="34"/>
  <c r="AR78" i="36"/>
  <c r="AR62" i="36"/>
  <c r="AR169" i="34"/>
  <c r="AR185" i="34"/>
  <c r="AN78" i="36"/>
  <c r="AN62" i="36"/>
  <c r="AN185" i="34"/>
  <c r="AN169" i="34"/>
  <c r="AJ78" i="36"/>
  <c r="AJ62" i="36"/>
  <c r="AJ185" i="34"/>
  <c r="AJ169" i="34"/>
  <c r="BO64" i="36"/>
  <c r="BO80" i="36"/>
  <c r="BO171" i="34"/>
  <c r="BO187" i="34"/>
  <c r="BK80" i="36"/>
  <c r="BK64" i="36"/>
  <c r="BK171" i="34"/>
  <c r="BK187" i="34"/>
  <c r="BG64" i="36"/>
  <c r="BG80" i="36"/>
  <c r="BG187" i="34"/>
  <c r="BG171" i="34"/>
  <c r="BC64" i="36"/>
  <c r="BC80" i="36"/>
  <c r="BC187" i="34"/>
  <c r="BC171" i="34"/>
  <c r="AY64" i="36"/>
  <c r="AY80" i="36"/>
  <c r="AY171" i="34"/>
  <c r="AY187" i="34"/>
  <c r="AU80" i="36"/>
  <c r="AU64" i="36"/>
  <c r="AU187" i="34"/>
  <c r="AU171" i="34"/>
  <c r="AQ64" i="36"/>
  <c r="AQ80" i="36"/>
  <c r="AQ171" i="34"/>
  <c r="AQ187" i="34"/>
  <c r="AM64" i="36"/>
  <c r="AM80" i="36"/>
  <c r="AM187" i="34"/>
  <c r="AM171" i="34"/>
  <c r="BM81" i="36"/>
  <c r="BM65" i="36"/>
  <c r="BM172" i="34"/>
  <c r="BM188" i="34"/>
  <c r="BI65" i="36"/>
  <c r="BI81" i="36"/>
  <c r="BI188" i="34"/>
  <c r="BI172" i="34"/>
  <c r="BE81" i="36"/>
  <c r="BE65" i="36"/>
  <c r="BE188" i="34"/>
  <c r="BE172" i="34"/>
  <c r="BA81" i="36"/>
  <c r="BA65" i="36"/>
  <c r="BA172" i="34"/>
  <c r="BA188" i="34"/>
  <c r="AW81" i="36"/>
  <c r="AW65" i="36"/>
  <c r="AW172" i="34"/>
  <c r="AW188" i="34"/>
  <c r="AS81" i="36"/>
  <c r="AS65" i="36"/>
  <c r="AS172" i="34"/>
  <c r="AS188" i="34"/>
  <c r="AO81" i="36"/>
  <c r="AO65" i="36"/>
  <c r="AO188" i="34"/>
  <c r="AO172" i="34"/>
  <c r="AK81" i="36"/>
  <c r="AK65" i="36"/>
  <c r="AK172" i="34"/>
  <c r="AK188" i="34"/>
  <c r="BN76" i="36"/>
  <c r="BN60" i="36"/>
  <c r="BN183" i="34"/>
  <c r="BN167" i="34"/>
  <c r="BJ76" i="36"/>
  <c r="BJ60" i="36"/>
  <c r="BJ167" i="34"/>
  <c r="BJ183" i="34"/>
  <c r="BF76" i="36"/>
  <c r="BF60" i="36"/>
  <c r="BF167" i="34"/>
  <c r="BF183" i="34"/>
  <c r="BB76" i="36"/>
  <c r="BB60" i="36"/>
  <c r="BB183" i="34"/>
  <c r="BB167" i="34"/>
  <c r="AX76" i="36"/>
  <c r="AX60" i="36"/>
  <c r="AX167" i="34"/>
  <c r="AX183" i="34"/>
  <c r="AT76" i="36"/>
  <c r="AT60" i="36"/>
  <c r="AT167" i="34"/>
  <c r="AT183" i="34"/>
  <c r="AP60" i="36"/>
  <c r="AP76" i="36"/>
  <c r="AP167" i="34"/>
  <c r="AP183" i="34"/>
  <c r="AL76" i="36"/>
  <c r="AL60" i="36"/>
  <c r="AL167" i="34"/>
  <c r="AL183" i="34"/>
  <c r="AX51" i="36"/>
  <c r="AX67" i="36"/>
  <c r="AX158" i="34"/>
  <c r="AX174" i="34"/>
  <c r="BO66" i="36"/>
  <c r="BO50" i="36"/>
  <c r="BO157" i="34"/>
  <c r="BO173" i="34"/>
  <c r="AU66" i="36"/>
  <c r="AU50" i="36"/>
  <c r="AU173" i="34"/>
  <c r="AU157" i="34"/>
  <c r="BD73" i="36"/>
  <c r="BD57" i="36"/>
  <c r="BD164" i="34"/>
  <c r="BD180" i="34"/>
  <c r="AN73" i="36"/>
  <c r="AN57" i="36"/>
  <c r="AN180" i="34"/>
  <c r="AN164" i="34"/>
  <c r="BE72" i="36"/>
  <c r="BE56" i="36"/>
  <c r="BE179" i="34"/>
  <c r="BE163" i="34"/>
  <c r="AS72" i="36"/>
  <c r="AS56" i="36"/>
  <c r="AS163" i="34"/>
  <c r="AS179" i="34"/>
  <c r="BI79" i="36"/>
  <c r="BI63" i="36"/>
  <c r="BI186" i="34"/>
  <c r="BI170" i="34"/>
  <c r="AS79" i="36"/>
  <c r="AS63" i="36"/>
  <c r="AS186" i="34"/>
  <c r="AS170" i="34"/>
  <c r="BN78" i="36"/>
  <c r="BN62" i="36"/>
  <c r="BN169" i="34"/>
  <c r="BN185" i="34"/>
  <c r="AP62" i="36"/>
  <c r="AP78" i="36"/>
  <c r="AP185" i="34"/>
  <c r="AP169" i="34"/>
  <c r="BE80" i="36"/>
  <c r="BE64" i="36"/>
  <c r="BE171" i="34"/>
  <c r="BE187" i="34"/>
  <c r="AS64" i="36"/>
  <c r="AS80" i="36"/>
  <c r="AS187" i="34"/>
  <c r="AS171" i="34"/>
  <c r="BK81" i="36"/>
  <c r="BK65" i="36"/>
  <c r="BK172" i="34"/>
  <c r="BK188" i="34"/>
  <c r="BC81" i="36"/>
  <c r="BC65" i="36"/>
  <c r="BC172" i="34"/>
  <c r="BC188" i="34"/>
  <c r="AQ81" i="36"/>
  <c r="AQ65" i="36"/>
  <c r="AQ188" i="34"/>
  <c r="AQ172" i="34"/>
  <c r="AR76" i="36"/>
  <c r="AR60" i="36"/>
  <c r="AR167" i="34"/>
  <c r="AR183" i="34"/>
  <c r="BO67" i="36"/>
  <c r="BO51" i="36"/>
  <c r="BO158" i="34"/>
  <c r="BO174" i="34"/>
  <c r="BK67" i="36"/>
  <c r="BK51" i="36"/>
  <c r="BK158" i="34"/>
  <c r="BK174" i="34"/>
  <c r="BG67" i="36"/>
  <c r="BG51" i="36"/>
  <c r="BG174" i="34"/>
  <c r="BG158" i="34"/>
  <c r="BC67" i="36"/>
  <c r="BC51" i="36"/>
  <c r="BC158" i="34"/>
  <c r="BC174" i="34"/>
  <c r="AY67" i="36"/>
  <c r="AY51" i="36"/>
  <c r="AY158" i="34"/>
  <c r="AY174" i="34"/>
  <c r="AU67" i="36"/>
  <c r="AU51" i="36"/>
  <c r="AU174" i="34"/>
  <c r="AU158" i="34"/>
  <c r="AQ67" i="36"/>
  <c r="AQ51" i="36"/>
  <c r="AQ158" i="34"/>
  <c r="AQ174" i="34"/>
  <c r="AM67" i="36"/>
  <c r="AM51" i="36"/>
  <c r="AM174" i="34"/>
  <c r="AM158" i="34"/>
  <c r="BP66" i="36"/>
  <c r="BP50" i="36"/>
  <c r="BP157" i="34"/>
  <c r="BP173" i="34"/>
  <c r="BL66" i="36"/>
  <c r="BL50" i="36"/>
  <c r="BL173" i="34"/>
  <c r="BL157" i="34"/>
  <c r="BH66" i="36"/>
  <c r="BH50" i="36"/>
  <c r="BH173" i="34"/>
  <c r="BH157" i="34"/>
  <c r="BD66" i="36"/>
  <c r="BD50" i="36"/>
  <c r="BD157" i="34"/>
  <c r="BD173" i="34"/>
  <c r="AZ66" i="36"/>
  <c r="AZ50" i="36"/>
  <c r="AZ173" i="34"/>
  <c r="AZ157" i="34"/>
  <c r="AV50" i="36"/>
  <c r="AV66" i="36"/>
  <c r="AV173" i="34"/>
  <c r="AV157" i="34"/>
  <c r="AR66" i="36"/>
  <c r="AR50" i="36"/>
  <c r="AR157" i="34"/>
  <c r="AR173" i="34"/>
  <c r="AN66" i="36"/>
  <c r="AN50" i="36"/>
  <c r="AN173" i="34"/>
  <c r="AN157" i="34"/>
  <c r="AJ66" i="36"/>
  <c r="AJ50" i="36"/>
  <c r="AJ157" i="34"/>
  <c r="AJ173" i="34"/>
  <c r="BM73" i="36"/>
  <c r="BM57" i="36"/>
  <c r="BM164" i="34"/>
  <c r="BM180" i="34"/>
  <c r="BI73" i="36"/>
  <c r="BI57" i="36"/>
  <c r="BI164" i="34"/>
  <c r="BI180" i="34"/>
  <c r="BE73" i="36"/>
  <c r="BE57" i="36"/>
  <c r="BE180" i="34"/>
  <c r="BE164" i="34"/>
  <c r="BA73" i="36"/>
  <c r="BA57" i="36"/>
  <c r="BA164" i="34"/>
  <c r="BA180" i="34"/>
  <c r="AW73" i="36"/>
  <c r="AW57" i="36"/>
  <c r="AW180" i="34"/>
  <c r="AW164" i="34"/>
  <c r="AS73" i="36"/>
  <c r="AS57" i="36"/>
  <c r="AS180" i="34"/>
  <c r="AS164" i="34"/>
  <c r="AO57" i="36"/>
  <c r="AO73" i="36"/>
  <c r="AO180" i="34"/>
  <c r="AO164" i="34"/>
  <c r="AK73" i="36"/>
  <c r="AK57" i="36"/>
  <c r="AK180" i="34"/>
  <c r="AK164" i="34"/>
  <c r="BN72" i="36"/>
  <c r="BN56" i="36"/>
  <c r="BN163" i="34"/>
  <c r="BN179" i="34"/>
  <c r="BJ72" i="36"/>
  <c r="BJ56" i="36"/>
  <c r="BJ163" i="34"/>
  <c r="BJ179" i="34"/>
  <c r="BF56" i="36"/>
  <c r="BF72" i="36"/>
  <c r="BF179" i="34"/>
  <c r="BF163" i="34"/>
  <c r="BB72" i="36"/>
  <c r="BB56" i="36"/>
  <c r="BB179" i="34"/>
  <c r="BB163" i="34"/>
  <c r="AX72" i="36"/>
  <c r="AX56" i="36"/>
  <c r="AX163" i="34"/>
  <c r="AX179" i="34"/>
  <c r="AT72" i="36"/>
  <c r="AT56" i="36"/>
  <c r="AT179" i="34"/>
  <c r="AT163" i="34"/>
  <c r="AP72" i="36"/>
  <c r="AP56" i="36"/>
  <c r="AP179" i="34"/>
  <c r="AP163" i="34"/>
  <c r="AL72" i="36"/>
  <c r="AL56" i="36"/>
  <c r="AL163" i="34"/>
  <c r="AL179" i="34"/>
  <c r="BN79" i="36"/>
  <c r="BN63" i="36"/>
  <c r="BN170" i="34"/>
  <c r="BN186" i="34"/>
  <c r="BJ63" i="36"/>
  <c r="BJ79" i="36"/>
  <c r="BJ186" i="34"/>
  <c r="BJ170" i="34"/>
  <c r="BF79" i="36"/>
  <c r="BF63" i="36"/>
  <c r="BF170" i="34"/>
  <c r="BF186" i="34"/>
  <c r="BB79" i="36"/>
  <c r="BB63" i="36"/>
  <c r="BB170" i="34"/>
  <c r="BB186" i="34"/>
  <c r="AX79" i="36"/>
  <c r="AX63" i="36"/>
  <c r="AX186" i="34"/>
  <c r="AX170" i="34"/>
  <c r="AT63" i="36"/>
  <c r="AT79" i="36"/>
  <c r="AT170" i="34"/>
  <c r="AT186" i="34"/>
  <c r="AP79" i="36"/>
  <c r="AP63" i="36"/>
  <c r="AP170" i="34"/>
  <c r="AP186" i="34"/>
  <c r="AL79" i="36"/>
  <c r="AL63" i="36"/>
  <c r="AL186" i="34"/>
  <c r="AL170" i="34"/>
  <c r="BO78" i="36"/>
  <c r="BO62" i="36"/>
  <c r="BO169" i="34"/>
  <c r="BO185" i="34"/>
  <c r="BK62" i="36"/>
  <c r="BK78" i="36"/>
  <c r="BK185" i="34"/>
  <c r="BK169" i="34"/>
  <c r="BG78" i="36"/>
  <c r="BG62" i="36"/>
  <c r="BG185" i="34"/>
  <c r="BG169" i="34"/>
  <c r="BC78" i="36"/>
  <c r="BC62" i="36"/>
  <c r="BC169" i="34"/>
  <c r="BC185" i="34"/>
  <c r="AY78" i="36"/>
  <c r="AY62" i="36"/>
  <c r="AY185" i="34"/>
  <c r="AY169" i="34"/>
  <c r="AU78" i="36"/>
  <c r="AU62" i="36"/>
  <c r="AU169" i="34"/>
  <c r="AU185" i="34"/>
  <c r="AQ78" i="36"/>
  <c r="AQ62" i="36"/>
  <c r="AQ185" i="34"/>
  <c r="AQ169" i="34"/>
  <c r="AM78" i="36"/>
  <c r="AM62" i="36"/>
  <c r="AM169" i="34"/>
  <c r="AM185" i="34"/>
  <c r="BN80" i="36"/>
  <c r="BN64" i="36"/>
  <c r="BN171" i="34"/>
  <c r="BN187" i="34"/>
  <c r="BJ80" i="36"/>
  <c r="BJ64" i="36"/>
  <c r="BJ171" i="34"/>
  <c r="BJ187" i="34"/>
  <c r="BF80" i="36"/>
  <c r="BF64" i="36"/>
  <c r="BF171" i="34"/>
  <c r="BF187" i="34"/>
  <c r="BB80" i="36"/>
  <c r="BB64" i="36"/>
  <c r="BB171" i="34"/>
  <c r="BB187" i="34"/>
  <c r="AX80" i="36"/>
  <c r="AX64" i="36"/>
  <c r="AX187" i="34"/>
  <c r="AX171" i="34"/>
  <c r="AT80" i="36"/>
  <c r="AT64" i="36"/>
  <c r="AT171" i="34"/>
  <c r="AT187" i="34"/>
  <c r="AP80" i="36"/>
  <c r="AP64" i="36"/>
  <c r="AP171" i="34"/>
  <c r="AP187" i="34"/>
  <c r="AL80" i="36"/>
  <c r="AL64" i="36"/>
  <c r="AL187" i="34"/>
  <c r="AL171" i="34"/>
  <c r="BP65" i="36"/>
  <c r="BP81" i="36"/>
  <c r="BP172" i="34"/>
  <c r="BP188" i="34"/>
  <c r="BL81" i="36"/>
  <c r="BL65" i="36"/>
  <c r="BL172" i="34"/>
  <c r="BL188" i="34"/>
  <c r="BH81" i="36"/>
  <c r="BH65" i="36"/>
  <c r="BH188" i="34"/>
  <c r="BH172" i="34"/>
  <c r="BD65" i="36"/>
  <c r="BD81" i="36"/>
  <c r="BD188" i="34"/>
  <c r="BD172" i="34"/>
  <c r="AZ81" i="36"/>
  <c r="AZ65" i="36"/>
  <c r="AZ172" i="34"/>
  <c r="AZ188" i="34"/>
  <c r="AV81" i="36"/>
  <c r="AV65" i="36"/>
  <c r="AV172" i="34"/>
  <c r="AV188" i="34"/>
  <c r="AR81" i="36"/>
  <c r="AR65" i="36"/>
  <c r="AR188" i="34"/>
  <c r="AR172" i="34"/>
  <c r="AN65" i="36"/>
  <c r="AN81" i="36"/>
  <c r="AN172" i="34"/>
  <c r="AN188" i="34"/>
  <c r="AJ81" i="36"/>
  <c r="AJ65" i="36"/>
  <c r="AJ172" i="34"/>
  <c r="AJ188" i="34"/>
  <c r="BM76" i="36"/>
  <c r="BM60" i="36"/>
  <c r="BM167" i="34"/>
  <c r="BM183" i="34"/>
  <c r="BI76" i="36"/>
  <c r="BI60" i="36"/>
  <c r="BI183" i="34"/>
  <c r="BI167" i="34"/>
  <c r="BE76" i="36"/>
  <c r="BE60" i="36"/>
  <c r="BE167" i="34"/>
  <c r="BE183" i="34"/>
  <c r="BA76" i="36"/>
  <c r="BA60" i="36"/>
  <c r="BA167" i="34"/>
  <c r="BA183" i="34"/>
  <c r="AW76" i="36"/>
  <c r="AW60" i="36"/>
  <c r="AW183" i="34"/>
  <c r="AW167" i="34"/>
  <c r="AS76" i="36"/>
  <c r="AS60" i="36"/>
  <c r="AS167" i="34"/>
  <c r="AS183" i="34"/>
  <c r="AO76" i="36"/>
  <c r="AO60" i="36"/>
  <c r="AO167" i="34"/>
  <c r="AO183" i="34"/>
  <c r="AK76" i="36"/>
  <c r="AK60" i="36"/>
  <c r="AK167" i="34"/>
  <c r="AK183" i="34"/>
  <c r="C86" i="33"/>
  <c r="C102" i="33" s="1"/>
  <c r="C118" i="33" s="1"/>
  <c r="C134" i="33" s="1"/>
  <c r="C90" i="33"/>
  <c r="C106" i="33" s="1"/>
  <c r="C122" i="33" s="1"/>
  <c r="C138" i="33" s="1"/>
  <c r="C31" i="36"/>
  <c r="Z115" i="48"/>
  <c r="Z113" i="48" s="1"/>
  <c r="AB115" i="48"/>
  <c r="AB113" i="48" s="1"/>
  <c r="X123" i="48"/>
  <c r="AA115" i="48"/>
  <c r="AA113" i="48" s="1"/>
  <c r="AF115" i="48"/>
  <c r="AF113" i="48" s="1"/>
  <c r="AE123" i="48"/>
  <c r="K79" i="48"/>
  <c r="W123" i="48"/>
  <c r="J118" i="48"/>
  <c r="V118" i="48"/>
  <c r="R118" i="48"/>
  <c r="N118" i="48"/>
  <c r="F118" i="48"/>
  <c r="U79" i="48"/>
  <c r="I79" i="48"/>
  <c r="AC118" i="48"/>
  <c r="U118" i="48"/>
  <c r="Q118" i="48"/>
  <c r="M118" i="48"/>
  <c r="Q79" i="48"/>
  <c r="F79" i="48"/>
  <c r="X118" i="48"/>
  <c r="T118" i="48"/>
  <c r="P118" i="48"/>
  <c r="H118" i="48"/>
  <c r="AC79" i="48"/>
  <c r="M79" i="48"/>
  <c r="AE118" i="48"/>
  <c r="W118" i="48"/>
  <c r="S118" i="48"/>
  <c r="K118" i="48"/>
  <c r="G118" i="48"/>
  <c r="X79" i="48"/>
  <c r="P79" i="48"/>
  <c r="L79" i="48"/>
  <c r="H79" i="48"/>
  <c r="W79" i="48"/>
  <c r="S79" i="48"/>
  <c r="E79" i="48"/>
  <c r="E86" i="48" s="1"/>
  <c r="V79" i="48"/>
  <c r="N79" i="48"/>
  <c r="J79" i="48"/>
  <c r="AC123" i="48"/>
  <c r="Y123" i="48"/>
  <c r="U113" i="48" l="1"/>
  <c r="U80" i="48"/>
  <c r="U78" i="48" s="1"/>
  <c r="H113" i="48"/>
  <c r="H80" i="48"/>
  <c r="H78" i="48" s="1"/>
  <c r="E115" i="48"/>
  <c r="K113" i="48"/>
  <c r="K80" i="48"/>
  <c r="K78" i="48" s="1"/>
  <c r="X113" i="48"/>
  <c r="X80" i="48"/>
  <c r="X78" i="48" s="1"/>
  <c r="F113" i="48"/>
  <c r="F80" i="48"/>
  <c r="F78" i="48" s="1"/>
  <c r="S113" i="48"/>
  <c r="S80" i="48"/>
  <c r="S78" i="48" s="1"/>
  <c r="P113" i="48"/>
  <c r="P80" i="48"/>
  <c r="M113" i="48"/>
  <c r="M80" i="48"/>
  <c r="M78" i="48" s="1"/>
  <c r="N113" i="48"/>
  <c r="N80" i="48"/>
  <c r="N78" i="48" s="1"/>
  <c r="AC113" i="48"/>
  <c r="AC80" i="48"/>
  <c r="AC78" i="48" s="1"/>
  <c r="T113" i="48"/>
  <c r="T80" i="48"/>
  <c r="T78" i="48" s="1"/>
  <c r="G113" i="48"/>
  <c r="G80" i="48"/>
  <c r="G78" i="48" s="1"/>
  <c r="Y113" i="48"/>
  <c r="Y80" i="48"/>
  <c r="AE113" i="48"/>
  <c r="AE80" i="48"/>
  <c r="AE78" i="48" s="1"/>
  <c r="Q113" i="48"/>
  <c r="Q80" i="48"/>
  <c r="Q78" i="48" s="1"/>
  <c r="J113" i="48"/>
  <c r="J80" i="48"/>
  <c r="J78" i="48" s="1"/>
  <c r="W113" i="48"/>
  <c r="W80" i="48"/>
  <c r="W78" i="48" s="1"/>
  <c r="I113" i="48"/>
  <c r="I80" i="48"/>
  <c r="I78" i="48" s="1"/>
  <c r="G79" i="48"/>
  <c r="AE79" i="48"/>
  <c r="T79" i="48"/>
  <c r="O118" i="48"/>
  <c r="V80" i="48"/>
  <c r="V78" i="48" s="1"/>
  <c r="I118" i="48"/>
  <c r="Y118" i="48"/>
  <c r="Y79" i="48"/>
  <c r="Y83" i="48" s="1"/>
  <c r="R115" i="48"/>
  <c r="O115" i="48"/>
  <c r="L115" i="48"/>
  <c r="AO101" i="34"/>
  <c r="AW101" i="34"/>
  <c r="BE101" i="34"/>
  <c r="BM101" i="34"/>
  <c r="AR101" i="34"/>
  <c r="AL101" i="34"/>
  <c r="AP117" i="34"/>
  <c r="AT101" i="34"/>
  <c r="AX101" i="34"/>
  <c r="BB101" i="34"/>
  <c r="BF101" i="34"/>
  <c r="BJ101" i="34"/>
  <c r="BN101" i="34"/>
  <c r="AN117" i="34"/>
  <c r="AV117" i="34"/>
  <c r="BD117" i="34"/>
  <c r="BL101" i="34"/>
  <c r="AM101" i="34"/>
  <c r="AQ101" i="34"/>
  <c r="AU101" i="34"/>
  <c r="AY101" i="34"/>
  <c r="BC101" i="34"/>
  <c r="BG101" i="34"/>
  <c r="BK101" i="34"/>
  <c r="BO101" i="34"/>
  <c r="AJ101" i="34"/>
  <c r="AZ117" i="34"/>
  <c r="BH101" i="34"/>
  <c r="BP117" i="34"/>
  <c r="AK101" i="34"/>
  <c r="AS101" i="34"/>
  <c r="BA101" i="34"/>
  <c r="BI101" i="34"/>
  <c r="AK117" i="34"/>
  <c r="AO117" i="34"/>
  <c r="AS117" i="34"/>
  <c r="AW117" i="34"/>
  <c r="BA117" i="34"/>
  <c r="BE117" i="34"/>
  <c r="BI117" i="34"/>
  <c r="BM117" i="34"/>
  <c r="AR117" i="34"/>
  <c r="AL117" i="34"/>
  <c r="AP101" i="34"/>
  <c r="AT117" i="34"/>
  <c r="AX117" i="34"/>
  <c r="BB117" i="34"/>
  <c r="BF117" i="34"/>
  <c r="BJ117" i="34"/>
  <c r="BN117" i="34"/>
  <c r="AN101" i="34"/>
  <c r="AV101" i="34"/>
  <c r="BD101" i="34"/>
  <c r="BL117" i="34"/>
  <c r="AM117" i="34"/>
  <c r="AQ117" i="34"/>
  <c r="AU117" i="34"/>
  <c r="AY117" i="34"/>
  <c r="BC117" i="34"/>
  <c r="BG117" i="34"/>
  <c r="BK117" i="34"/>
  <c r="BO117" i="34"/>
  <c r="AJ117" i="34"/>
  <c r="AZ101" i="34"/>
  <c r="BH117" i="34"/>
  <c r="BP101" i="34"/>
  <c r="AN122" i="34"/>
  <c r="BH106" i="34"/>
  <c r="BP122" i="34"/>
  <c r="AP105" i="34"/>
  <c r="AX105" i="34"/>
  <c r="BF105" i="34"/>
  <c r="BJ105" i="34"/>
  <c r="AM103" i="34"/>
  <c r="AU103" i="34"/>
  <c r="BC103" i="34"/>
  <c r="BK119" i="34"/>
  <c r="AL104" i="34"/>
  <c r="AT120" i="34"/>
  <c r="AX104" i="34"/>
  <c r="BF104" i="34"/>
  <c r="BJ120" i="34"/>
  <c r="BN104" i="34"/>
  <c r="AL97" i="34"/>
  <c r="AP97" i="34"/>
  <c r="AT97" i="34"/>
  <c r="AX97" i="34"/>
  <c r="BB97" i="34"/>
  <c r="BF113" i="34"/>
  <c r="BJ97" i="34"/>
  <c r="BN97" i="34"/>
  <c r="AK98" i="34"/>
  <c r="AO114" i="34"/>
  <c r="AS98" i="34"/>
  <c r="AW98" i="34"/>
  <c r="BA98" i="34"/>
  <c r="BE98" i="34"/>
  <c r="BI98" i="34"/>
  <c r="BM98" i="34"/>
  <c r="AN91" i="34"/>
  <c r="AR91" i="34"/>
  <c r="AV107" i="34"/>
  <c r="AZ91" i="34"/>
  <c r="BD91" i="34"/>
  <c r="BH91" i="34"/>
  <c r="BL91" i="34"/>
  <c r="BP91" i="34"/>
  <c r="AM92" i="34"/>
  <c r="AQ92" i="34"/>
  <c r="AU92" i="34"/>
  <c r="AY92" i="34"/>
  <c r="BC92" i="34"/>
  <c r="BG92" i="34"/>
  <c r="BK92" i="34"/>
  <c r="BO92" i="34"/>
  <c r="AQ106" i="34"/>
  <c r="BC106" i="34"/>
  <c r="BK106" i="34"/>
  <c r="AS121" i="34"/>
  <c r="BE105" i="34"/>
  <c r="AP119" i="34"/>
  <c r="BN103" i="34"/>
  <c r="AS104" i="34"/>
  <c r="BI104" i="34"/>
  <c r="AS97" i="34"/>
  <c r="BE97" i="34"/>
  <c r="AN98" i="34"/>
  <c r="BD98" i="34"/>
  <c r="AU91" i="34"/>
  <c r="BO91" i="34"/>
  <c r="AX108" i="34"/>
  <c r="AK106" i="34"/>
  <c r="AO106" i="34"/>
  <c r="AS106" i="34"/>
  <c r="AW106" i="34"/>
  <c r="BA106" i="34"/>
  <c r="BE106" i="34"/>
  <c r="BI122" i="34"/>
  <c r="BM106" i="34"/>
  <c r="AM121" i="34"/>
  <c r="AQ121" i="34"/>
  <c r="AU105" i="34"/>
  <c r="AY121" i="34"/>
  <c r="BC121" i="34"/>
  <c r="BG121" i="34"/>
  <c r="BK105" i="34"/>
  <c r="BO121" i="34"/>
  <c r="AN103" i="34"/>
  <c r="AR103" i="34"/>
  <c r="AV103" i="34"/>
  <c r="AZ103" i="34"/>
  <c r="BD103" i="34"/>
  <c r="BH103" i="34"/>
  <c r="BL103" i="34"/>
  <c r="BP103" i="34"/>
  <c r="AM104" i="34"/>
  <c r="AQ104" i="34"/>
  <c r="AU104" i="34"/>
  <c r="AY120" i="34"/>
  <c r="BC104" i="34"/>
  <c r="BG104" i="34"/>
  <c r="BK104" i="34"/>
  <c r="BO120" i="34"/>
  <c r="AM97" i="34"/>
  <c r="AQ97" i="34"/>
  <c r="AU113" i="34"/>
  <c r="AY97" i="34"/>
  <c r="BC97" i="34"/>
  <c r="BG97" i="34"/>
  <c r="BK97" i="34"/>
  <c r="BO97" i="34"/>
  <c r="AL98" i="34"/>
  <c r="AP98" i="34"/>
  <c r="AT98" i="34"/>
  <c r="AX98" i="34"/>
  <c r="BB98" i="34"/>
  <c r="BF98" i="34"/>
  <c r="BJ98" i="34"/>
  <c r="BN98" i="34"/>
  <c r="AK107" i="34"/>
  <c r="AO91" i="34"/>
  <c r="AS91" i="34"/>
  <c r="AW91" i="34"/>
  <c r="BA91" i="34"/>
  <c r="BE91" i="34"/>
  <c r="BI91" i="34"/>
  <c r="BM91" i="34"/>
  <c r="AN92" i="34"/>
  <c r="AR92" i="34"/>
  <c r="AV92" i="34"/>
  <c r="AZ92" i="34"/>
  <c r="BD92" i="34"/>
  <c r="BH92" i="34"/>
  <c r="BL108" i="34"/>
  <c r="BP108" i="34"/>
  <c r="AM106" i="34"/>
  <c r="AY106" i="34"/>
  <c r="BG106" i="34"/>
  <c r="AO105" i="34"/>
  <c r="AW105" i="34"/>
  <c r="BI121" i="34"/>
  <c r="AT103" i="34"/>
  <c r="BB119" i="34"/>
  <c r="BJ103" i="34"/>
  <c r="AO104" i="34"/>
  <c r="BA104" i="34"/>
  <c r="AO97" i="34"/>
  <c r="BA97" i="34"/>
  <c r="BM97" i="34"/>
  <c r="AJ98" i="34"/>
  <c r="AV98" i="34"/>
  <c r="BH98" i="34"/>
  <c r="BP98" i="34"/>
  <c r="AM91" i="34"/>
  <c r="BG107" i="34"/>
  <c r="AL92" i="34"/>
  <c r="AT92" i="34"/>
  <c r="BF108" i="34"/>
  <c r="BN92" i="34"/>
  <c r="AL122" i="34"/>
  <c r="AP122" i="34"/>
  <c r="AT106" i="34"/>
  <c r="AX122" i="34"/>
  <c r="BB122" i="34"/>
  <c r="BF122" i="34"/>
  <c r="BJ106" i="34"/>
  <c r="BN122" i="34"/>
  <c r="AN121" i="34"/>
  <c r="AR121" i="34"/>
  <c r="AV105" i="34"/>
  <c r="AZ105" i="34"/>
  <c r="BD121" i="34"/>
  <c r="BH105" i="34"/>
  <c r="BL105" i="34"/>
  <c r="BP105" i="34"/>
  <c r="AK103" i="34"/>
  <c r="AO119" i="34"/>
  <c r="AS103" i="34"/>
  <c r="AW119" i="34"/>
  <c r="BA119" i="34"/>
  <c r="BE119" i="34"/>
  <c r="BI103" i="34"/>
  <c r="BM103" i="34"/>
  <c r="AN120" i="34"/>
  <c r="AR120" i="34"/>
  <c r="AV120" i="34"/>
  <c r="AZ104" i="34"/>
  <c r="BD120" i="34"/>
  <c r="BH120" i="34"/>
  <c r="BL120" i="34"/>
  <c r="BP120" i="34"/>
  <c r="AJ113" i="34"/>
  <c r="AN97" i="34"/>
  <c r="AR113" i="34"/>
  <c r="AV97" i="34"/>
  <c r="AZ113" i="34"/>
  <c r="BD97" i="34"/>
  <c r="BH97" i="34"/>
  <c r="BL97" i="34"/>
  <c r="BP113" i="34"/>
  <c r="AM114" i="34"/>
  <c r="AQ98" i="34"/>
  <c r="AU114" i="34"/>
  <c r="AY98" i="34"/>
  <c r="BC98" i="34"/>
  <c r="BG98" i="34"/>
  <c r="BK114" i="34"/>
  <c r="BO98" i="34"/>
  <c r="AL91" i="34"/>
  <c r="AP91" i="34"/>
  <c r="AT91" i="34"/>
  <c r="AX91" i="34"/>
  <c r="BB91" i="34"/>
  <c r="BF91" i="34"/>
  <c r="BJ91" i="34"/>
  <c r="BN91" i="34"/>
  <c r="AK92" i="34"/>
  <c r="AO92" i="34"/>
  <c r="AS92" i="34"/>
  <c r="AW92" i="34"/>
  <c r="BA92" i="34"/>
  <c r="BE92" i="34"/>
  <c r="BI92" i="34"/>
  <c r="BM92" i="34"/>
  <c r="AU106" i="34"/>
  <c r="BO106" i="34"/>
  <c r="AK105" i="34"/>
  <c r="BA105" i="34"/>
  <c r="BM105" i="34"/>
  <c r="AL103" i="34"/>
  <c r="AX103" i="34"/>
  <c r="BF103" i="34"/>
  <c r="AK104" i="34"/>
  <c r="AW104" i="34"/>
  <c r="BE104" i="34"/>
  <c r="BM104" i="34"/>
  <c r="AK97" i="34"/>
  <c r="AW97" i="34"/>
  <c r="BI97" i="34"/>
  <c r="AR98" i="34"/>
  <c r="AZ114" i="34"/>
  <c r="BL98" i="34"/>
  <c r="AQ107" i="34"/>
  <c r="AY91" i="34"/>
  <c r="BC91" i="34"/>
  <c r="BK91" i="34"/>
  <c r="AP108" i="34"/>
  <c r="BB92" i="34"/>
  <c r="BJ92" i="34"/>
  <c r="AR106" i="34"/>
  <c r="AV106" i="34"/>
  <c r="AZ106" i="34"/>
  <c r="BD122" i="34"/>
  <c r="BL106" i="34"/>
  <c r="AL105" i="34"/>
  <c r="AT105" i="34"/>
  <c r="BB105" i="34"/>
  <c r="BN105" i="34"/>
  <c r="AQ103" i="34"/>
  <c r="AY103" i="34"/>
  <c r="BG103" i="34"/>
  <c r="BO103" i="34"/>
  <c r="AP104" i="34"/>
  <c r="BB104" i="34"/>
  <c r="AN106" i="34"/>
  <c r="AR122" i="34"/>
  <c r="AV122" i="34"/>
  <c r="AZ122" i="34"/>
  <c r="BD106" i="34"/>
  <c r="BH122" i="34"/>
  <c r="BL122" i="34"/>
  <c r="BP106" i="34"/>
  <c r="AL121" i="34"/>
  <c r="AP121" i="34"/>
  <c r="AT121" i="34"/>
  <c r="AX121" i="34"/>
  <c r="BB121" i="34"/>
  <c r="BF121" i="34"/>
  <c r="BJ121" i="34"/>
  <c r="BN121" i="34"/>
  <c r="AM119" i="34"/>
  <c r="AQ119" i="34"/>
  <c r="AU119" i="34"/>
  <c r="AY119" i="34"/>
  <c r="BC119" i="34"/>
  <c r="BG119" i="34"/>
  <c r="BK103" i="34"/>
  <c r="BO119" i="34"/>
  <c r="AL120" i="34"/>
  <c r="AP120" i="34"/>
  <c r="AT104" i="34"/>
  <c r="AX120" i="34"/>
  <c r="BB120" i="34"/>
  <c r="BF120" i="34"/>
  <c r="BJ104" i="34"/>
  <c r="BN120" i="34"/>
  <c r="AL113" i="34"/>
  <c r="AP113" i="34"/>
  <c r="AT113" i="34"/>
  <c r="AX113" i="34"/>
  <c r="BB113" i="34"/>
  <c r="BF97" i="34"/>
  <c r="BJ113" i="34"/>
  <c r="BN113" i="34"/>
  <c r="AK114" i="34"/>
  <c r="AO98" i="34"/>
  <c r="AS114" i="34"/>
  <c r="AW114" i="34"/>
  <c r="BA114" i="34"/>
  <c r="BE114" i="34"/>
  <c r="BI114" i="34"/>
  <c r="BM114" i="34"/>
  <c r="AN107" i="34"/>
  <c r="AR107" i="34"/>
  <c r="AV91" i="34"/>
  <c r="AZ107" i="34"/>
  <c r="BD107" i="34"/>
  <c r="BH107" i="34"/>
  <c r="BL107" i="34"/>
  <c r="BP107" i="34"/>
  <c r="AM108" i="34"/>
  <c r="AQ108" i="34"/>
  <c r="AU108" i="34"/>
  <c r="AY108" i="34"/>
  <c r="BC108" i="34"/>
  <c r="BG108" i="34"/>
  <c r="BK108" i="34"/>
  <c r="BO108" i="34"/>
  <c r="AQ122" i="34"/>
  <c r="BC122" i="34"/>
  <c r="BK122" i="34"/>
  <c r="AS105" i="34"/>
  <c r="BE121" i="34"/>
  <c r="AP103" i="34"/>
  <c r="BN119" i="34"/>
  <c r="AS120" i="34"/>
  <c r="BI120" i="34"/>
  <c r="AS113" i="34"/>
  <c r="BE113" i="34"/>
  <c r="AN114" i="34"/>
  <c r="BD114" i="34"/>
  <c r="AU107" i="34"/>
  <c r="BO107" i="34"/>
  <c r="AX92" i="34"/>
  <c r="AK122" i="34"/>
  <c r="AO122" i="34"/>
  <c r="AS122" i="34"/>
  <c r="AW122" i="34"/>
  <c r="BA122" i="34"/>
  <c r="BE122" i="34"/>
  <c r="BI106" i="34"/>
  <c r="BM122" i="34"/>
  <c r="AM105" i="34"/>
  <c r="AQ105" i="34"/>
  <c r="AU121" i="34"/>
  <c r="AY105" i="34"/>
  <c r="BC105" i="34"/>
  <c r="BG105" i="34"/>
  <c r="BK121" i="34"/>
  <c r="BO105" i="34"/>
  <c r="AN119" i="34"/>
  <c r="AR119" i="34"/>
  <c r="AV119" i="34"/>
  <c r="AZ119" i="34"/>
  <c r="BD119" i="34"/>
  <c r="BH119" i="34"/>
  <c r="BL119" i="34"/>
  <c r="BP119" i="34"/>
  <c r="AM120" i="34"/>
  <c r="AQ120" i="34"/>
  <c r="AU120" i="34"/>
  <c r="AY104" i="34"/>
  <c r="BC120" i="34"/>
  <c r="BG120" i="34"/>
  <c r="BK120" i="34"/>
  <c r="BO104" i="34"/>
  <c r="AM113" i="34"/>
  <c r="AQ113" i="34"/>
  <c r="AU97" i="34"/>
  <c r="AY113" i="34"/>
  <c r="BC113" i="34"/>
  <c r="BG113" i="34"/>
  <c r="BK113" i="34"/>
  <c r="BO113" i="34"/>
  <c r="AL114" i="34"/>
  <c r="AP114" i="34"/>
  <c r="AT114" i="34"/>
  <c r="AX114" i="34"/>
  <c r="BB114" i="34"/>
  <c r="BF114" i="34"/>
  <c r="BJ114" i="34"/>
  <c r="BN114" i="34"/>
  <c r="AK91" i="34"/>
  <c r="AO107" i="34"/>
  <c r="AS107" i="34"/>
  <c r="AW107" i="34"/>
  <c r="BA107" i="34"/>
  <c r="BE107" i="34"/>
  <c r="BI107" i="34"/>
  <c r="BM107" i="34"/>
  <c r="AN108" i="34"/>
  <c r="AR108" i="34"/>
  <c r="AV108" i="34"/>
  <c r="AZ108" i="34"/>
  <c r="BD108" i="34"/>
  <c r="BH108" i="34"/>
  <c r="BL92" i="34"/>
  <c r="BP92" i="34"/>
  <c r="AM122" i="34"/>
  <c r="AY122" i="34"/>
  <c r="BG122" i="34"/>
  <c r="AO121" i="34"/>
  <c r="AW121" i="34"/>
  <c r="BI105" i="34"/>
  <c r="AT119" i="34"/>
  <c r="BB103" i="34"/>
  <c r="BJ119" i="34"/>
  <c r="AO120" i="34"/>
  <c r="BA120" i="34"/>
  <c r="AO113" i="34"/>
  <c r="BA113" i="34"/>
  <c r="BM113" i="34"/>
  <c r="AJ114" i="34"/>
  <c r="AV114" i="34"/>
  <c r="BH114" i="34"/>
  <c r="BP114" i="34"/>
  <c r="AM107" i="34"/>
  <c r="BG91" i="34"/>
  <c r="AL108" i="34"/>
  <c r="AT108" i="34"/>
  <c r="BF92" i="34"/>
  <c r="BN108" i="34"/>
  <c r="AL106" i="34"/>
  <c r="AP106" i="34"/>
  <c r="AT122" i="34"/>
  <c r="AX106" i="34"/>
  <c r="BB106" i="34"/>
  <c r="BF106" i="34"/>
  <c r="BJ122" i="34"/>
  <c r="BN106" i="34"/>
  <c r="AN105" i="34"/>
  <c r="AR105" i="34"/>
  <c r="AV121" i="34"/>
  <c r="AZ121" i="34"/>
  <c r="BD105" i="34"/>
  <c r="BH121" i="34"/>
  <c r="BL121" i="34"/>
  <c r="BP121" i="34"/>
  <c r="AK119" i="34"/>
  <c r="AO103" i="34"/>
  <c r="AS119" i="34"/>
  <c r="AW103" i="34"/>
  <c r="BA103" i="34"/>
  <c r="BE103" i="34"/>
  <c r="BI119" i="34"/>
  <c r="BM119" i="34"/>
  <c r="AN104" i="34"/>
  <c r="AR104" i="34"/>
  <c r="AV104" i="34"/>
  <c r="AZ120" i="34"/>
  <c r="BD104" i="34"/>
  <c r="BH104" i="34"/>
  <c r="BL104" i="34"/>
  <c r="BP104" i="34"/>
  <c r="AJ97" i="34"/>
  <c r="AN113" i="34"/>
  <c r="AR97" i="34"/>
  <c r="AV113" i="34"/>
  <c r="AZ97" i="34"/>
  <c r="BD113" i="34"/>
  <c r="BH113" i="34"/>
  <c r="BL113" i="34"/>
  <c r="BP97" i="34"/>
  <c r="AM98" i="34"/>
  <c r="AQ114" i="34"/>
  <c r="AU98" i="34"/>
  <c r="AY114" i="34"/>
  <c r="BC114" i="34"/>
  <c r="BG114" i="34"/>
  <c r="BK98" i="34"/>
  <c r="BO114" i="34"/>
  <c r="AL107" i="34"/>
  <c r="AP107" i="34"/>
  <c r="AT107" i="34"/>
  <c r="AX107" i="34"/>
  <c r="BB107" i="34"/>
  <c r="BF107" i="34"/>
  <c r="BJ107" i="34"/>
  <c r="BN107" i="34"/>
  <c r="AK108" i="34"/>
  <c r="AO108" i="34"/>
  <c r="AS108" i="34"/>
  <c r="AW108" i="34"/>
  <c r="BA108" i="34"/>
  <c r="BE108" i="34"/>
  <c r="BI108" i="34"/>
  <c r="BM108" i="34"/>
  <c r="AU122" i="34"/>
  <c r="BO122" i="34"/>
  <c r="AK121" i="34"/>
  <c r="BA121" i="34"/>
  <c r="BM121" i="34"/>
  <c r="AL119" i="34"/>
  <c r="AX119" i="34"/>
  <c r="BF119" i="34"/>
  <c r="AK120" i="34"/>
  <c r="AW120" i="34"/>
  <c r="BE120" i="34"/>
  <c r="BM120" i="34"/>
  <c r="AK113" i="34"/>
  <c r="AW113" i="34"/>
  <c r="BI113" i="34"/>
  <c r="AR114" i="34"/>
  <c r="AZ98" i="34"/>
  <c r="BL114" i="34"/>
  <c r="AQ91" i="34"/>
  <c r="AY107" i="34"/>
  <c r="BC107" i="34"/>
  <c r="BK107" i="34"/>
  <c r="AP92" i="34"/>
  <c r="BB108" i="34"/>
  <c r="BJ108" i="34"/>
  <c r="AJ106" i="34"/>
  <c r="AJ122" i="34"/>
  <c r="AJ105" i="34"/>
  <c r="AJ121" i="34"/>
  <c r="AJ103" i="34"/>
  <c r="AJ120" i="34"/>
  <c r="AJ119" i="34"/>
  <c r="AJ104" i="34"/>
  <c r="AJ91" i="34"/>
  <c r="AJ92" i="34"/>
  <c r="AJ107" i="34"/>
  <c r="AJ108" i="34"/>
  <c r="N127" i="48"/>
  <c r="N128" i="48"/>
  <c r="Y78" i="48"/>
  <c r="J83" i="48"/>
  <c r="J86" i="48"/>
  <c r="W83" i="48"/>
  <c r="W86" i="48"/>
  <c r="AC83" i="48"/>
  <c r="AC86" i="48"/>
  <c r="N83" i="48"/>
  <c r="N86" i="48"/>
  <c r="G83" i="48"/>
  <c r="G86" i="48"/>
  <c r="T83" i="48"/>
  <c r="T86" i="48"/>
  <c r="I83" i="48"/>
  <c r="I86" i="48"/>
  <c r="R83" i="48"/>
  <c r="R86" i="48"/>
  <c r="O83" i="48"/>
  <c r="O86" i="48"/>
  <c r="H83" i="48"/>
  <c r="H86" i="48"/>
  <c r="X83" i="48"/>
  <c r="X86" i="48"/>
  <c r="U83" i="48"/>
  <c r="U86" i="48"/>
  <c r="P83" i="48"/>
  <c r="P86" i="48"/>
  <c r="F83" i="48"/>
  <c r="F86" i="48"/>
  <c r="AE83" i="48"/>
  <c r="AE86" i="48"/>
  <c r="Q83" i="48"/>
  <c r="Q86" i="48"/>
  <c r="K83" i="48"/>
  <c r="K86" i="48"/>
  <c r="V83" i="48"/>
  <c r="V86" i="48"/>
  <c r="S83" i="48"/>
  <c r="S86" i="48"/>
  <c r="L83" i="48"/>
  <c r="L86" i="48"/>
  <c r="M83" i="48"/>
  <c r="M86" i="48"/>
  <c r="P78" i="48"/>
  <c r="E83" i="48"/>
  <c r="AD118" i="48"/>
  <c r="AB118" i="48"/>
  <c r="AB80" i="48"/>
  <c r="AB78" i="48" s="1"/>
  <c r="AA79" i="48"/>
  <c r="AD79" i="48"/>
  <c r="AD80" i="48"/>
  <c r="AD78" i="48" s="1"/>
  <c r="Z118" i="48"/>
  <c r="C91" i="33"/>
  <c r="C107" i="33" s="1"/>
  <c r="C123" i="33" s="1"/>
  <c r="C139" i="33" s="1"/>
  <c r="C32" i="36"/>
  <c r="C92" i="33" s="1"/>
  <c r="C108" i="33" s="1"/>
  <c r="C124" i="33" s="1"/>
  <c r="C140" i="33" s="1"/>
  <c r="Z79" i="48"/>
  <c r="Z80" i="48"/>
  <c r="Z78" i="48" s="1"/>
  <c r="AB79" i="48"/>
  <c r="AF118" i="48"/>
  <c r="AF79" i="48"/>
  <c r="AA118" i="48"/>
  <c r="AA80" i="48"/>
  <c r="AA78" i="48" s="1"/>
  <c r="AF78" i="48"/>
  <c r="E113" i="48" l="1"/>
  <c r="E80" i="48"/>
  <c r="E78" i="48" s="1"/>
  <c r="Y86" i="48"/>
  <c r="L113" i="48"/>
  <c r="L80" i="48"/>
  <c r="L78" i="48" s="1"/>
  <c r="O113" i="48"/>
  <c r="O80" i="48"/>
  <c r="O78" i="48" s="1"/>
  <c r="R113" i="48"/>
  <c r="R80" i="48"/>
  <c r="R78" i="48" s="1"/>
  <c r="H90" i="48"/>
  <c r="N90" i="48"/>
  <c r="N91" i="48"/>
  <c r="H91" i="48"/>
  <c r="AA83" i="48"/>
  <c r="AA86" i="48"/>
  <c r="AB83" i="48"/>
  <c r="AB86" i="48"/>
  <c r="Z83" i="48"/>
  <c r="Z86" i="48"/>
  <c r="AF83" i="48"/>
  <c r="AF86" i="48"/>
  <c r="AD83" i="48"/>
  <c r="AD86" i="48"/>
  <c r="E17" i="48"/>
  <c r="B50" i="48"/>
  <c r="A50" i="48"/>
  <c r="B16" i="48"/>
  <c r="A16" i="48"/>
  <c r="A23" i="48" s="1"/>
  <c r="B19" i="48"/>
  <c r="A19" i="48"/>
  <c r="F50" i="48"/>
  <c r="I50" i="48"/>
  <c r="J50" i="48"/>
  <c r="M50" i="48"/>
  <c r="N50" i="48"/>
  <c r="P50" i="48"/>
  <c r="Q50" i="48"/>
  <c r="R16" i="48"/>
  <c r="R23" i="48" s="1"/>
  <c r="U50" i="48"/>
  <c r="V50" i="48"/>
  <c r="X50" i="48"/>
  <c r="Y50" i="48"/>
  <c r="Z50" i="48"/>
  <c r="F13" i="48"/>
  <c r="F19" i="48" s="1"/>
  <c r="G13" i="48"/>
  <c r="G19" i="48" s="1"/>
  <c r="H13" i="48"/>
  <c r="H19" i="48" s="1"/>
  <c r="I13" i="48"/>
  <c r="I19" i="48" s="1"/>
  <c r="J13" i="48"/>
  <c r="J19" i="48" s="1"/>
  <c r="K13" i="48"/>
  <c r="K19" i="48" s="1"/>
  <c r="L13" i="48"/>
  <c r="L19" i="48" s="1"/>
  <c r="M13" i="48"/>
  <c r="M19" i="48" s="1"/>
  <c r="N13" i="48"/>
  <c r="N19" i="48" s="1"/>
  <c r="O13" i="48"/>
  <c r="O19" i="48" s="1"/>
  <c r="P13" i="48"/>
  <c r="P19" i="48" s="1"/>
  <c r="Q13" i="48"/>
  <c r="Q19" i="48" s="1"/>
  <c r="R13" i="48"/>
  <c r="R19" i="48" s="1"/>
  <c r="S13" i="48"/>
  <c r="S19" i="48" s="1"/>
  <c r="T13" i="48"/>
  <c r="T19" i="48" s="1"/>
  <c r="U13" i="48"/>
  <c r="U19" i="48" s="1"/>
  <c r="V13" i="48"/>
  <c r="V19" i="48" s="1"/>
  <c r="W13" i="48"/>
  <c r="W19" i="48" s="1"/>
  <c r="X13" i="48"/>
  <c r="X19" i="48" s="1"/>
  <c r="Y13" i="48"/>
  <c r="Y19" i="48" s="1"/>
  <c r="Z13" i="48"/>
  <c r="Z19" i="48" s="1"/>
  <c r="AA13" i="48"/>
  <c r="AA19" i="48" s="1"/>
  <c r="AB13" i="48"/>
  <c r="AB19" i="48" s="1"/>
  <c r="AC13" i="48"/>
  <c r="AC19" i="48" s="1"/>
  <c r="AD13" i="48"/>
  <c r="AD19" i="48" s="1"/>
  <c r="AE13" i="48"/>
  <c r="AE19" i="48" s="1"/>
  <c r="AF13" i="48"/>
  <c r="AF19" i="48" s="1"/>
  <c r="AG13" i="48"/>
  <c r="AH13" i="48"/>
  <c r="E19" i="48"/>
  <c r="F7" i="48"/>
  <c r="G7" i="48"/>
  <c r="H7" i="48"/>
  <c r="I7" i="48"/>
  <c r="J7" i="48"/>
  <c r="K7" i="48"/>
  <c r="L7" i="48"/>
  <c r="M7" i="48"/>
  <c r="N7" i="48"/>
  <c r="O7" i="48"/>
  <c r="P7" i="48"/>
  <c r="Q7" i="48"/>
  <c r="R7" i="48"/>
  <c r="S7" i="48"/>
  <c r="T7" i="48"/>
  <c r="U7" i="48"/>
  <c r="V7" i="48"/>
  <c r="W7" i="48"/>
  <c r="X7" i="48"/>
  <c r="Y7" i="48"/>
  <c r="Z7" i="48"/>
  <c r="AA7" i="48"/>
  <c r="AB7" i="48"/>
  <c r="AC7" i="48"/>
  <c r="AD7" i="48"/>
  <c r="AE7" i="48"/>
  <c r="AF7" i="48"/>
  <c r="AG7" i="48"/>
  <c r="E7" i="48"/>
  <c r="F51" i="48"/>
  <c r="G51" i="48"/>
  <c r="H51" i="48"/>
  <c r="I51" i="48"/>
  <c r="J51" i="48"/>
  <c r="K51" i="48"/>
  <c r="L51" i="48"/>
  <c r="M51" i="48"/>
  <c r="N51" i="48"/>
  <c r="O51" i="48"/>
  <c r="P51" i="48"/>
  <c r="Q51" i="48"/>
  <c r="R51" i="48"/>
  <c r="S51" i="48"/>
  <c r="T51" i="48"/>
  <c r="U51" i="48"/>
  <c r="V51" i="48"/>
  <c r="W51" i="48"/>
  <c r="X51" i="48"/>
  <c r="Y51" i="48"/>
  <c r="Z51" i="48"/>
  <c r="AA51" i="48"/>
  <c r="AB51" i="48"/>
  <c r="AC51" i="48"/>
  <c r="AD51" i="48"/>
  <c r="AE51" i="48"/>
  <c r="AF51" i="48"/>
  <c r="AG51" i="48"/>
  <c r="E51" i="48"/>
  <c r="F17" i="48"/>
  <c r="G17" i="48"/>
  <c r="H17" i="48"/>
  <c r="I17" i="48"/>
  <c r="J17" i="48"/>
  <c r="K17" i="48"/>
  <c r="L17" i="48"/>
  <c r="M17" i="48"/>
  <c r="N17" i="48"/>
  <c r="O17" i="48"/>
  <c r="P17" i="48"/>
  <c r="Q17" i="48"/>
  <c r="R17" i="48"/>
  <c r="S17" i="48"/>
  <c r="T17" i="48"/>
  <c r="U17" i="48"/>
  <c r="V17" i="48"/>
  <c r="W17" i="48"/>
  <c r="X17" i="48"/>
  <c r="Y17" i="48"/>
  <c r="Z17" i="48"/>
  <c r="AA17" i="48"/>
  <c r="AB17" i="48"/>
  <c r="AC17" i="48"/>
  <c r="AD17" i="48"/>
  <c r="AE17" i="48"/>
  <c r="AF17" i="48"/>
  <c r="AG17" i="48"/>
  <c r="AE16" i="48" l="1"/>
  <c r="AE23" i="48" s="1"/>
  <c r="AA16" i="48"/>
  <c r="AA23" i="48" s="1"/>
  <c r="BF161" i="34"/>
  <c r="V16" i="48"/>
  <c r="V23" i="48" s="1"/>
  <c r="N16" i="48"/>
  <c r="N23" i="48" s="1"/>
  <c r="F16" i="48"/>
  <c r="F23" i="48" s="1"/>
  <c r="U16" i="48"/>
  <c r="U23" i="48" s="1"/>
  <c r="M16" i="48"/>
  <c r="M23" i="48" s="1"/>
  <c r="R50" i="48"/>
  <c r="Z16" i="48"/>
  <c r="Z23" i="48" s="1"/>
  <c r="J16" i="48"/>
  <c r="J23" i="48" s="1"/>
  <c r="Y16" i="48"/>
  <c r="Y23" i="48" s="1"/>
  <c r="Q16" i="48"/>
  <c r="Q23" i="48" s="1"/>
  <c r="I16" i="48"/>
  <c r="I23" i="48" s="1"/>
  <c r="L300" i="48"/>
  <c r="L333" i="48"/>
  <c r="L262" i="48"/>
  <c r="L148" i="48"/>
  <c r="L232" i="48"/>
  <c r="L82" i="48"/>
  <c r="L175" i="48"/>
  <c r="L117" i="48"/>
  <c r="L204" i="48"/>
  <c r="W300" i="48"/>
  <c r="W333" i="48"/>
  <c r="W262" i="48"/>
  <c r="W148" i="48"/>
  <c r="W175" i="48"/>
  <c r="W117" i="48"/>
  <c r="W232" i="48"/>
  <c r="W204" i="48"/>
  <c r="W82" i="48"/>
  <c r="S300" i="48"/>
  <c r="S333" i="48"/>
  <c r="S262" i="48"/>
  <c r="S232" i="48"/>
  <c r="S175" i="48"/>
  <c r="S117" i="48"/>
  <c r="S148" i="48"/>
  <c r="S204" i="48"/>
  <c r="S82" i="48"/>
  <c r="O300" i="48"/>
  <c r="O333" i="48"/>
  <c r="O262" i="48"/>
  <c r="O148" i="48"/>
  <c r="O175" i="48"/>
  <c r="O117" i="48"/>
  <c r="O204" i="48"/>
  <c r="O82" i="48"/>
  <c r="O232" i="48"/>
  <c r="K300" i="48"/>
  <c r="K333" i="48"/>
  <c r="K262" i="48"/>
  <c r="K175" i="48"/>
  <c r="K117" i="48"/>
  <c r="K232" i="48"/>
  <c r="K204" i="48"/>
  <c r="K82" i="48"/>
  <c r="K148" i="48"/>
  <c r="G300" i="48"/>
  <c r="G333" i="48"/>
  <c r="G262" i="48"/>
  <c r="G148" i="48"/>
  <c r="G232" i="48"/>
  <c r="G175" i="48"/>
  <c r="G117" i="48"/>
  <c r="G204" i="48"/>
  <c r="G82" i="48"/>
  <c r="T333" i="48"/>
  <c r="T300" i="48"/>
  <c r="T262" i="48"/>
  <c r="T148" i="48"/>
  <c r="T232" i="48"/>
  <c r="T204" i="48"/>
  <c r="T175" i="48"/>
  <c r="T117" i="48"/>
  <c r="T82" i="48"/>
  <c r="H333" i="48"/>
  <c r="H300" i="48"/>
  <c r="H262" i="48"/>
  <c r="H148" i="48"/>
  <c r="H232" i="48"/>
  <c r="H204" i="48"/>
  <c r="H175" i="48"/>
  <c r="H117" i="48"/>
  <c r="H82" i="48"/>
  <c r="E300" i="48"/>
  <c r="E333" i="48"/>
  <c r="E262" i="48"/>
  <c r="E148" i="48"/>
  <c r="E232" i="48"/>
  <c r="E204" i="48"/>
  <c r="E82" i="48"/>
  <c r="E175" i="48"/>
  <c r="E117" i="48"/>
  <c r="Z300" i="48"/>
  <c r="Z333" i="48"/>
  <c r="Z262" i="48"/>
  <c r="Z175" i="48"/>
  <c r="Z117" i="48"/>
  <c r="Z204" i="48"/>
  <c r="Z82" i="48"/>
  <c r="Z148" i="48"/>
  <c r="Z232" i="48"/>
  <c r="V300" i="48"/>
  <c r="V333" i="48"/>
  <c r="V262" i="48"/>
  <c r="V175" i="48"/>
  <c r="V117" i="48"/>
  <c r="V204" i="48"/>
  <c r="V82" i="48"/>
  <c r="V148" i="48"/>
  <c r="V232" i="48"/>
  <c r="R300" i="48"/>
  <c r="R333" i="48"/>
  <c r="R262" i="48"/>
  <c r="R175" i="48"/>
  <c r="R117" i="48"/>
  <c r="R204" i="48"/>
  <c r="R82" i="48"/>
  <c r="R148" i="48"/>
  <c r="R232" i="48"/>
  <c r="N300" i="48"/>
  <c r="N333" i="48"/>
  <c r="N262" i="48"/>
  <c r="N175" i="48"/>
  <c r="N117" i="48"/>
  <c r="N204" i="48"/>
  <c r="N82" i="48"/>
  <c r="N148" i="48"/>
  <c r="N232" i="48"/>
  <c r="J300" i="48"/>
  <c r="J333" i="48"/>
  <c r="J262" i="48"/>
  <c r="J175" i="48"/>
  <c r="J117" i="48"/>
  <c r="J204" i="48"/>
  <c r="J82" i="48"/>
  <c r="J148" i="48"/>
  <c r="J232" i="48"/>
  <c r="F300" i="48"/>
  <c r="F333" i="48"/>
  <c r="F262" i="48"/>
  <c r="F175" i="48"/>
  <c r="F117" i="48"/>
  <c r="F204" i="48"/>
  <c r="F82" i="48"/>
  <c r="F148" i="48"/>
  <c r="F232" i="48"/>
  <c r="X16" i="48"/>
  <c r="X23" i="48" s="1"/>
  <c r="T16" i="48"/>
  <c r="T23" i="48" s="1"/>
  <c r="P16" i="48"/>
  <c r="P23" i="48" s="1"/>
  <c r="L16" i="48"/>
  <c r="L23" i="48" s="1"/>
  <c r="H16" i="48"/>
  <c r="H23" i="48" s="1"/>
  <c r="T50" i="48"/>
  <c r="L50" i="48"/>
  <c r="H50" i="48"/>
  <c r="X300" i="48"/>
  <c r="X333" i="48"/>
  <c r="X262" i="48"/>
  <c r="X148" i="48"/>
  <c r="X232" i="48"/>
  <c r="X82" i="48"/>
  <c r="X204" i="48"/>
  <c r="X175" i="48"/>
  <c r="X117" i="48"/>
  <c r="P333" i="48"/>
  <c r="P300" i="48"/>
  <c r="P262" i="48"/>
  <c r="P148" i="48"/>
  <c r="P232" i="48"/>
  <c r="P82" i="48"/>
  <c r="P204" i="48"/>
  <c r="P175" i="48"/>
  <c r="P117" i="48"/>
  <c r="Y333" i="48"/>
  <c r="Y300" i="48"/>
  <c r="Y262" i="48"/>
  <c r="Y204" i="48"/>
  <c r="Y82" i="48"/>
  <c r="Y148" i="48"/>
  <c r="Y232" i="48"/>
  <c r="Y117" i="48"/>
  <c r="Y175" i="48"/>
  <c r="U333" i="48"/>
  <c r="U300" i="48"/>
  <c r="U262" i="48"/>
  <c r="U204" i="48"/>
  <c r="U82" i="48"/>
  <c r="U117" i="48"/>
  <c r="U148" i="48"/>
  <c r="U232" i="48"/>
  <c r="U175" i="48"/>
  <c r="Q333" i="48"/>
  <c r="Q300" i="48"/>
  <c r="Q262" i="48"/>
  <c r="Q204" i="48"/>
  <c r="Q82" i="48"/>
  <c r="Q175" i="48"/>
  <c r="Q148" i="48"/>
  <c r="Q232" i="48"/>
  <c r="Q117" i="48"/>
  <c r="M333" i="48"/>
  <c r="M300" i="48"/>
  <c r="M262" i="48"/>
  <c r="M204" i="48"/>
  <c r="M82" i="48"/>
  <c r="M117" i="48"/>
  <c r="M148" i="48"/>
  <c r="M232" i="48"/>
  <c r="M175" i="48"/>
  <c r="I333" i="48"/>
  <c r="I300" i="48"/>
  <c r="I262" i="48"/>
  <c r="I204" i="48"/>
  <c r="I82" i="48"/>
  <c r="I148" i="48"/>
  <c r="I232" i="48"/>
  <c r="I117" i="48"/>
  <c r="I175" i="48"/>
  <c r="E16" i="48"/>
  <c r="E23" i="48" s="1"/>
  <c r="W16" i="48"/>
  <c r="W23" i="48" s="1"/>
  <c r="S16" i="48"/>
  <c r="S23" i="48" s="1"/>
  <c r="O16" i="48"/>
  <c r="O23" i="48" s="1"/>
  <c r="K16" i="48"/>
  <c r="K23" i="48" s="1"/>
  <c r="G16" i="48"/>
  <c r="G23" i="48" s="1"/>
  <c r="E50" i="48"/>
  <c r="W50" i="48"/>
  <c r="S50" i="48"/>
  <c r="O50" i="48"/>
  <c r="K50" i="48"/>
  <c r="G50" i="48"/>
  <c r="AD333" i="48"/>
  <c r="AD300" i="48"/>
  <c r="AD262" i="48"/>
  <c r="AD175" i="48"/>
  <c r="AD232" i="48"/>
  <c r="AD117" i="48"/>
  <c r="AD82" i="48"/>
  <c r="AD148" i="48"/>
  <c r="AD204" i="48"/>
  <c r="AD50" i="48"/>
  <c r="AG333" i="48"/>
  <c r="AJ83" i="36"/>
  <c r="AJ84" i="36"/>
  <c r="AG300" i="48"/>
  <c r="AG262" i="48"/>
  <c r="AG148" i="48"/>
  <c r="AG204" i="48"/>
  <c r="AG232" i="48"/>
  <c r="AG117" i="48"/>
  <c r="AG82" i="48"/>
  <c r="AG175" i="48"/>
  <c r="AC333" i="48"/>
  <c r="AC300" i="48"/>
  <c r="AC262" i="48"/>
  <c r="AC148" i="48"/>
  <c r="AC204" i="48"/>
  <c r="AC175" i="48"/>
  <c r="AC232" i="48"/>
  <c r="AC117" i="48"/>
  <c r="AC82" i="48"/>
  <c r="AD16" i="48"/>
  <c r="AD23" i="48" s="1"/>
  <c r="AG50" i="48"/>
  <c r="AC50" i="48"/>
  <c r="AF300" i="48"/>
  <c r="AF333" i="48"/>
  <c r="AF262" i="48"/>
  <c r="AF148" i="48"/>
  <c r="AF204" i="48"/>
  <c r="AF232" i="48"/>
  <c r="AF117" i="48"/>
  <c r="AF82" i="48"/>
  <c r="AF175" i="48"/>
  <c r="AB300" i="48"/>
  <c r="AB333" i="48"/>
  <c r="AB262" i="48"/>
  <c r="AB148" i="48"/>
  <c r="AB204" i="48"/>
  <c r="AB232" i="48"/>
  <c r="AB117" i="48"/>
  <c r="AB82" i="48"/>
  <c r="AB175" i="48"/>
  <c r="AG16" i="48"/>
  <c r="AC16" i="48"/>
  <c r="AC23" i="48" s="1"/>
  <c r="AF50" i="48"/>
  <c r="AB50" i="48"/>
  <c r="AE300" i="48"/>
  <c r="AE333" i="48"/>
  <c r="AE262" i="48"/>
  <c r="AE232" i="48"/>
  <c r="AE117" i="48"/>
  <c r="AE82" i="48"/>
  <c r="AE175" i="48"/>
  <c r="AE204" i="48"/>
  <c r="AE148" i="48"/>
  <c r="AA300" i="48"/>
  <c r="AA333" i="48"/>
  <c r="AA262" i="48"/>
  <c r="AA232" i="48"/>
  <c r="AA117" i="48"/>
  <c r="AA82" i="48"/>
  <c r="AA204" i="48"/>
  <c r="AA175" i="48"/>
  <c r="AA148" i="48"/>
  <c r="AF16" i="48"/>
  <c r="AF23" i="48" s="1"/>
  <c r="AB16" i="48"/>
  <c r="AB23" i="48" s="1"/>
  <c r="AE50" i="48"/>
  <c r="AA50" i="48"/>
  <c r="BN68" i="36"/>
  <c r="BN52" i="36"/>
  <c r="BN175" i="34"/>
  <c r="BN159" i="34"/>
  <c r="AX68" i="36"/>
  <c r="AX52" i="36"/>
  <c r="AX175" i="34"/>
  <c r="AX159" i="34"/>
  <c r="AL68" i="36"/>
  <c r="AL52" i="36"/>
  <c r="AL175" i="34"/>
  <c r="AL159" i="34"/>
  <c r="BG70" i="36"/>
  <c r="BG54" i="36"/>
  <c r="BG161" i="34"/>
  <c r="BG177" i="34"/>
  <c r="AU54" i="36"/>
  <c r="AU70" i="36"/>
  <c r="AU161" i="34"/>
  <c r="AU177" i="34"/>
  <c r="BP53" i="36"/>
  <c r="BP69" i="36"/>
  <c r="BP176" i="34"/>
  <c r="BP160" i="34"/>
  <c r="BH53" i="36"/>
  <c r="BH69" i="36"/>
  <c r="BH176" i="34"/>
  <c r="BH160" i="34"/>
  <c r="AZ53" i="36"/>
  <c r="AZ69" i="36"/>
  <c r="AZ176" i="34"/>
  <c r="AZ160" i="34"/>
  <c r="AJ53" i="36"/>
  <c r="AJ69" i="36"/>
  <c r="AJ160" i="34"/>
  <c r="AJ176" i="34"/>
  <c r="BL68" i="36"/>
  <c r="BL52" i="36"/>
  <c r="BL159" i="34"/>
  <c r="BL175" i="34"/>
  <c r="BH68" i="36"/>
  <c r="BH52" i="36"/>
  <c r="BH159" i="34"/>
  <c r="BH175" i="34"/>
  <c r="AZ68" i="36"/>
  <c r="AZ52" i="36"/>
  <c r="AZ159" i="34"/>
  <c r="AZ175" i="34"/>
  <c r="AR68" i="36"/>
  <c r="AR52" i="36"/>
  <c r="AR175" i="34"/>
  <c r="AR159" i="34"/>
  <c r="AJ68" i="36"/>
  <c r="AJ52" i="36"/>
  <c r="AJ159" i="34"/>
  <c r="AJ175" i="34"/>
  <c r="BI70" i="36"/>
  <c r="BI54" i="36"/>
  <c r="BI177" i="34"/>
  <c r="BI161" i="34"/>
  <c r="BA70" i="36"/>
  <c r="BA54" i="36"/>
  <c r="BA177" i="34"/>
  <c r="BA161" i="34"/>
  <c r="AS70" i="36"/>
  <c r="AS54" i="36"/>
  <c r="AS177" i="34"/>
  <c r="AS161" i="34"/>
  <c r="AK70" i="36"/>
  <c r="AK54" i="36"/>
  <c r="AK177" i="34"/>
  <c r="AK161" i="34"/>
  <c r="BJ69" i="36"/>
  <c r="BJ53" i="36"/>
  <c r="BJ160" i="34"/>
  <c r="BJ176" i="34"/>
  <c r="BB69" i="36"/>
  <c r="BB53" i="36"/>
  <c r="BB160" i="34"/>
  <c r="BB176" i="34"/>
  <c r="AT69" i="36"/>
  <c r="AT53" i="36"/>
  <c r="AT160" i="34"/>
  <c r="AT176" i="34"/>
  <c r="AL69" i="36"/>
  <c r="AL53" i="36"/>
  <c r="AL160" i="34"/>
  <c r="AL176" i="34"/>
  <c r="BF52" i="36"/>
  <c r="BF68" i="36"/>
  <c r="BF159" i="34"/>
  <c r="BF175" i="34"/>
  <c r="AT68" i="36"/>
  <c r="AT52" i="36"/>
  <c r="AT175" i="34"/>
  <c r="AT159" i="34"/>
  <c r="BO70" i="36"/>
  <c r="BO54" i="36"/>
  <c r="BO161" i="34"/>
  <c r="BO177" i="34"/>
  <c r="BC54" i="36"/>
  <c r="BC70" i="36"/>
  <c r="BC161" i="34"/>
  <c r="BC177" i="34"/>
  <c r="AM70" i="36"/>
  <c r="AM54" i="36"/>
  <c r="AM161" i="34"/>
  <c r="AM177" i="34"/>
  <c r="AR69" i="36"/>
  <c r="AR53" i="36"/>
  <c r="AR176" i="34"/>
  <c r="AR160" i="34"/>
  <c r="BP68" i="36"/>
  <c r="BP52" i="36"/>
  <c r="BP159" i="34"/>
  <c r="BP175" i="34"/>
  <c r="BD68" i="36"/>
  <c r="BD52" i="36"/>
  <c r="BD175" i="34"/>
  <c r="BD159" i="34"/>
  <c r="AV68" i="36"/>
  <c r="AV52" i="36"/>
  <c r="AV159" i="34"/>
  <c r="AV175" i="34"/>
  <c r="AN68" i="36"/>
  <c r="AN52" i="36"/>
  <c r="AN175" i="34"/>
  <c r="AN159" i="34"/>
  <c r="BM70" i="36"/>
  <c r="BM54" i="36"/>
  <c r="BM177" i="34"/>
  <c r="BM161" i="34"/>
  <c r="BE54" i="36"/>
  <c r="BE70" i="36"/>
  <c r="BE161" i="34"/>
  <c r="BE177" i="34"/>
  <c r="AW70" i="36"/>
  <c r="AW54" i="36"/>
  <c r="AW177" i="34"/>
  <c r="AW161" i="34"/>
  <c r="AO70" i="36"/>
  <c r="AO54" i="36"/>
  <c r="AO161" i="34"/>
  <c r="AO177" i="34"/>
  <c r="BN69" i="36"/>
  <c r="BN53" i="36"/>
  <c r="BN160" i="34"/>
  <c r="BN176" i="34"/>
  <c r="BF69" i="36"/>
  <c r="BF53" i="36"/>
  <c r="BF160" i="34"/>
  <c r="BF176" i="34"/>
  <c r="AX69" i="36"/>
  <c r="AX53" i="36"/>
  <c r="AX160" i="34"/>
  <c r="AX176" i="34"/>
  <c r="AP53" i="36"/>
  <c r="AP69" i="36"/>
  <c r="AP160" i="34"/>
  <c r="AP176" i="34"/>
  <c r="BO68" i="36"/>
  <c r="BO52" i="36"/>
  <c r="BO175" i="34"/>
  <c r="BO159" i="34"/>
  <c r="BK68" i="36"/>
  <c r="BK52" i="36"/>
  <c r="BK175" i="34"/>
  <c r="BK159" i="34"/>
  <c r="BG68" i="36"/>
  <c r="BG52" i="36"/>
  <c r="BG175" i="34"/>
  <c r="BG159" i="34"/>
  <c r="BC68" i="36"/>
  <c r="BC52" i="36"/>
  <c r="BC159" i="34"/>
  <c r="BC175" i="34"/>
  <c r="AY68" i="36"/>
  <c r="AY52" i="36"/>
  <c r="AY159" i="34"/>
  <c r="AY175" i="34"/>
  <c r="AU52" i="36"/>
  <c r="AU68" i="36"/>
  <c r="AU175" i="34"/>
  <c r="AU159" i="34"/>
  <c r="AQ68" i="36"/>
  <c r="AQ52" i="36"/>
  <c r="AQ175" i="34"/>
  <c r="AQ159" i="34"/>
  <c r="AM68" i="36"/>
  <c r="AM52" i="36"/>
  <c r="AM175" i="34"/>
  <c r="AM159" i="34"/>
  <c r="BP54" i="36"/>
  <c r="BP70" i="36"/>
  <c r="BP161" i="34"/>
  <c r="BP177" i="34"/>
  <c r="BL70" i="36"/>
  <c r="BL54" i="36"/>
  <c r="BL161" i="34"/>
  <c r="BL177" i="34"/>
  <c r="BH70" i="36"/>
  <c r="BH54" i="36"/>
  <c r="BH161" i="34"/>
  <c r="BH177" i="34"/>
  <c r="BD70" i="36"/>
  <c r="BD54" i="36"/>
  <c r="BD161" i="34"/>
  <c r="BD177" i="34"/>
  <c r="AZ70" i="36"/>
  <c r="AZ54" i="36"/>
  <c r="AZ177" i="34"/>
  <c r="AZ161" i="34"/>
  <c r="AV70" i="36"/>
  <c r="AV54" i="36"/>
  <c r="AV177" i="34"/>
  <c r="AV161" i="34"/>
  <c r="AR54" i="36"/>
  <c r="AR70" i="36"/>
  <c r="AR161" i="34"/>
  <c r="AR177" i="34"/>
  <c r="AN70" i="36"/>
  <c r="AN54" i="36"/>
  <c r="AN177" i="34"/>
  <c r="AN161" i="34"/>
  <c r="AJ54" i="36"/>
  <c r="AJ70" i="36"/>
  <c r="AJ161" i="34"/>
  <c r="AJ177" i="34"/>
  <c r="BM69" i="36"/>
  <c r="BM53" i="36"/>
  <c r="BM176" i="34"/>
  <c r="BM160" i="34"/>
  <c r="BI69" i="36"/>
  <c r="BI53" i="36"/>
  <c r="BI176" i="34"/>
  <c r="BI160" i="34"/>
  <c r="BE69" i="36"/>
  <c r="BE53" i="36"/>
  <c r="BE160" i="34"/>
  <c r="BE176" i="34"/>
  <c r="BA69" i="36"/>
  <c r="BA53" i="36"/>
  <c r="BA160" i="34"/>
  <c r="BA176" i="34"/>
  <c r="AW69" i="36"/>
  <c r="AW53" i="36"/>
  <c r="AW176" i="34"/>
  <c r="AW160" i="34"/>
  <c r="AS69" i="36"/>
  <c r="AS53" i="36"/>
  <c r="AS160" i="34"/>
  <c r="AS176" i="34"/>
  <c r="AO69" i="36"/>
  <c r="AO53" i="36"/>
  <c r="AO160" i="34"/>
  <c r="AO176" i="34"/>
  <c r="AK69" i="36"/>
  <c r="AK53" i="36"/>
  <c r="AK160" i="34"/>
  <c r="AK176" i="34"/>
  <c r="BJ68" i="36"/>
  <c r="BJ52" i="36"/>
  <c r="BJ159" i="34"/>
  <c r="BJ175" i="34"/>
  <c r="BB68" i="36"/>
  <c r="BB52" i="36"/>
  <c r="BB159" i="34"/>
  <c r="BB175" i="34"/>
  <c r="AP68" i="36"/>
  <c r="AP52" i="36"/>
  <c r="AP159" i="34"/>
  <c r="AP175" i="34"/>
  <c r="BK54" i="36"/>
  <c r="BK70" i="36"/>
  <c r="BK161" i="34"/>
  <c r="BK177" i="34"/>
  <c r="AY70" i="36"/>
  <c r="AY54" i="36"/>
  <c r="AY177" i="34"/>
  <c r="AY161" i="34"/>
  <c r="AQ70" i="36"/>
  <c r="AQ54" i="36"/>
  <c r="AQ161" i="34"/>
  <c r="AQ177" i="34"/>
  <c r="BL69" i="36"/>
  <c r="BL53" i="36"/>
  <c r="BL160" i="34"/>
  <c r="BL176" i="34"/>
  <c r="BD69" i="36"/>
  <c r="BD53" i="36"/>
  <c r="BD176" i="34"/>
  <c r="BD160" i="34"/>
  <c r="AV69" i="36"/>
  <c r="AV53" i="36"/>
  <c r="AV176" i="34"/>
  <c r="AV160" i="34"/>
  <c r="AN69" i="36"/>
  <c r="AN53" i="36"/>
  <c r="AN160" i="34"/>
  <c r="AN176" i="34"/>
  <c r="BM68" i="36"/>
  <c r="BM52" i="36"/>
  <c r="BM175" i="34"/>
  <c r="BM159" i="34"/>
  <c r="BI68" i="36"/>
  <c r="BI52" i="36"/>
  <c r="BI159" i="34"/>
  <c r="BI175" i="34"/>
  <c r="BE68" i="36"/>
  <c r="BE52" i="36"/>
  <c r="BE159" i="34"/>
  <c r="BE175" i="34"/>
  <c r="BA52" i="36"/>
  <c r="BA68" i="36"/>
  <c r="BA159" i="34"/>
  <c r="BA175" i="34"/>
  <c r="AW68" i="36"/>
  <c r="AW52" i="36"/>
  <c r="AW159" i="34"/>
  <c r="AW175" i="34"/>
  <c r="AS52" i="36"/>
  <c r="AS68" i="36"/>
  <c r="AS159" i="34"/>
  <c r="AS175" i="34"/>
  <c r="AO68" i="36"/>
  <c r="AO52" i="36"/>
  <c r="AO159" i="34"/>
  <c r="AO175" i="34"/>
  <c r="AK52" i="36"/>
  <c r="AK68" i="36"/>
  <c r="AK159" i="34"/>
  <c r="AK175" i="34"/>
  <c r="BN70" i="36"/>
  <c r="BN54" i="36"/>
  <c r="BN161" i="34"/>
  <c r="BN177" i="34"/>
  <c r="BJ70" i="36"/>
  <c r="BJ54" i="36"/>
  <c r="BJ161" i="34"/>
  <c r="BJ177" i="34"/>
  <c r="BB70" i="36"/>
  <c r="BB54" i="36"/>
  <c r="BB161" i="34"/>
  <c r="BB177" i="34"/>
  <c r="AX70" i="36"/>
  <c r="AX54" i="36"/>
  <c r="AX161" i="34"/>
  <c r="AX177" i="34"/>
  <c r="AT70" i="36"/>
  <c r="AT54" i="36"/>
  <c r="AT161" i="34"/>
  <c r="AT177" i="34"/>
  <c r="AP70" i="36"/>
  <c r="AP54" i="36"/>
  <c r="AP161" i="34"/>
  <c r="AP177" i="34"/>
  <c r="AL70" i="36"/>
  <c r="AL54" i="36"/>
  <c r="AL161" i="34"/>
  <c r="AL177" i="34"/>
  <c r="BO69" i="36"/>
  <c r="BO53" i="36"/>
  <c r="BO176" i="34"/>
  <c r="BO160" i="34"/>
  <c r="BK53" i="36"/>
  <c r="BK69" i="36"/>
  <c r="BK160" i="34"/>
  <c r="BK176" i="34"/>
  <c r="BG69" i="36"/>
  <c r="BG53" i="36"/>
  <c r="BG176" i="34"/>
  <c r="BG160" i="34"/>
  <c r="BC69" i="36"/>
  <c r="BC53" i="36"/>
  <c r="BC160" i="34"/>
  <c r="BC176" i="34"/>
  <c r="AY69" i="36"/>
  <c r="AY53" i="36"/>
  <c r="AY160" i="34"/>
  <c r="AY176" i="34"/>
  <c r="AU69" i="36"/>
  <c r="AU53" i="36"/>
  <c r="AU176" i="34"/>
  <c r="AU160" i="34"/>
  <c r="AQ69" i="36"/>
  <c r="AQ53" i="36"/>
  <c r="AQ160" i="34"/>
  <c r="AQ176" i="34"/>
  <c r="AM69" i="36"/>
  <c r="AM53" i="36"/>
  <c r="AM176" i="34"/>
  <c r="AM160" i="34"/>
  <c r="BF54" i="36" l="1"/>
  <c r="BF177" i="34"/>
  <c r="BF70" i="36"/>
  <c r="BF111" i="34" s="1"/>
  <c r="C26" i="48"/>
  <c r="C27" i="48"/>
  <c r="AM94" i="34"/>
  <c r="AU94" i="34"/>
  <c r="BC94" i="34"/>
  <c r="BK110" i="34"/>
  <c r="AL95" i="34"/>
  <c r="AT95" i="34"/>
  <c r="BB95" i="34"/>
  <c r="BJ95" i="34"/>
  <c r="AO93" i="34"/>
  <c r="AW93" i="34"/>
  <c r="BE93" i="34"/>
  <c r="BM93" i="34"/>
  <c r="AV94" i="34"/>
  <c r="BD94" i="34"/>
  <c r="BL94" i="34"/>
  <c r="AQ95" i="34"/>
  <c r="AY95" i="34"/>
  <c r="BK111" i="34"/>
  <c r="AP93" i="34"/>
  <c r="BB93" i="34"/>
  <c r="AK94" i="34"/>
  <c r="AO94" i="34"/>
  <c r="AS94" i="34"/>
  <c r="AW94" i="34"/>
  <c r="BA94" i="34"/>
  <c r="BE94" i="34"/>
  <c r="BI94" i="34"/>
  <c r="AN95" i="34"/>
  <c r="AR111" i="34"/>
  <c r="AZ95" i="34"/>
  <c r="BH95" i="34"/>
  <c r="BP111" i="34"/>
  <c r="AQ93" i="34"/>
  <c r="AU109" i="34"/>
  <c r="BC93" i="34"/>
  <c r="BK93" i="34"/>
  <c r="AP110" i="34"/>
  <c r="BF94" i="34"/>
  <c r="AO95" i="34"/>
  <c r="BM95" i="34"/>
  <c r="AV93" i="34"/>
  <c r="BP93" i="34"/>
  <c r="AM95" i="34"/>
  <c r="BO95" i="34"/>
  <c r="BF109" i="34"/>
  <c r="AL94" i="34"/>
  <c r="BB94" i="34"/>
  <c r="AK95" i="34"/>
  <c r="AS95" i="34"/>
  <c r="BI95" i="34"/>
  <c r="AR93" i="34"/>
  <c r="AZ93" i="34"/>
  <c r="BH93" i="34"/>
  <c r="BL93" i="34"/>
  <c r="AZ110" i="34"/>
  <c r="BH110" i="34"/>
  <c r="BP110" i="34"/>
  <c r="AU111" i="34"/>
  <c r="BG95" i="34"/>
  <c r="AL93" i="34"/>
  <c r="AX93" i="34"/>
  <c r="BN93" i="34"/>
  <c r="AM110" i="34"/>
  <c r="AQ110" i="34"/>
  <c r="AU110" i="34"/>
  <c r="AY110" i="34"/>
  <c r="BC110" i="34"/>
  <c r="BG110" i="34"/>
  <c r="BK94" i="34"/>
  <c r="BO110" i="34"/>
  <c r="AL111" i="34"/>
  <c r="AP111" i="34"/>
  <c r="AT111" i="34"/>
  <c r="AX111" i="34"/>
  <c r="BB111" i="34"/>
  <c r="BJ111" i="34"/>
  <c r="AK93" i="34"/>
  <c r="AO109" i="34"/>
  <c r="AW109" i="34"/>
  <c r="BE109" i="34"/>
  <c r="BM109" i="34"/>
  <c r="AV110" i="34"/>
  <c r="BL110" i="34"/>
  <c r="AY111" i="34"/>
  <c r="AP109" i="34"/>
  <c r="BB109" i="34"/>
  <c r="AK110" i="34"/>
  <c r="AW110" i="34"/>
  <c r="BE110" i="34"/>
  <c r="BM110" i="34"/>
  <c r="AR95" i="34"/>
  <c r="BD111" i="34"/>
  <c r="BP95" i="34"/>
  <c r="AU93" i="34"/>
  <c r="BC109" i="34"/>
  <c r="BK109" i="34"/>
  <c r="BO109" i="34"/>
  <c r="AX110" i="34"/>
  <c r="BN110" i="34"/>
  <c r="BE95" i="34"/>
  <c r="AN109" i="34"/>
  <c r="AV109" i="34"/>
  <c r="BP109" i="34"/>
  <c r="AR110" i="34"/>
  <c r="AM111" i="34"/>
  <c r="BO111" i="34"/>
  <c r="AT109" i="34"/>
  <c r="BF93" i="34"/>
  <c r="AL110" i="34"/>
  <c r="AT110" i="34"/>
  <c r="BJ110" i="34"/>
  <c r="AK111" i="34"/>
  <c r="AS111" i="34"/>
  <c r="BA111" i="34"/>
  <c r="BI111" i="34"/>
  <c r="AR109" i="34"/>
  <c r="AZ109" i="34"/>
  <c r="BH109" i="34"/>
  <c r="BL109" i="34"/>
  <c r="AZ94" i="34"/>
  <c r="BH94" i="34"/>
  <c r="BP94" i="34"/>
  <c r="AU95" i="34"/>
  <c r="BG111" i="34"/>
  <c r="AL109" i="34"/>
  <c r="AX109" i="34"/>
  <c r="BN109" i="34"/>
  <c r="AQ94" i="34"/>
  <c r="AY94" i="34"/>
  <c r="BG94" i="34"/>
  <c r="BO94" i="34"/>
  <c r="AP95" i="34"/>
  <c r="AX95" i="34"/>
  <c r="BF95" i="34"/>
  <c r="BN95" i="34"/>
  <c r="AK109" i="34"/>
  <c r="AS109" i="34"/>
  <c r="BA109" i="34"/>
  <c r="BI93" i="34"/>
  <c r="AN94" i="34"/>
  <c r="BJ93" i="34"/>
  <c r="BM94" i="34"/>
  <c r="AV95" i="34"/>
  <c r="BD95" i="34"/>
  <c r="BL95" i="34"/>
  <c r="AM93" i="34"/>
  <c r="AY93" i="34"/>
  <c r="BG93" i="34"/>
  <c r="BO93" i="34"/>
  <c r="AX94" i="34"/>
  <c r="BN94" i="34"/>
  <c r="AW95" i="34"/>
  <c r="BE111" i="34"/>
  <c r="AN93" i="34"/>
  <c r="BD93" i="34"/>
  <c r="AR94" i="34"/>
  <c r="BC111" i="34"/>
  <c r="AT93" i="34"/>
  <c r="AT94" i="34"/>
  <c r="BJ94" i="34"/>
  <c r="BA95" i="34"/>
  <c r="BN111" i="34"/>
  <c r="AS93" i="34"/>
  <c r="BA93" i="34"/>
  <c r="BI109" i="34"/>
  <c r="AN110" i="34"/>
  <c r="BD110" i="34"/>
  <c r="AQ111" i="34"/>
  <c r="BK95" i="34"/>
  <c r="BJ109" i="34"/>
  <c r="AO110" i="34"/>
  <c r="AS110" i="34"/>
  <c r="BA110" i="34"/>
  <c r="BI110" i="34"/>
  <c r="AN111" i="34"/>
  <c r="AV111" i="34"/>
  <c r="AZ111" i="34"/>
  <c r="BH111" i="34"/>
  <c r="BL111" i="34"/>
  <c r="AM109" i="34"/>
  <c r="AQ109" i="34"/>
  <c r="AY109" i="34"/>
  <c r="BG109" i="34"/>
  <c r="AP94" i="34"/>
  <c r="BF110" i="34"/>
  <c r="AO111" i="34"/>
  <c r="AW111" i="34"/>
  <c r="BM111" i="34"/>
  <c r="BD109" i="34"/>
  <c r="BC95" i="34"/>
  <c r="BB110" i="34"/>
  <c r="AJ93" i="34"/>
  <c r="AJ109" i="34"/>
  <c r="AJ111" i="34"/>
  <c r="AJ110" i="34"/>
  <c r="AJ95" i="34"/>
  <c r="AJ94" i="34"/>
  <c r="C128" i="48"/>
  <c r="C127" i="48"/>
  <c r="B90" i="48"/>
  <c r="B91" i="48"/>
  <c r="B56" i="48"/>
  <c r="B55" i="48"/>
  <c r="L76" i="36"/>
  <c r="L60" i="36"/>
  <c r="L167" i="34"/>
  <c r="L183" i="34"/>
  <c r="X60" i="36"/>
  <c r="X76" i="36"/>
  <c r="X183" i="34"/>
  <c r="X167" i="34"/>
  <c r="R183" i="34"/>
  <c r="R167" i="34"/>
  <c r="R60" i="36"/>
  <c r="R76" i="36"/>
  <c r="V167" i="34"/>
  <c r="V60" i="36"/>
  <c r="V183" i="34"/>
  <c r="V76" i="36"/>
  <c r="Z167" i="34"/>
  <c r="Z183" i="34"/>
  <c r="Z60" i="36"/>
  <c r="Z76" i="36"/>
  <c r="H167" i="34"/>
  <c r="H76" i="36"/>
  <c r="H183" i="34"/>
  <c r="H60" i="36"/>
  <c r="J183" i="34"/>
  <c r="J167" i="34"/>
  <c r="J60" i="36"/>
  <c r="J76" i="36"/>
  <c r="P60" i="36"/>
  <c r="P76" i="36"/>
  <c r="P167" i="34"/>
  <c r="P183" i="34"/>
  <c r="T167" i="34"/>
  <c r="T60" i="36"/>
  <c r="T76" i="36"/>
  <c r="T183" i="34"/>
  <c r="S76" i="36"/>
  <c r="S60" i="36"/>
  <c r="S167" i="34"/>
  <c r="S183" i="34"/>
  <c r="AA76" i="36"/>
  <c r="AA183" i="34"/>
  <c r="AA167" i="34"/>
  <c r="AA60" i="36"/>
  <c r="N183" i="34"/>
  <c r="N76" i="36"/>
  <c r="N167" i="34"/>
  <c r="N60" i="36"/>
  <c r="AB167" i="34"/>
  <c r="AB76" i="36"/>
  <c r="AB183" i="34"/>
  <c r="AB60" i="36"/>
  <c r="I167" i="34"/>
  <c r="I183" i="34"/>
  <c r="I76" i="36"/>
  <c r="I60" i="36"/>
  <c r="M60" i="36"/>
  <c r="M167" i="34"/>
  <c r="M76" i="36"/>
  <c r="M183" i="34"/>
  <c r="Q167" i="34"/>
  <c r="Q60" i="36"/>
  <c r="Q76" i="36"/>
  <c r="Q183" i="34"/>
  <c r="U183" i="34"/>
  <c r="U167" i="34"/>
  <c r="U76" i="36"/>
  <c r="U60" i="36"/>
  <c r="Y167" i="34"/>
  <c r="Y183" i="34"/>
  <c r="Y76" i="36"/>
  <c r="Y60" i="36"/>
  <c r="AC60" i="36"/>
  <c r="AC183" i="34"/>
  <c r="AC76" i="36"/>
  <c r="AC167" i="34"/>
  <c r="K60" i="36"/>
  <c r="K183" i="34"/>
  <c r="K167" i="34"/>
  <c r="K76" i="36"/>
  <c r="W167" i="34"/>
  <c r="W183" i="34"/>
  <c r="W60" i="36"/>
  <c r="W76" i="36"/>
  <c r="O76" i="36"/>
  <c r="O60" i="36"/>
  <c r="O183" i="34"/>
  <c r="O167" i="34"/>
  <c r="AD183" i="34"/>
  <c r="AD76" i="36"/>
  <c r="AD60" i="36"/>
  <c r="AD167" i="34"/>
  <c r="AE183" i="34"/>
  <c r="AE167" i="34"/>
  <c r="AE60" i="36"/>
  <c r="AE76" i="36"/>
  <c r="AI167" i="34"/>
  <c r="AI76" i="36"/>
  <c r="AI60" i="36"/>
  <c r="AI183" i="34"/>
  <c r="B179" i="48"/>
  <c r="B178" i="48"/>
  <c r="C273" i="48"/>
  <c r="C274" i="48"/>
  <c r="AH167" i="34"/>
  <c r="AH76" i="36"/>
  <c r="AH60" i="36"/>
  <c r="AH183" i="34"/>
  <c r="AF76" i="36"/>
  <c r="AF167" i="34"/>
  <c r="AF183" i="34"/>
  <c r="AF60" i="36"/>
  <c r="AG167" i="34"/>
  <c r="AG183" i="34"/>
  <c r="AG60" i="36"/>
  <c r="AG76" i="36"/>
  <c r="E270" i="48" l="1"/>
  <c r="AE117" i="34"/>
  <c r="W117" i="34"/>
  <c r="N101" i="34"/>
  <c r="AG101" i="34"/>
  <c r="AC117" i="34"/>
  <c r="J101" i="34"/>
  <c r="Z101" i="34"/>
  <c r="R101" i="34"/>
  <c r="AG117" i="34"/>
  <c r="AF101" i="34"/>
  <c r="AB101" i="34"/>
  <c r="H101" i="34"/>
  <c r="AI101" i="34"/>
  <c r="AD101" i="34"/>
  <c r="W101" i="34"/>
  <c r="Y117" i="34"/>
  <c r="Q117" i="34"/>
  <c r="I117" i="34"/>
  <c r="T117" i="34"/>
  <c r="AH117" i="34"/>
  <c r="AI117" i="34"/>
  <c r="AD117" i="34"/>
  <c r="O101" i="34"/>
  <c r="Q101" i="34"/>
  <c r="AB117" i="34"/>
  <c r="N117" i="34"/>
  <c r="S101" i="34"/>
  <c r="T101" i="34"/>
  <c r="P117" i="34"/>
  <c r="H117" i="34"/>
  <c r="V101" i="34"/>
  <c r="X117" i="34"/>
  <c r="L101" i="34"/>
  <c r="K117" i="34"/>
  <c r="Y101" i="34"/>
  <c r="U101" i="34"/>
  <c r="I101" i="34"/>
  <c r="AA101" i="34"/>
  <c r="J117" i="34"/>
  <c r="Z117" i="34"/>
  <c r="V117" i="34"/>
  <c r="R117" i="34"/>
  <c r="AH101" i="34"/>
  <c r="AE101" i="34"/>
  <c r="U117" i="34"/>
  <c r="M117" i="34"/>
  <c r="AF117" i="34"/>
  <c r="O117" i="34"/>
  <c r="K101" i="34"/>
  <c r="AC101" i="34"/>
  <c r="M101" i="34"/>
  <c r="AA117" i="34"/>
  <c r="S117" i="34"/>
  <c r="P101" i="34"/>
  <c r="X101" i="34"/>
  <c r="L117" i="34"/>
  <c r="Q72" i="36"/>
  <c r="AB72" i="36"/>
  <c r="S179" i="34"/>
  <c r="AE163" i="34"/>
  <c r="O72" i="36"/>
  <c r="O171" i="34"/>
  <c r="O187" i="34"/>
  <c r="O80" i="36"/>
  <c r="O64" i="36"/>
  <c r="Z81" i="36"/>
  <c r="Z65" i="36"/>
  <c r="Z172" i="34"/>
  <c r="Z188" i="34"/>
  <c r="W171" i="34"/>
  <c r="W187" i="34"/>
  <c r="W80" i="36"/>
  <c r="W64" i="36"/>
  <c r="S80" i="36"/>
  <c r="S171" i="34"/>
  <c r="S187" i="34"/>
  <c r="S64" i="36"/>
  <c r="W172" i="34"/>
  <c r="W65" i="36"/>
  <c r="W188" i="34"/>
  <c r="W81" i="36"/>
  <c r="R188" i="34"/>
  <c r="R81" i="36"/>
  <c r="R172" i="34"/>
  <c r="R65" i="36"/>
  <c r="J172" i="34"/>
  <c r="J81" i="36"/>
  <c r="J188" i="34"/>
  <c r="J65" i="36"/>
  <c r="AA187" i="34"/>
  <c r="AA80" i="36"/>
  <c r="AA171" i="34"/>
  <c r="AA64" i="36"/>
  <c r="AC171" i="34"/>
  <c r="AC64" i="36"/>
  <c r="AC187" i="34"/>
  <c r="AC80" i="36"/>
  <c r="Y187" i="34"/>
  <c r="Y64" i="36"/>
  <c r="Y171" i="34"/>
  <c r="Y80" i="36"/>
  <c r="U65" i="36"/>
  <c r="U172" i="34"/>
  <c r="U81" i="36"/>
  <c r="U188" i="34"/>
  <c r="Q171" i="34"/>
  <c r="Q64" i="36"/>
  <c r="Q187" i="34"/>
  <c r="Q80" i="36"/>
  <c r="T80" i="36"/>
  <c r="T171" i="34"/>
  <c r="T187" i="34"/>
  <c r="T64" i="36"/>
  <c r="S188" i="34"/>
  <c r="S172" i="34"/>
  <c r="S81" i="36"/>
  <c r="S65" i="36"/>
  <c r="X172" i="34"/>
  <c r="X188" i="34"/>
  <c r="X65" i="36"/>
  <c r="X81" i="36"/>
  <c r="N171" i="34"/>
  <c r="N187" i="34"/>
  <c r="N80" i="36"/>
  <c r="N64" i="36"/>
  <c r="H80" i="36"/>
  <c r="H171" i="34"/>
  <c r="H64" i="36"/>
  <c r="H187" i="34"/>
  <c r="X80" i="36"/>
  <c r="X64" i="36"/>
  <c r="X171" i="34"/>
  <c r="X187" i="34"/>
  <c r="K81" i="36"/>
  <c r="K65" i="36"/>
  <c r="K188" i="34"/>
  <c r="K172" i="34"/>
  <c r="L65" i="36"/>
  <c r="L81" i="36"/>
  <c r="L188" i="34"/>
  <c r="L172" i="34"/>
  <c r="AC172" i="34"/>
  <c r="AC188" i="34"/>
  <c r="AC65" i="36"/>
  <c r="AC81" i="36"/>
  <c r="R171" i="34"/>
  <c r="R187" i="34"/>
  <c r="R80" i="36"/>
  <c r="R64" i="36"/>
  <c r="J171" i="34"/>
  <c r="J187" i="34"/>
  <c r="J80" i="36"/>
  <c r="J64" i="36"/>
  <c r="H172" i="34"/>
  <c r="H65" i="36"/>
  <c r="H81" i="36"/>
  <c r="H188" i="34"/>
  <c r="M80" i="36"/>
  <c r="M171" i="34"/>
  <c r="M64" i="36"/>
  <c r="M187" i="34"/>
  <c r="I64" i="36"/>
  <c r="I171" i="34"/>
  <c r="I187" i="34"/>
  <c r="I80" i="36"/>
  <c r="P64" i="36"/>
  <c r="P171" i="34"/>
  <c r="P80" i="36"/>
  <c r="P187" i="34"/>
  <c r="I172" i="34"/>
  <c r="I65" i="36"/>
  <c r="I81" i="36"/>
  <c r="I188" i="34"/>
  <c r="AA172" i="34"/>
  <c r="AA188" i="34"/>
  <c r="AA65" i="36"/>
  <c r="AA81" i="36"/>
  <c r="Q188" i="34"/>
  <c r="Q81" i="36"/>
  <c r="Q65" i="36"/>
  <c r="Q172" i="34"/>
  <c r="P81" i="36"/>
  <c r="P65" i="36"/>
  <c r="P172" i="34"/>
  <c r="P188" i="34"/>
  <c r="V171" i="34"/>
  <c r="V187" i="34"/>
  <c r="V80" i="36"/>
  <c r="V64" i="36"/>
  <c r="R179" i="34"/>
  <c r="Z187" i="34"/>
  <c r="Z171" i="34"/>
  <c r="Z80" i="36"/>
  <c r="Z64" i="36"/>
  <c r="V188" i="34"/>
  <c r="V172" i="34"/>
  <c r="V81" i="36"/>
  <c r="V65" i="36"/>
  <c r="N188" i="34"/>
  <c r="N172" i="34"/>
  <c r="N65" i="36"/>
  <c r="N81" i="36"/>
  <c r="K187" i="34"/>
  <c r="K171" i="34"/>
  <c r="K64" i="36"/>
  <c r="K80" i="36"/>
  <c r="U171" i="34"/>
  <c r="U64" i="36"/>
  <c r="U187" i="34"/>
  <c r="U80" i="36"/>
  <c r="M65" i="36"/>
  <c r="M172" i="34"/>
  <c r="M188" i="34"/>
  <c r="M81" i="36"/>
  <c r="AB80" i="36"/>
  <c r="AB187" i="34"/>
  <c r="AB64" i="36"/>
  <c r="AB171" i="34"/>
  <c r="L64" i="36"/>
  <c r="L80" i="36"/>
  <c r="L171" i="34"/>
  <c r="L187" i="34"/>
  <c r="O188" i="34"/>
  <c r="O172" i="34"/>
  <c r="O65" i="36"/>
  <c r="O81" i="36"/>
  <c r="AB188" i="34"/>
  <c r="AB81" i="36"/>
  <c r="AB65" i="36"/>
  <c r="AB172" i="34"/>
  <c r="T81" i="36"/>
  <c r="T188" i="34"/>
  <c r="T65" i="36"/>
  <c r="T172" i="34"/>
  <c r="Y172" i="34"/>
  <c r="Y65" i="36"/>
  <c r="Y188" i="34"/>
  <c r="Y81" i="36"/>
  <c r="AA163" i="34"/>
  <c r="V163" i="34"/>
  <c r="F270" i="48"/>
  <c r="V270" i="48"/>
  <c r="G270" i="48"/>
  <c r="W270" i="48"/>
  <c r="Y270" i="48"/>
  <c r="P270" i="48"/>
  <c r="AF270" i="48"/>
  <c r="Q270" i="48"/>
  <c r="M270" i="48"/>
  <c r="AB270" i="48"/>
  <c r="J270" i="48"/>
  <c r="Z270" i="48"/>
  <c r="K270" i="48"/>
  <c r="AA270" i="48"/>
  <c r="AG270" i="48"/>
  <c r="T270" i="48"/>
  <c r="I270" i="48"/>
  <c r="R270" i="48"/>
  <c r="L270" i="48"/>
  <c r="AC270" i="48"/>
  <c r="N270" i="48"/>
  <c r="AD270" i="48"/>
  <c r="O270" i="48"/>
  <c r="AE270" i="48"/>
  <c r="H270" i="48"/>
  <c r="X270" i="48"/>
  <c r="U270" i="48"/>
  <c r="S270" i="48"/>
  <c r="AF64" i="36"/>
  <c r="AF187" i="34"/>
  <c r="AF171" i="34"/>
  <c r="AF80" i="36"/>
  <c r="AF81" i="36"/>
  <c r="AF65" i="36"/>
  <c r="AF172" i="34"/>
  <c r="AF188" i="34"/>
  <c r="AH64" i="36"/>
  <c r="AH187" i="34"/>
  <c r="AH171" i="34"/>
  <c r="AH80" i="36"/>
  <c r="AE188" i="34"/>
  <c r="AE81" i="36"/>
  <c r="AE65" i="36"/>
  <c r="AE172" i="34"/>
  <c r="AE187" i="34"/>
  <c r="AE80" i="36"/>
  <c r="AE64" i="36"/>
  <c r="AE171" i="34"/>
  <c r="AD188" i="34"/>
  <c r="AD81" i="36"/>
  <c r="AD65" i="36"/>
  <c r="AD172" i="34"/>
  <c r="AG187" i="34"/>
  <c r="AG80" i="36"/>
  <c r="AG171" i="34"/>
  <c r="AG64" i="36"/>
  <c r="AG172" i="34"/>
  <c r="AG188" i="34"/>
  <c r="AG81" i="36"/>
  <c r="AG65" i="36"/>
  <c r="AD64" i="36"/>
  <c r="AD187" i="34"/>
  <c r="AD171" i="34"/>
  <c r="AD80" i="36"/>
  <c r="AI187" i="34"/>
  <c r="AI64" i="36"/>
  <c r="AI171" i="34"/>
  <c r="AI80" i="36"/>
  <c r="AI188" i="34"/>
  <c r="AI81" i="36"/>
  <c r="AI65" i="36"/>
  <c r="AI172" i="34"/>
  <c r="AH188" i="34"/>
  <c r="AH65" i="36"/>
  <c r="AH81" i="36"/>
  <c r="AH172" i="34"/>
  <c r="AD179" i="34"/>
  <c r="U179" i="34"/>
  <c r="X179" i="34"/>
  <c r="Z72" i="36"/>
  <c r="J163" i="34"/>
  <c r="J179" i="34"/>
  <c r="J72" i="36"/>
  <c r="J56" i="36"/>
  <c r="AE56" i="36"/>
  <c r="R56" i="36"/>
  <c r="V56" i="36"/>
  <c r="AD163" i="34"/>
  <c r="E21" i="45"/>
  <c r="D21" i="45"/>
  <c r="B20" i="45"/>
  <c r="B21" i="45" s="1"/>
  <c r="B22" i="45" s="1"/>
  <c r="B23" i="45" s="1"/>
  <c r="B24" i="45" s="1"/>
  <c r="B25" i="45" s="1"/>
  <c r="B26" i="45" s="1"/>
  <c r="B19" i="45" s="1"/>
  <c r="B60" i="45" s="1"/>
  <c r="C18" i="45"/>
  <c r="C26" i="45" s="1"/>
  <c r="B12" i="45"/>
  <c r="B13" i="45" s="1"/>
  <c r="E6" i="45"/>
  <c r="D6" i="45"/>
  <c r="B36" i="34"/>
  <c r="B37" i="34" s="1"/>
  <c r="B38" i="34" s="1"/>
  <c r="B39" i="34" s="1"/>
  <c r="B40" i="34" s="1"/>
  <c r="B41" i="34" s="1"/>
  <c r="B42" i="34" s="1"/>
  <c r="B43" i="34" s="1"/>
  <c r="B44" i="34" s="1"/>
  <c r="B45" i="34" s="1"/>
  <c r="B46" i="34" s="1"/>
  <c r="B47" i="34" s="1"/>
  <c r="B48" i="34" s="1"/>
  <c r="B49" i="34" s="1"/>
  <c r="B50" i="34" s="1"/>
  <c r="B51" i="34" s="1"/>
  <c r="B52" i="34" s="1"/>
  <c r="B53" i="34" s="1"/>
  <c r="B18" i="34"/>
  <c r="B19" i="34" s="1"/>
  <c r="B20" i="34" s="1"/>
  <c r="B21" i="34" s="1"/>
  <c r="B22" i="34" s="1"/>
  <c r="B23" i="34" s="1"/>
  <c r="B24" i="34" s="1"/>
  <c r="B25" i="34" s="1"/>
  <c r="B26" i="34" s="1"/>
  <c r="B27" i="34" s="1"/>
  <c r="B28" i="34" s="1"/>
  <c r="B29" i="34" s="1"/>
  <c r="B30" i="34" s="1"/>
  <c r="B31" i="34" s="1"/>
  <c r="B32" i="34" s="1"/>
  <c r="B33" i="34" s="1"/>
  <c r="B34" i="34" s="1"/>
  <c r="B35" i="34" s="1"/>
  <c r="B4" i="34"/>
  <c r="B5" i="34" s="1"/>
  <c r="B6" i="34" s="1"/>
  <c r="B7" i="34" s="1"/>
  <c r="B8" i="34" s="1"/>
  <c r="B9" i="34" s="1"/>
  <c r="B10" i="34" s="1"/>
  <c r="B11" i="34" s="1"/>
  <c r="B12" i="34" s="1"/>
  <c r="B13" i="34" s="1"/>
  <c r="B14" i="34" s="1"/>
  <c r="B15" i="34" s="1"/>
  <c r="B16" i="34" s="1"/>
  <c r="B17" i="34" s="1"/>
  <c r="A4" i="34"/>
  <c r="A5" i="34" s="1"/>
  <c r="A6" i="34" s="1"/>
  <c r="A7" i="34" s="1"/>
  <c r="A8" i="34" s="1"/>
  <c r="A9" i="34" s="1"/>
  <c r="A10" i="34" s="1"/>
  <c r="A11" i="34" s="1"/>
  <c r="A12" i="34" s="1"/>
  <c r="A13" i="34" s="1"/>
  <c r="A14" i="34" s="1"/>
  <c r="A15" i="34" s="1"/>
  <c r="A16" i="34" s="1"/>
  <c r="A17" i="34" s="1"/>
  <c r="A18" i="34" s="1"/>
  <c r="A19" i="34" s="1"/>
  <c r="A20" i="34" s="1"/>
  <c r="A21" i="34" s="1"/>
  <c r="A22" i="34" s="1"/>
  <c r="A23" i="34" s="1"/>
  <c r="A24" i="34" s="1"/>
  <c r="A25" i="34" s="1"/>
  <c r="A26" i="34" s="1"/>
  <c r="A27" i="34" s="1"/>
  <c r="A28" i="34" s="1"/>
  <c r="A29" i="34" s="1"/>
  <c r="A30" i="34" s="1"/>
  <c r="A31" i="34" s="1"/>
  <c r="A32" i="34" s="1"/>
  <c r="A33" i="34" s="1"/>
  <c r="A34" i="34" s="1"/>
  <c r="A35" i="34" s="1"/>
  <c r="A36" i="34" s="1"/>
  <c r="A37" i="34" s="1"/>
  <c r="A38" i="34" s="1"/>
  <c r="A39" i="34" s="1"/>
  <c r="A40" i="34" s="1"/>
  <c r="A41" i="34" s="1"/>
  <c r="A42" i="34" s="1"/>
  <c r="A43" i="34" s="1"/>
  <c r="A44" i="34" s="1"/>
  <c r="A45" i="34" s="1"/>
  <c r="A46" i="34" s="1"/>
  <c r="A47" i="34" s="1"/>
  <c r="A48" i="34" s="1"/>
  <c r="A49" i="34" s="1"/>
  <c r="A50" i="34" s="1"/>
  <c r="A51" i="34" s="1"/>
  <c r="A52" i="34" s="1"/>
  <c r="A53" i="34" s="1"/>
  <c r="B36" i="33"/>
  <c r="B37" i="33" s="1"/>
  <c r="B38" i="33" s="1"/>
  <c r="B39" i="33" s="1"/>
  <c r="B40" i="33" s="1"/>
  <c r="B41" i="33" s="1"/>
  <c r="B42" i="33" s="1"/>
  <c r="B43" i="33" s="1"/>
  <c r="B44" i="33" s="1"/>
  <c r="B45" i="33" s="1"/>
  <c r="B46" i="33" s="1"/>
  <c r="B47" i="33" s="1"/>
  <c r="B48" i="33" s="1"/>
  <c r="B49" i="33" s="1"/>
  <c r="B50" i="33" s="1"/>
  <c r="B51" i="33" s="1"/>
  <c r="B52" i="33" s="1"/>
  <c r="B53" i="33" s="1"/>
  <c r="B54" i="33" s="1"/>
  <c r="B55" i="33" s="1"/>
  <c r="B56" i="33" s="1"/>
  <c r="B57" i="33" s="1"/>
  <c r="B58" i="33" s="1"/>
  <c r="B59" i="33" s="1"/>
  <c r="B60" i="33" s="1"/>
  <c r="B61" i="33" s="1"/>
  <c r="B62" i="33" s="1"/>
  <c r="B63" i="33" s="1"/>
  <c r="B64" i="33" s="1"/>
  <c r="B65" i="33" s="1"/>
  <c r="B66" i="33" s="1"/>
  <c r="B67" i="33" s="1"/>
  <c r="B68" i="33" s="1"/>
  <c r="B69" i="33" s="1"/>
  <c r="B70" i="33" s="1"/>
  <c r="B71" i="33" s="1"/>
  <c r="B18" i="33"/>
  <c r="B19" i="33" s="1"/>
  <c r="B20" i="33" s="1"/>
  <c r="B21" i="33" s="1"/>
  <c r="B22" i="33" s="1"/>
  <c r="B23" i="33" s="1"/>
  <c r="B24" i="33" s="1"/>
  <c r="B25" i="33" s="1"/>
  <c r="B26" i="33" s="1"/>
  <c r="B27" i="33" s="1"/>
  <c r="B28" i="33" s="1"/>
  <c r="B29" i="33" s="1"/>
  <c r="B30" i="33" s="1"/>
  <c r="B31" i="33" s="1"/>
  <c r="B32" i="33" s="1"/>
  <c r="B33" i="33" s="1"/>
  <c r="B34" i="33" s="1"/>
  <c r="B35" i="33" s="1"/>
  <c r="B4" i="33"/>
  <c r="B5" i="33" s="1"/>
  <c r="B6" i="33" s="1"/>
  <c r="B7" i="33" s="1"/>
  <c r="B8" i="33" s="1"/>
  <c r="B9" i="33" s="1"/>
  <c r="B10" i="33" s="1"/>
  <c r="B11" i="33" s="1"/>
  <c r="B12" i="33" s="1"/>
  <c r="B13" i="33" s="1"/>
  <c r="B14" i="33" s="1"/>
  <c r="B15" i="33" s="1"/>
  <c r="B16" i="33" s="1"/>
  <c r="B17" i="33" s="1"/>
  <c r="A4" i="33"/>
  <c r="A5" i="33" s="1"/>
  <c r="A6" i="33" s="1"/>
  <c r="A7" i="33" s="1"/>
  <c r="A8" i="33" s="1"/>
  <c r="A9" i="33" s="1"/>
  <c r="A10" i="33" s="1"/>
  <c r="A11" i="33" s="1"/>
  <c r="A12" i="33" s="1"/>
  <c r="A13" i="33" s="1"/>
  <c r="A14" i="33" s="1"/>
  <c r="A15" i="33" s="1"/>
  <c r="A16" i="33" s="1"/>
  <c r="A17" i="33" s="1"/>
  <c r="A18" i="33" s="1"/>
  <c r="A19" i="33" s="1"/>
  <c r="A20" i="33" s="1"/>
  <c r="A21" i="33" s="1"/>
  <c r="A22" i="33" s="1"/>
  <c r="A23" i="33" s="1"/>
  <c r="A24" i="33" s="1"/>
  <c r="A25" i="33" s="1"/>
  <c r="A26" i="33" s="1"/>
  <c r="A27" i="33" s="1"/>
  <c r="A28" i="33" s="1"/>
  <c r="A29" i="33" s="1"/>
  <c r="A30" i="33" s="1"/>
  <c r="A31" i="33" s="1"/>
  <c r="A32" i="33" s="1"/>
  <c r="A33" i="33" s="1"/>
  <c r="A34" i="33" s="1"/>
  <c r="A35" i="33" s="1"/>
  <c r="A36" i="33" s="1"/>
  <c r="A37" i="33" s="1"/>
  <c r="A38" i="33" s="1"/>
  <c r="A39" i="33" s="1"/>
  <c r="A40" i="33" s="1"/>
  <c r="A41" i="33" s="1"/>
  <c r="A42" i="33" s="1"/>
  <c r="A43" i="33" s="1"/>
  <c r="A44" i="33" s="1"/>
  <c r="A45" i="33" s="1"/>
  <c r="A46" i="33" s="1"/>
  <c r="A47" i="33" s="1"/>
  <c r="A48" i="33" s="1"/>
  <c r="A49" i="33" s="1"/>
  <c r="A50" i="33" s="1"/>
  <c r="A51" i="33" s="1"/>
  <c r="A52" i="33" s="1"/>
  <c r="A53" i="33" s="1"/>
  <c r="A54" i="33" s="1"/>
  <c r="A55" i="33" s="1"/>
  <c r="A56" i="33" s="1"/>
  <c r="A57" i="33" s="1"/>
  <c r="A58" i="33" s="1"/>
  <c r="A59" i="33" s="1"/>
  <c r="A60" i="33" s="1"/>
  <c r="A61" i="33" s="1"/>
  <c r="A62" i="33" s="1"/>
  <c r="A63" i="33" s="1"/>
  <c r="A64" i="33" s="1"/>
  <c r="A65" i="33" s="1"/>
  <c r="A66" i="33" s="1"/>
  <c r="A67" i="33" s="1"/>
  <c r="A68" i="33" s="1"/>
  <c r="A69" i="33" s="1"/>
  <c r="A70" i="33" s="1"/>
  <c r="A71" i="33" s="1"/>
  <c r="A5" i="36"/>
  <c r="A6" i="36" s="1"/>
  <c r="A7" i="36" s="1"/>
  <c r="A8" i="36" s="1"/>
  <c r="A9" i="36" s="1"/>
  <c r="A10" i="36" s="1"/>
  <c r="A11" i="36" s="1"/>
  <c r="A12" i="36" s="1"/>
  <c r="A13" i="36" s="1"/>
  <c r="A14" i="36" s="1"/>
  <c r="A15" i="36" s="1"/>
  <c r="A16" i="36" s="1"/>
  <c r="A17" i="36" s="1"/>
  <c r="A18" i="36" s="1"/>
  <c r="A19" i="36" s="1"/>
  <c r="A20" i="36" s="1"/>
  <c r="A21" i="36" s="1"/>
  <c r="A22" i="36" s="1"/>
  <c r="B5" i="45"/>
  <c r="B6" i="45" s="1"/>
  <c r="B7" i="45" s="1"/>
  <c r="B8" i="45" s="1"/>
  <c r="B9" i="45" s="1"/>
  <c r="B10" i="45" s="1"/>
  <c r="C7" i="45"/>
  <c r="C14" i="45" s="1"/>
  <c r="C22" i="45" s="1"/>
  <c r="C8" i="45"/>
  <c r="C9" i="45"/>
  <c r="C16" i="45" s="1"/>
  <c r="C24" i="45" s="1"/>
  <c r="C10" i="45"/>
  <c r="C17" i="45" s="1"/>
  <c r="C25" i="45" s="1"/>
  <c r="C6" i="45"/>
  <c r="C13" i="45" s="1"/>
  <c r="C21" i="45" s="1"/>
  <c r="C5" i="45"/>
  <c r="C12" i="45" s="1"/>
  <c r="C20" i="45" s="1"/>
  <c r="A5" i="45"/>
  <c r="A6" i="45" s="1"/>
  <c r="A7" i="45" s="1"/>
  <c r="A8" i="45" s="1"/>
  <c r="A9" i="45" s="1"/>
  <c r="A10" i="45" s="1"/>
  <c r="A12" i="45" s="1"/>
  <c r="A13" i="45" s="1"/>
  <c r="A14" i="45" s="1"/>
  <c r="A15" i="45" s="1"/>
  <c r="A16" i="45" s="1"/>
  <c r="A17" i="45" s="1"/>
  <c r="A18" i="45" s="1"/>
  <c r="A20" i="45" s="1"/>
  <c r="A21" i="45" s="1"/>
  <c r="A22" i="45" s="1"/>
  <c r="A23" i="45" s="1"/>
  <c r="A24" i="45" s="1"/>
  <c r="A25" i="45" s="1"/>
  <c r="A26" i="45" s="1"/>
  <c r="T136" i="39"/>
  <c r="T137" i="39"/>
  <c r="T138" i="39"/>
  <c r="H52" i="33" s="1"/>
  <c r="T135" i="39"/>
  <c r="H53" i="33"/>
  <c r="H51" i="33"/>
  <c r="H50" i="33"/>
  <c r="H49" i="33"/>
  <c r="H48" i="33"/>
  <c r="H47" i="33"/>
  <c r="H46" i="33"/>
  <c r="H45" i="33"/>
  <c r="H44" i="33"/>
  <c r="H43" i="33"/>
  <c r="H42" i="33"/>
  <c r="H41" i="33"/>
  <c r="H40" i="33"/>
  <c r="H39" i="33"/>
  <c r="H38" i="33"/>
  <c r="H37" i="33"/>
  <c r="H36" i="33"/>
  <c r="G37" i="33"/>
  <c r="G38" i="33" s="1"/>
  <c r="G39" i="33" s="1"/>
  <c r="G40" i="33" s="1"/>
  <c r="G41" i="33" s="1"/>
  <c r="G42" i="33" s="1"/>
  <c r="G43" i="33" s="1"/>
  <c r="G44" i="33" s="1"/>
  <c r="G45" i="33" s="1"/>
  <c r="G46" i="33" s="1"/>
  <c r="G47" i="33" s="1"/>
  <c r="G48" i="33" s="1"/>
  <c r="G49" i="33" s="1"/>
  <c r="G50" i="33" s="1"/>
  <c r="G51" i="33" s="1"/>
  <c r="G52" i="33" s="1"/>
  <c r="G53" i="33" s="1"/>
  <c r="F37" i="33"/>
  <c r="F38" i="33" s="1"/>
  <c r="F39" i="33" s="1"/>
  <c r="F40" i="33" s="1"/>
  <c r="F41" i="33" s="1"/>
  <c r="F42" i="33" s="1"/>
  <c r="F43" i="33" s="1"/>
  <c r="F44" i="33" s="1"/>
  <c r="F45" i="33" s="1"/>
  <c r="F46" i="33" s="1"/>
  <c r="F47" i="33" s="1"/>
  <c r="F48" i="33" s="1"/>
  <c r="F49" i="33" s="1"/>
  <c r="F50" i="33" s="1"/>
  <c r="F51" i="33" s="1"/>
  <c r="F52" i="33" s="1"/>
  <c r="F53" i="33" s="1"/>
  <c r="T112" i="39"/>
  <c r="T110" i="39"/>
  <c r="T133" i="39"/>
  <c r="T132" i="39"/>
  <c r="T131" i="39"/>
  <c r="T130" i="39"/>
  <c r="T129" i="39"/>
  <c r="T128" i="39"/>
  <c r="T127" i="39"/>
  <c r="T126" i="39"/>
  <c r="T125" i="39"/>
  <c r="T124" i="39"/>
  <c r="T123" i="39"/>
  <c r="T122" i="39"/>
  <c r="T121" i="39"/>
  <c r="T120" i="39"/>
  <c r="T119" i="39"/>
  <c r="T118" i="39"/>
  <c r="T117" i="39"/>
  <c r="T116" i="39"/>
  <c r="T115" i="39"/>
  <c r="T114" i="39"/>
  <c r="T108" i="39"/>
  <c r="T107" i="39"/>
  <c r="T106" i="39"/>
  <c r="T105" i="39"/>
  <c r="T104" i="39"/>
  <c r="T103" i="39"/>
  <c r="T102" i="39"/>
  <c r="T101" i="39"/>
  <c r="T100" i="39"/>
  <c r="T99" i="39"/>
  <c r="T98" i="39"/>
  <c r="T97" i="39"/>
  <c r="T96" i="39"/>
  <c r="T95" i="39"/>
  <c r="T94" i="39"/>
  <c r="T93" i="39"/>
  <c r="T92" i="39"/>
  <c r="T91" i="39"/>
  <c r="T90" i="39"/>
  <c r="T89" i="39"/>
  <c r="T88" i="39"/>
  <c r="T87" i="39"/>
  <c r="T86" i="39"/>
  <c r="T85" i="39"/>
  <c r="T83" i="39"/>
  <c r="T82" i="39"/>
  <c r="T81" i="39"/>
  <c r="T80" i="39"/>
  <c r="T79" i="39"/>
  <c r="T78" i="39"/>
  <c r="T77" i="39"/>
  <c r="T76" i="39"/>
  <c r="T75" i="39"/>
  <c r="T74" i="39"/>
  <c r="T73" i="39"/>
  <c r="T72" i="39"/>
  <c r="T71" i="39"/>
  <c r="T70" i="39"/>
  <c r="T69" i="39"/>
  <c r="T68" i="39"/>
  <c r="T67" i="39"/>
  <c r="T66" i="39"/>
  <c r="T65" i="39"/>
  <c r="T64" i="39"/>
  <c r="T63" i="39"/>
  <c r="T62" i="39"/>
  <c r="T61" i="39"/>
  <c r="T60" i="39"/>
  <c r="T59" i="39"/>
  <c r="T58" i="39"/>
  <c r="T57" i="39"/>
  <c r="T56" i="39"/>
  <c r="T55" i="39"/>
  <c r="T54" i="39"/>
  <c r="T53" i="39"/>
  <c r="T52" i="39"/>
  <c r="T51" i="39"/>
  <c r="T50" i="39"/>
  <c r="T49" i="39"/>
  <c r="T48" i="39"/>
  <c r="T47" i="39"/>
  <c r="T46" i="39"/>
  <c r="T45" i="39"/>
  <c r="T44" i="39"/>
  <c r="T43" i="39"/>
  <c r="T42" i="39"/>
  <c r="T41" i="39"/>
  <c r="T40" i="39"/>
  <c r="T39" i="39"/>
  <c r="T38" i="39"/>
  <c r="T37" i="39"/>
  <c r="T36" i="39"/>
  <c r="T34" i="39"/>
  <c r="T33" i="39"/>
  <c r="T32" i="39"/>
  <c r="T31" i="39"/>
  <c r="T30" i="39"/>
  <c r="T29" i="39"/>
  <c r="T28" i="39"/>
  <c r="T27" i="39"/>
  <c r="T26" i="39"/>
  <c r="T25" i="39"/>
  <c r="T24" i="39"/>
  <c r="T23" i="39"/>
  <c r="T22" i="39"/>
  <c r="T21" i="39"/>
  <c r="T20" i="39"/>
  <c r="T19" i="39"/>
  <c r="T18" i="39"/>
  <c r="T17" i="39"/>
  <c r="T16" i="39"/>
  <c r="T15" i="39"/>
  <c r="T14" i="39"/>
  <c r="T13" i="39"/>
  <c r="T12" i="39"/>
  <c r="T6" i="39"/>
  <c r="T7" i="39"/>
  <c r="T8" i="39"/>
  <c r="T9" i="39"/>
  <c r="T10" i="39"/>
  <c r="T5" i="39"/>
  <c r="H35" i="33"/>
  <c r="H34" i="33"/>
  <c r="H33" i="33"/>
  <c r="H32" i="33"/>
  <c r="H31" i="33"/>
  <c r="H30" i="33"/>
  <c r="H29" i="33"/>
  <c r="H28" i="33"/>
  <c r="H27" i="33"/>
  <c r="H26" i="33"/>
  <c r="H25" i="33"/>
  <c r="H24" i="33"/>
  <c r="H23" i="33"/>
  <c r="H22" i="33"/>
  <c r="H21" i="33"/>
  <c r="H7" i="33"/>
  <c r="H20" i="33"/>
  <c r="H19" i="33"/>
  <c r="H18" i="33"/>
  <c r="H17" i="33"/>
  <c r="H16" i="33"/>
  <c r="H13" i="33"/>
  <c r="H12" i="33"/>
  <c r="H11" i="33"/>
  <c r="H10" i="33"/>
  <c r="H8" i="33"/>
  <c r="H6" i="33"/>
  <c r="H5" i="33"/>
  <c r="H4" i="33"/>
  <c r="G125" i="39"/>
  <c r="G126" i="39"/>
  <c r="G127" i="39"/>
  <c r="G128" i="39"/>
  <c r="G129" i="39"/>
  <c r="G130" i="39"/>
  <c r="G131" i="39"/>
  <c r="G132" i="39"/>
  <c r="G133" i="39"/>
  <c r="G124" i="39"/>
  <c r="G115" i="39"/>
  <c r="G116" i="39"/>
  <c r="G117" i="39"/>
  <c r="G118" i="39"/>
  <c r="G119" i="39"/>
  <c r="G120" i="39"/>
  <c r="G121" i="39"/>
  <c r="G122" i="39"/>
  <c r="G123" i="39"/>
  <c r="G114" i="39"/>
  <c r="G28" i="39"/>
  <c r="G27" i="39"/>
  <c r="G26" i="39"/>
  <c r="G23" i="39"/>
  <c r="G24" i="39"/>
  <c r="G22" i="39"/>
  <c r="G13" i="39"/>
  <c r="G14" i="39"/>
  <c r="G15" i="39"/>
  <c r="G16" i="39"/>
  <c r="G17" i="39"/>
  <c r="G18" i="39"/>
  <c r="G19" i="39"/>
  <c r="G20" i="39"/>
  <c r="G21" i="39"/>
  <c r="G12" i="39"/>
  <c r="D18" i="36"/>
  <c r="D40" i="46" s="1"/>
  <c r="D17" i="36"/>
  <c r="D39" i="46" s="1"/>
  <c r="D7" i="36"/>
  <c r="D29" i="46" s="1"/>
  <c r="C7" i="36"/>
  <c r="C8" i="36" s="1"/>
  <c r="G74" i="33"/>
  <c r="G75" i="33" s="1"/>
  <c r="G76" i="33" s="1"/>
  <c r="G77" i="33" s="1"/>
  <c r="G78" i="33" s="1"/>
  <c r="G79" i="33" s="1"/>
  <c r="G80" i="33" s="1"/>
  <c r="G81" i="33" s="1"/>
  <c r="F74" i="33"/>
  <c r="F75" i="33" s="1"/>
  <c r="F76" i="33" s="1"/>
  <c r="F77" i="33" s="1"/>
  <c r="F78" i="33" s="1"/>
  <c r="F79" i="33" s="1"/>
  <c r="F80" i="33" s="1"/>
  <c r="F81" i="33" s="1"/>
  <c r="E74" i="33"/>
  <c r="E75" i="33" s="1"/>
  <c r="E76" i="33" s="1"/>
  <c r="E77" i="33" s="1"/>
  <c r="E78" i="33" s="1"/>
  <c r="E79" i="33" s="1"/>
  <c r="E80" i="33" s="1"/>
  <c r="E81" i="33" s="1"/>
  <c r="C73" i="33"/>
  <c r="C74" i="33" s="1"/>
  <c r="C75" i="33" s="1"/>
  <c r="C76" i="33" s="1"/>
  <c r="C77" i="33" s="1"/>
  <c r="C78" i="33" s="1"/>
  <c r="C79" i="33" s="1"/>
  <c r="C80" i="33" s="1"/>
  <c r="C81" i="33" s="1"/>
  <c r="Q138" i="39"/>
  <c r="P138" i="39"/>
  <c r="Q137" i="39"/>
  <c r="P137" i="39"/>
  <c r="Q136" i="39"/>
  <c r="P136" i="39"/>
  <c r="Q135" i="39"/>
  <c r="P135" i="39"/>
  <c r="Q133" i="39"/>
  <c r="P133" i="39"/>
  <c r="Q132" i="39"/>
  <c r="P132" i="39"/>
  <c r="Q131" i="39"/>
  <c r="P131" i="39"/>
  <c r="Q130" i="39"/>
  <c r="P130" i="39"/>
  <c r="Q129" i="39"/>
  <c r="P129" i="39"/>
  <c r="Q128" i="39"/>
  <c r="P128" i="39"/>
  <c r="Q127" i="39"/>
  <c r="P127" i="39"/>
  <c r="Q126" i="39"/>
  <c r="P126" i="39"/>
  <c r="Q125" i="39"/>
  <c r="P125" i="39"/>
  <c r="Q124" i="39"/>
  <c r="P124" i="39"/>
  <c r="Q123" i="39"/>
  <c r="P123" i="39"/>
  <c r="Q122" i="39"/>
  <c r="P122" i="39"/>
  <c r="Q121" i="39"/>
  <c r="P121" i="39"/>
  <c r="Q120" i="39"/>
  <c r="P120" i="39"/>
  <c r="Q119" i="39"/>
  <c r="P119" i="39"/>
  <c r="Q118" i="39"/>
  <c r="P118" i="39"/>
  <c r="Q117" i="39"/>
  <c r="P117" i="39"/>
  <c r="Q116" i="39"/>
  <c r="P116" i="39"/>
  <c r="Q115" i="39"/>
  <c r="P115" i="39"/>
  <c r="Q114" i="39"/>
  <c r="P114" i="39"/>
  <c r="Q112" i="39"/>
  <c r="P112" i="39"/>
  <c r="Q110" i="39"/>
  <c r="P110" i="39"/>
  <c r="Q108" i="39"/>
  <c r="P108" i="39"/>
  <c r="Q107" i="39"/>
  <c r="P107" i="39"/>
  <c r="Q106" i="39"/>
  <c r="P106" i="39"/>
  <c r="Q105" i="39"/>
  <c r="P105" i="39"/>
  <c r="Q104" i="39"/>
  <c r="P104" i="39"/>
  <c r="Q103" i="39"/>
  <c r="P103" i="39"/>
  <c r="Q102" i="39"/>
  <c r="P102" i="39"/>
  <c r="Q101" i="39"/>
  <c r="P101" i="39"/>
  <c r="Q100" i="39"/>
  <c r="P100" i="39"/>
  <c r="Q99" i="39"/>
  <c r="P99" i="39"/>
  <c r="Q98" i="39"/>
  <c r="P98" i="39"/>
  <c r="Q97" i="39"/>
  <c r="P97" i="39"/>
  <c r="Q96" i="39"/>
  <c r="P96" i="39"/>
  <c r="Q95" i="39"/>
  <c r="P95" i="39"/>
  <c r="Q94" i="39"/>
  <c r="P94" i="39"/>
  <c r="Q93" i="39"/>
  <c r="P93" i="39"/>
  <c r="Q92" i="39"/>
  <c r="P92" i="39"/>
  <c r="Q91" i="39"/>
  <c r="P91" i="39"/>
  <c r="Q90" i="39"/>
  <c r="P90" i="39"/>
  <c r="Q89" i="39"/>
  <c r="P89" i="39"/>
  <c r="Q88" i="39"/>
  <c r="P88" i="39"/>
  <c r="Q87" i="39"/>
  <c r="P87" i="39"/>
  <c r="Q86" i="39"/>
  <c r="P86" i="39"/>
  <c r="Q85" i="39"/>
  <c r="P85" i="39"/>
  <c r="Q83" i="39"/>
  <c r="P83" i="39"/>
  <c r="Q82" i="39"/>
  <c r="P82" i="39"/>
  <c r="Q81" i="39"/>
  <c r="P81" i="39"/>
  <c r="Q80" i="39"/>
  <c r="P80" i="39"/>
  <c r="Q79" i="39"/>
  <c r="P79" i="39"/>
  <c r="Q78" i="39"/>
  <c r="P78" i="39"/>
  <c r="Q77" i="39"/>
  <c r="P77" i="39"/>
  <c r="Q76" i="39"/>
  <c r="P76" i="39"/>
  <c r="Q75" i="39"/>
  <c r="P75" i="39"/>
  <c r="Q74" i="39"/>
  <c r="P74" i="39"/>
  <c r="Q73" i="39"/>
  <c r="P73" i="39"/>
  <c r="Q72" i="39"/>
  <c r="P72" i="39"/>
  <c r="Q71" i="39"/>
  <c r="P71" i="39"/>
  <c r="Q70" i="39"/>
  <c r="P70" i="39"/>
  <c r="Q69" i="39"/>
  <c r="P69" i="39"/>
  <c r="Q68" i="39"/>
  <c r="P68" i="39"/>
  <c r="Q67" i="39"/>
  <c r="P67" i="39"/>
  <c r="Q66" i="39"/>
  <c r="P66" i="39"/>
  <c r="Q65" i="39"/>
  <c r="P65" i="39"/>
  <c r="Q64" i="39"/>
  <c r="P64" i="39"/>
  <c r="Q63" i="39"/>
  <c r="P63" i="39"/>
  <c r="Q62" i="39"/>
  <c r="P62" i="39"/>
  <c r="Q61" i="39"/>
  <c r="P61" i="39"/>
  <c r="Q60" i="39"/>
  <c r="P60" i="39"/>
  <c r="Q59" i="39"/>
  <c r="P59" i="39"/>
  <c r="Q58" i="39"/>
  <c r="P58" i="39"/>
  <c r="Q57" i="39"/>
  <c r="P57" i="39"/>
  <c r="Q56" i="39"/>
  <c r="P56" i="39"/>
  <c r="Q55" i="39"/>
  <c r="P55" i="39"/>
  <c r="Q54" i="39"/>
  <c r="P54" i="39"/>
  <c r="Q53" i="39"/>
  <c r="P53" i="39"/>
  <c r="Q52" i="39"/>
  <c r="P52" i="39"/>
  <c r="Q51" i="39"/>
  <c r="P51" i="39"/>
  <c r="Q50" i="39"/>
  <c r="P50" i="39"/>
  <c r="Q49" i="39"/>
  <c r="P49" i="39"/>
  <c r="Q48" i="39"/>
  <c r="P48" i="39"/>
  <c r="Q47" i="39"/>
  <c r="P47" i="39"/>
  <c r="Q46" i="39"/>
  <c r="P46" i="39"/>
  <c r="Q45" i="39"/>
  <c r="P45" i="39"/>
  <c r="Q44" i="39"/>
  <c r="P44" i="39"/>
  <c r="Q43" i="39"/>
  <c r="P43" i="39"/>
  <c r="Q42" i="39"/>
  <c r="P42" i="39"/>
  <c r="Q41" i="39"/>
  <c r="P41" i="39"/>
  <c r="Q40" i="39"/>
  <c r="P40" i="39"/>
  <c r="Q39" i="39"/>
  <c r="P39" i="39"/>
  <c r="Q38" i="39"/>
  <c r="P38" i="39"/>
  <c r="Q37" i="39"/>
  <c r="P37" i="39"/>
  <c r="Q36" i="39"/>
  <c r="P36" i="39"/>
  <c r="Q34" i="39"/>
  <c r="P34" i="39"/>
  <c r="Q33" i="39"/>
  <c r="P33" i="39"/>
  <c r="Q32" i="39"/>
  <c r="P32" i="39"/>
  <c r="Q31" i="39"/>
  <c r="P31" i="39"/>
  <c r="Q30" i="39"/>
  <c r="P30" i="39"/>
  <c r="Q29" i="39"/>
  <c r="P29" i="39"/>
  <c r="Q28" i="39"/>
  <c r="P28" i="39"/>
  <c r="Q27" i="39"/>
  <c r="P27" i="39"/>
  <c r="Q26" i="39"/>
  <c r="P26" i="39"/>
  <c r="Q25" i="39"/>
  <c r="P25" i="39"/>
  <c r="Q24" i="39"/>
  <c r="P24" i="39"/>
  <c r="Q23" i="39"/>
  <c r="P23" i="39"/>
  <c r="Q22" i="39"/>
  <c r="P22" i="39"/>
  <c r="Q21" i="39"/>
  <c r="P21" i="39"/>
  <c r="Q20" i="39"/>
  <c r="P20" i="39"/>
  <c r="Q19" i="39"/>
  <c r="P19" i="39"/>
  <c r="Q18" i="39"/>
  <c r="P18" i="39"/>
  <c r="Q17" i="39"/>
  <c r="P17" i="39"/>
  <c r="Q16" i="39"/>
  <c r="P16" i="39"/>
  <c r="Q15" i="39"/>
  <c r="P15" i="39"/>
  <c r="Q14" i="39"/>
  <c r="P14" i="39"/>
  <c r="Q13" i="39"/>
  <c r="P13" i="39"/>
  <c r="Q12" i="39"/>
  <c r="P12" i="39"/>
  <c r="Q10" i="39"/>
  <c r="P10" i="39"/>
  <c r="Q9" i="39"/>
  <c r="P9" i="39"/>
  <c r="Q8" i="39"/>
  <c r="P8" i="39"/>
  <c r="Q7" i="39"/>
  <c r="P7" i="39"/>
  <c r="Q6" i="39"/>
  <c r="P6" i="39"/>
  <c r="N136" i="39"/>
  <c r="N137" i="39"/>
  <c r="N138" i="39"/>
  <c r="N135" i="39"/>
  <c r="J12" i="34" l="1"/>
  <c r="N12" i="34"/>
  <c r="R12" i="34"/>
  <c r="V12" i="34"/>
  <c r="Z12" i="34"/>
  <c r="AD12" i="34"/>
  <c r="AH12" i="34"/>
  <c r="AL12" i="34"/>
  <c r="AP12" i="34"/>
  <c r="AT12" i="34"/>
  <c r="AX12" i="34"/>
  <c r="BB12" i="34"/>
  <c r="BF12" i="34"/>
  <c r="BJ12" i="34"/>
  <c r="BN12" i="34"/>
  <c r="K12" i="34"/>
  <c r="O12" i="34"/>
  <c r="S12" i="34"/>
  <c r="W12" i="34"/>
  <c r="AA12" i="34"/>
  <c r="AE12" i="34"/>
  <c r="AI12" i="34"/>
  <c r="AM12" i="34"/>
  <c r="AQ12" i="34"/>
  <c r="AU12" i="34"/>
  <c r="AY12" i="34"/>
  <c r="BC12" i="34"/>
  <c r="BG12" i="34"/>
  <c r="BK12" i="34"/>
  <c r="BO12" i="34"/>
  <c r="L12" i="34"/>
  <c r="P12" i="34"/>
  <c r="T12" i="34"/>
  <c r="X12" i="34"/>
  <c r="AB12" i="34"/>
  <c r="AF12" i="34"/>
  <c r="AJ12" i="34"/>
  <c r="AN12" i="34"/>
  <c r="AR12" i="34"/>
  <c r="AV12" i="34"/>
  <c r="AZ12" i="34"/>
  <c r="BD12" i="34"/>
  <c r="BH12" i="34"/>
  <c r="BL12" i="34"/>
  <c r="BP12" i="34"/>
  <c r="M12" i="34"/>
  <c r="Q12" i="34"/>
  <c r="U12" i="34"/>
  <c r="Y12" i="34"/>
  <c r="AC12" i="34"/>
  <c r="AG12" i="34"/>
  <c r="AK12" i="34"/>
  <c r="AO12" i="34"/>
  <c r="AS12" i="34"/>
  <c r="AW12" i="34"/>
  <c r="BA12" i="34"/>
  <c r="BE12" i="34"/>
  <c r="BI12" i="34"/>
  <c r="BM12" i="34"/>
  <c r="I12" i="34"/>
  <c r="H12" i="34"/>
  <c r="K21" i="34"/>
  <c r="J21" i="34"/>
  <c r="O21" i="34"/>
  <c r="S21" i="34"/>
  <c r="W21" i="34"/>
  <c r="AA21" i="34"/>
  <c r="AE21" i="34"/>
  <c r="AI21" i="34"/>
  <c r="AM21" i="34"/>
  <c r="AQ21" i="34"/>
  <c r="AU21" i="34"/>
  <c r="AY21" i="34"/>
  <c r="BC21" i="34"/>
  <c r="BG21" i="34"/>
  <c r="BK21" i="34"/>
  <c r="BO21" i="34"/>
  <c r="L21" i="34"/>
  <c r="P21" i="34"/>
  <c r="T21" i="34"/>
  <c r="X21" i="34"/>
  <c r="AB21" i="34"/>
  <c r="AF21" i="34"/>
  <c r="AJ21" i="34"/>
  <c r="AN21" i="34"/>
  <c r="AR21" i="34"/>
  <c r="AV21" i="34"/>
  <c r="AZ21" i="34"/>
  <c r="BD21" i="34"/>
  <c r="BH21" i="34"/>
  <c r="BL21" i="34"/>
  <c r="BP21" i="34"/>
  <c r="M21" i="34"/>
  <c r="Q21" i="34"/>
  <c r="U21" i="34"/>
  <c r="Y21" i="34"/>
  <c r="AC21" i="34"/>
  <c r="AG21" i="34"/>
  <c r="AK21" i="34"/>
  <c r="AO21" i="34"/>
  <c r="AS21" i="34"/>
  <c r="AW21" i="34"/>
  <c r="BA21" i="34"/>
  <c r="BE21" i="34"/>
  <c r="BI21" i="34"/>
  <c r="BM21" i="34"/>
  <c r="N21" i="34"/>
  <c r="R21" i="34"/>
  <c r="V21" i="34"/>
  <c r="Z21" i="34"/>
  <c r="AD21" i="34"/>
  <c r="AH21" i="34"/>
  <c r="AL21" i="34"/>
  <c r="AP21" i="34"/>
  <c r="AT21" i="34"/>
  <c r="AX21" i="34"/>
  <c r="BB21" i="34"/>
  <c r="BF21" i="34"/>
  <c r="BJ21" i="34"/>
  <c r="BN21" i="34"/>
  <c r="I21" i="34"/>
  <c r="H21" i="34"/>
  <c r="J33" i="34"/>
  <c r="N33" i="34"/>
  <c r="R33" i="34"/>
  <c r="V33" i="34"/>
  <c r="Z33" i="34"/>
  <c r="AD33" i="34"/>
  <c r="AH33" i="34"/>
  <c r="AL33" i="34"/>
  <c r="AP33" i="34"/>
  <c r="AT33" i="34"/>
  <c r="AX33" i="34"/>
  <c r="BB33" i="34"/>
  <c r="BF33" i="34"/>
  <c r="BJ33" i="34"/>
  <c r="BN33" i="34"/>
  <c r="K33" i="34"/>
  <c r="O33" i="34"/>
  <c r="S33" i="34"/>
  <c r="W33" i="34"/>
  <c r="AA33" i="34"/>
  <c r="AE33" i="34"/>
  <c r="AI33" i="34"/>
  <c r="AM33" i="34"/>
  <c r="AQ33" i="34"/>
  <c r="AU33" i="34"/>
  <c r="AY33" i="34"/>
  <c r="BC33" i="34"/>
  <c r="BG33" i="34"/>
  <c r="BK33" i="34"/>
  <c r="BO33" i="34"/>
  <c r="L33" i="34"/>
  <c r="P33" i="34"/>
  <c r="T33" i="34"/>
  <c r="X33" i="34"/>
  <c r="AB33" i="34"/>
  <c r="AF33" i="34"/>
  <c r="AJ33" i="34"/>
  <c r="AN33" i="34"/>
  <c r="AR33" i="34"/>
  <c r="AV33" i="34"/>
  <c r="AZ33" i="34"/>
  <c r="BD33" i="34"/>
  <c r="BH33" i="34"/>
  <c r="BL33" i="34"/>
  <c r="BP33" i="34"/>
  <c r="M33" i="34"/>
  <c r="Q33" i="34"/>
  <c r="U33" i="34"/>
  <c r="Y33" i="34"/>
  <c r="AC33" i="34"/>
  <c r="AG33" i="34"/>
  <c r="AK33" i="34"/>
  <c r="AO33" i="34"/>
  <c r="AS33" i="34"/>
  <c r="AW33" i="34"/>
  <c r="BA33" i="34"/>
  <c r="BE33" i="34"/>
  <c r="BI33" i="34"/>
  <c r="BM33" i="34"/>
  <c r="I33" i="34"/>
  <c r="H33" i="34"/>
  <c r="J8" i="34"/>
  <c r="N8" i="34"/>
  <c r="R8" i="34"/>
  <c r="V8" i="34"/>
  <c r="Z8" i="34"/>
  <c r="AD8" i="34"/>
  <c r="AH8" i="34"/>
  <c r="AL8" i="34"/>
  <c r="AP8" i="34"/>
  <c r="AT8" i="34"/>
  <c r="AX8" i="34"/>
  <c r="BB8" i="34"/>
  <c r="BF8" i="34"/>
  <c r="BJ8" i="34"/>
  <c r="BN8" i="34"/>
  <c r="K8" i="34"/>
  <c r="O8" i="34"/>
  <c r="S8" i="34"/>
  <c r="W8" i="34"/>
  <c r="AA8" i="34"/>
  <c r="AE8" i="34"/>
  <c r="AI8" i="34"/>
  <c r="AM8" i="34"/>
  <c r="AQ8" i="34"/>
  <c r="AU8" i="34"/>
  <c r="AY8" i="34"/>
  <c r="BC8" i="34"/>
  <c r="BG8" i="34"/>
  <c r="BK8" i="34"/>
  <c r="BO8" i="34"/>
  <c r="L8" i="34"/>
  <c r="P8" i="34"/>
  <c r="T8" i="34"/>
  <c r="X8" i="34"/>
  <c r="AB8" i="34"/>
  <c r="AF8" i="34"/>
  <c r="AJ8" i="34"/>
  <c r="AN8" i="34"/>
  <c r="AR8" i="34"/>
  <c r="AV8" i="34"/>
  <c r="AZ8" i="34"/>
  <c r="BD8" i="34"/>
  <c r="BH8" i="34"/>
  <c r="BL8" i="34"/>
  <c r="BP8" i="34"/>
  <c r="M8" i="34"/>
  <c r="Q8" i="34"/>
  <c r="U8" i="34"/>
  <c r="Y8" i="34"/>
  <c r="AC8" i="34"/>
  <c r="AG8" i="34"/>
  <c r="AK8" i="34"/>
  <c r="AO8" i="34"/>
  <c r="AS8" i="34"/>
  <c r="AW8" i="34"/>
  <c r="BA8" i="34"/>
  <c r="BE8" i="34"/>
  <c r="BI8" i="34"/>
  <c r="BM8" i="34"/>
  <c r="I8" i="34"/>
  <c r="H8" i="34"/>
  <c r="K13" i="34"/>
  <c r="O13" i="34"/>
  <c r="S13" i="34"/>
  <c r="W13" i="34"/>
  <c r="AA13" i="34"/>
  <c r="AE13" i="34"/>
  <c r="AI13" i="34"/>
  <c r="AM13" i="34"/>
  <c r="AQ13" i="34"/>
  <c r="AU13" i="34"/>
  <c r="AY13" i="34"/>
  <c r="BC13" i="34"/>
  <c r="BG13" i="34"/>
  <c r="BK13" i="34"/>
  <c r="BO13" i="34"/>
  <c r="L13" i="34"/>
  <c r="P13" i="34"/>
  <c r="T13" i="34"/>
  <c r="X13" i="34"/>
  <c r="AB13" i="34"/>
  <c r="AF13" i="34"/>
  <c r="AJ13" i="34"/>
  <c r="AN13" i="34"/>
  <c r="AR13" i="34"/>
  <c r="AV13" i="34"/>
  <c r="AZ13" i="34"/>
  <c r="BD13" i="34"/>
  <c r="BH13" i="34"/>
  <c r="BL13" i="34"/>
  <c r="BP13" i="34"/>
  <c r="M13" i="34"/>
  <c r="Q13" i="34"/>
  <c r="U13" i="34"/>
  <c r="Y13" i="34"/>
  <c r="AC13" i="34"/>
  <c r="AG13" i="34"/>
  <c r="AK13" i="34"/>
  <c r="AO13" i="34"/>
  <c r="AS13" i="34"/>
  <c r="AW13" i="34"/>
  <c r="BA13" i="34"/>
  <c r="BE13" i="34"/>
  <c r="BI13" i="34"/>
  <c r="BM13" i="34"/>
  <c r="J13" i="34"/>
  <c r="N13" i="34"/>
  <c r="R13" i="34"/>
  <c r="V13" i="34"/>
  <c r="Z13" i="34"/>
  <c r="AD13" i="34"/>
  <c r="AH13" i="34"/>
  <c r="AL13" i="34"/>
  <c r="AP13" i="34"/>
  <c r="AT13" i="34"/>
  <c r="AX13" i="34"/>
  <c r="BB13" i="34"/>
  <c r="BF13" i="34"/>
  <c r="BJ13" i="34"/>
  <c r="BN13" i="34"/>
  <c r="I13" i="34"/>
  <c r="H13" i="34"/>
  <c r="K19" i="34"/>
  <c r="O19" i="34"/>
  <c r="S19" i="34"/>
  <c r="W19" i="34"/>
  <c r="AA19" i="34"/>
  <c r="AE19" i="34"/>
  <c r="AI19" i="34"/>
  <c r="AM19" i="34"/>
  <c r="AQ19" i="34"/>
  <c r="AU19" i="34"/>
  <c r="AY19" i="34"/>
  <c r="BC19" i="34"/>
  <c r="BG19" i="34"/>
  <c r="L19" i="34"/>
  <c r="P19" i="34"/>
  <c r="T19" i="34"/>
  <c r="X19" i="34"/>
  <c r="AB19" i="34"/>
  <c r="AF19" i="34"/>
  <c r="AJ19" i="34"/>
  <c r="AN19" i="34"/>
  <c r="AR19" i="34"/>
  <c r="AV19" i="34"/>
  <c r="M19" i="34"/>
  <c r="Q19" i="34"/>
  <c r="U19" i="34"/>
  <c r="Y19" i="34"/>
  <c r="AC19" i="34"/>
  <c r="AG19" i="34"/>
  <c r="AK19" i="34"/>
  <c r="AO19" i="34"/>
  <c r="AS19" i="34"/>
  <c r="AW19" i="34"/>
  <c r="BA19" i="34"/>
  <c r="BE19" i="34"/>
  <c r="BI19" i="34"/>
  <c r="BM19" i="34"/>
  <c r="J19" i="34"/>
  <c r="N19" i="34"/>
  <c r="R19" i="34"/>
  <c r="V19" i="34"/>
  <c r="Z19" i="34"/>
  <c r="AD19" i="34"/>
  <c r="AH19" i="34"/>
  <c r="AL19" i="34"/>
  <c r="AP19" i="34"/>
  <c r="AT19" i="34"/>
  <c r="AX19" i="34"/>
  <c r="BB19" i="34"/>
  <c r="BF19" i="34"/>
  <c r="BJ19" i="34"/>
  <c r="BN19" i="34"/>
  <c r="AZ19" i="34"/>
  <c r="BL19" i="34"/>
  <c r="BD19" i="34"/>
  <c r="BO19" i="34"/>
  <c r="BH19" i="34"/>
  <c r="BP19" i="34"/>
  <c r="BK19" i="34"/>
  <c r="I19" i="34"/>
  <c r="H19" i="34"/>
  <c r="L22" i="34"/>
  <c r="P22" i="34"/>
  <c r="T22" i="34"/>
  <c r="X22" i="34"/>
  <c r="AB22" i="34"/>
  <c r="AF22" i="34"/>
  <c r="AJ22" i="34"/>
  <c r="AN22" i="34"/>
  <c r="AR22" i="34"/>
  <c r="AV22" i="34"/>
  <c r="AZ22" i="34"/>
  <c r="BD22" i="34"/>
  <c r="BH22" i="34"/>
  <c r="BL22" i="34"/>
  <c r="BP22" i="34"/>
  <c r="M22" i="34"/>
  <c r="Q22" i="34"/>
  <c r="U22" i="34"/>
  <c r="Y22" i="34"/>
  <c r="AC22" i="34"/>
  <c r="AG22" i="34"/>
  <c r="AK22" i="34"/>
  <c r="AO22" i="34"/>
  <c r="AS22" i="34"/>
  <c r="AW22" i="34"/>
  <c r="BA22" i="34"/>
  <c r="BE22" i="34"/>
  <c r="BI22" i="34"/>
  <c r="BM22" i="34"/>
  <c r="J22" i="34"/>
  <c r="N22" i="34"/>
  <c r="R22" i="34"/>
  <c r="V22" i="34"/>
  <c r="Z22" i="34"/>
  <c r="AD22" i="34"/>
  <c r="AH22" i="34"/>
  <c r="AL22" i="34"/>
  <c r="AP22" i="34"/>
  <c r="AT22" i="34"/>
  <c r="AX22" i="34"/>
  <c r="BB22" i="34"/>
  <c r="BF22" i="34"/>
  <c r="BJ22" i="34"/>
  <c r="BN22" i="34"/>
  <c r="K22" i="34"/>
  <c r="O22" i="34"/>
  <c r="S22" i="34"/>
  <c r="W22" i="34"/>
  <c r="AA22" i="34"/>
  <c r="AE22" i="34"/>
  <c r="AI22" i="34"/>
  <c r="AM22" i="34"/>
  <c r="AQ22" i="34"/>
  <c r="AU22" i="34"/>
  <c r="AY22" i="34"/>
  <c r="BC22" i="34"/>
  <c r="BG22" i="34"/>
  <c r="BK22" i="34"/>
  <c r="BO22" i="34"/>
  <c r="I22" i="34"/>
  <c r="H22" i="34"/>
  <c r="L26" i="34"/>
  <c r="P26" i="34"/>
  <c r="T26" i="34"/>
  <c r="X26" i="34"/>
  <c r="AB26" i="34"/>
  <c r="AF26" i="34"/>
  <c r="AJ26" i="34"/>
  <c r="AN26" i="34"/>
  <c r="AR26" i="34"/>
  <c r="AV26" i="34"/>
  <c r="AZ26" i="34"/>
  <c r="BD26" i="34"/>
  <c r="BH26" i="34"/>
  <c r="BL26" i="34"/>
  <c r="BP26" i="34"/>
  <c r="M26" i="34"/>
  <c r="Q26" i="34"/>
  <c r="U26" i="34"/>
  <c r="Y26" i="34"/>
  <c r="AC26" i="34"/>
  <c r="AG26" i="34"/>
  <c r="AK26" i="34"/>
  <c r="AO26" i="34"/>
  <c r="AS26" i="34"/>
  <c r="AW26" i="34"/>
  <c r="BA26" i="34"/>
  <c r="BE26" i="34"/>
  <c r="BI26" i="34"/>
  <c r="BM26" i="34"/>
  <c r="J26" i="34"/>
  <c r="N26" i="34"/>
  <c r="R26" i="34"/>
  <c r="V26" i="34"/>
  <c r="Z26" i="34"/>
  <c r="AD26" i="34"/>
  <c r="AH26" i="34"/>
  <c r="AL26" i="34"/>
  <c r="AP26" i="34"/>
  <c r="AT26" i="34"/>
  <c r="AX26" i="34"/>
  <c r="BB26" i="34"/>
  <c r="BF26" i="34"/>
  <c r="BJ26" i="34"/>
  <c r="BN26" i="34"/>
  <c r="K26" i="34"/>
  <c r="O26" i="34"/>
  <c r="S26" i="34"/>
  <c r="W26" i="34"/>
  <c r="AA26" i="34"/>
  <c r="AE26" i="34"/>
  <c r="AI26" i="34"/>
  <c r="AM26" i="34"/>
  <c r="AQ26" i="34"/>
  <c r="AU26" i="34"/>
  <c r="AY26" i="34"/>
  <c r="BC26" i="34"/>
  <c r="BG26" i="34"/>
  <c r="BK26" i="34"/>
  <c r="BO26" i="34"/>
  <c r="H26" i="34"/>
  <c r="I26" i="34"/>
  <c r="L30" i="34"/>
  <c r="P30" i="34"/>
  <c r="T30" i="34"/>
  <c r="X30" i="34"/>
  <c r="AB30" i="34"/>
  <c r="AF30" i="34"/>
  <c r="AJ30" i="34"/>
  <c r="AN30" i="34"/>
  <c r="AR30" i="34"/>
  <c r="AV30" i="34"/>
  <c r="AZ30" i="34"/>
  <c r="BD30" i="34"/>
  <c r="BH30" i="34"/>
  <c r="BL30" i="34"/>
  <c r="BP30" i="34"/>
  <c r="M30" i="34"/>
  <c r="Q30" i="34"/>
  <c r="U30" i="34"/>
  <c r="Y30" i="34"/>
  <c r="AC30" i="34"/>
  <c r="AG30" i="34"/>
  <c r="AK30" i="34"/>
  <c r="AO30" i="34"/>
  <c r="AS30" i="34"/>
  <c r="AW30" i="34"/>
  <c r="BA30" i="34"/>
  <c r="BE30" i="34"/>
  <c r="BI30" i="34"/>
  <c r="BM30" i="34"/>
  <c r="J30" i="34"/>
  <c r="N30" i="34"/>
  <c r="R30" i="34"/>
  <c r="V30" i="34"/>
  <c r="Z30" i="34"/>
  <c r="AD30" i="34"/>
  <c r="AH30" i="34"/>
  <c r="AL30" i="34"/>
  <c r="AP30" i="34"/>
  <c r="AT30" i="34"/>
  <c r="AX30" i="34"/>
  <c r="BB30" i="34"/>
  <c r="BF30" i="34"/>
  <c r="BJ30" i="34"/>
  <c r="BN30" i="34"/>
  <c r="K30" i="34"/>
  <c r="O30" i="34"/>
  <c r="S30" i="34"/>
  <c r="W30" i="34"/>
  <c r="AA30" i="34"/>
  <c r="AE30" i="34"/>
  <c r="AI30" i="34"/>
  <c r="AM30" i="34"/>
  <c r="AQ30" i="34"/>
  <c r="AU30" i="34"/>
  <c r="AY30" i="34"/>
  <c r="BC30" i="34"/>
  <c r="BG30" i="34"/>
  <c r="BK30" i="34"/>
  <c r="BO30" i="34"/>
  <c r="I30" i="34"/>
  <c r="H30" i="34"/>
  <c r="K34" i="34"/>
  <c r="O34" i="34"/>
  <c r="S34" i="34"/>
  <c r="W34" i="34"/>
  <c r="AA34" i="34"/>
  <c r="AE34" i="34"/>
  <c r="AI34" i="34"/>
  <c r="AM34" i="34"/>
  <c r="AQ34" i="34"/>
  <c r="AU34" i="34"/>
  <c r="AY34" i="34"/>
  <c r="BC34" i="34"/>
  <c r="BG34" i="34"/>
  <c r="BK34" i="34"/>
  <c r="BO34" i="34"/>
  <c r="L34" i="34"/>
  <c r="P34" i="34"/>
  <c r="T34" i="34"/>
  <c r="X34" i="34"/>
  <c r="AB34" i="34"/>
  <c r="AF34" i="34"/>
  <c r="AJ34" i="34"/>
  <c r="AN34" i="34"/>
  <c r="AR34" i="34"/>
  <c r="AV34" i="34"/>
  <c r="AZ34" i="34"/>
  <c r="BD34" i="34"/>
  <c r="BH34" i="34"/>
  <c r="BL34" i="34"/>
  <c r="BP34" i="34"/>
  <c r="M34" i="34"/>
  <c r="Q34" i="34"/>
  <c r="U34" i="34"/>
  <c r="Y34" i="34"/>
  <c r="AC34" i="34"/>
  <c r="AG34" i="34"/>
  <c r="AK34" i="34"/>
  <c r="AO34" i="34"/>
  <c r="AS34" i="34"/>
  <c r="AW34" i="34"/>
  <c r="BA34" i="34"/>
  <c r="BE34" i="34"/>
  <c r="BI34" i="34"/>
  <c r="BM34" i="34"/>
  <c r="J34" i="34"/>
  <c r="N34" i="34"/>
  <c r="R34" i="34"/>
  <c r="V34" i="34"/>
  <c r="Z34" i="34"/>
  <c r="AD34" i="34"/>
  <c r="AH34" i="34"/>
  <c r="AL34" i="34"/>
  <c r="AP34" i="34"/>
  <c r="AT34" i="34"/>
  <c r="AX34" i="34"/>
  <c r="BB34" i="34"/>
  <c r="BF34" i="34"/>
  <c r="BJ34" i="34"/>
  <c r="BN34" i="34"/>
  <c r="H34" i="34"/>
  <c r="I34" i="34"/>
  <c r="L39" i="34"/>
  <c r="P39" i="34"/>
  <c r="T39" i="34"/>
  <c r="X39" i="34"/>
  <c r="AB39" i="34"/>
  <c r="AF39" i="34"/>
  <c r="M39" i="34"/>
  <c r="Q39" i="34"/>
  <c r="U39" i="34"/>
  <c r="Y39" i="34"/>
  <c r="AC39" i="34"/>
  <c r="AG39" i="34"/>
  <c r="J39" i="34"/>
  <c r="N39" i="34"/>
  <c r="R39" i="34"/>
  <c r="V39" i="34"/>
  <c r="Z39" i="34"/>
  <c r="AD39" i="34"/>
  <c r="AH39" i="34"/>
  <c r="K39" i="34"/>
  <c r="O39" i="34"/>
  <c r="S39" i="34"/>
  <c r="W39" i="34"/>
  <c r="AA39" i="34"/>
  <c r="AE39" i="34"/>
  <c r="I39" i="34"/>
  <c r="H39" i="34"/>
  <c r="L43" i="34"/>
  <c r="P43" i="34"/>
  <c r="T43" i="34"/>
  <c r="X43" i="34"/>
  <c r="AB43" i="34"/>
  <c r="AF43" i="34"/>
  <c r="K43" i="34"/>
  <c r="O43" i="34"/>
  <c r="S43" i="34"/>
  <c r="W43" i="34"/>
  <c r="AA43" i="34"/>
  <c r="AE43" i="34"/>
  <c r="M43" i="34"/>
  <c r="U43" i="34"/>
  <c r="AC43" i="34"/>
  <c r="N43" i="34"/>
  <c r="V43" i="34"/>
  <c r="AD43" i="34"/>
  <c r="Q43" i="34"/>
  <c r="Y43" i="34"/>
  <c r="AG43" i="34"/>
  <c r="J43" i="34"/>
  <c r="R43" i="34"/>
  <c r="Z43" i="34"/>
  <c r="AH43" i="34"/>
  <c r="I43" i="34"/>
  <c r="H43" i="34"/>
  <c r="L47" i="34"/>
  <c r="P47" i="34"/>
  <c r="T47" i="34"/>
  <c r="X47" i="34"/>
  <c r="AB47" i="34"/>
  <c r="AF47" i="34"/>
  <c r="M47" i="34"/>
  <c r="Q47" i="34"/>
  <c r="U47" i="34"/>
  <c r="Y47" i="34"/>
  <c r="AC47" i="34"/>
  <c r="AG47" i="34"/>
  <c r="J47" i="34"/>
  <c r="N47" i="34"/>
  <c r="R47" i="34"/>
  <c r="V47" i="34"/>
  <c r="Z47" i="34"/>
  <c r="AD47" i="34"/>
  <c r="AH47" i="34"/>
  <c r="K47" i="34"/>
  <c r="O47" i="34"/>
  <c r="S47" i="34"/>
  <c r="W47" i="34"/>
  <c r="AA47" i="34"/>
  <c r="AE47" i="34"/>
  <c r="I47" i="34"/>
  <c r="H47" i="34"/>
  <c r="L51" i="34"/>
  <c r="P51" i="34"/>
  <c r="T51" i="34"/>
  <c r="X51" i="34"/>
  <c r="AB51" i="34"/>
  <c r="AF51" i="34"/>
  <c r="M51" i="34"/>
  <c r="Q51" i="34"/>
  <c r="U51" i="34"/>
  <c r="Y51" i="34"/>
  <c r="AC51" i="34"/>
  <c r="AG51" i="34"/>
  <c r="J51" i="34"/>
  <c r="N51" i="34"/>
  <c r="R51" i="34"/>
  <c r="V51" i="34"/>
  <c r="Z51" i="34"/>
  <c r="AD51" i="34"/>
  <c r="AH51" i="34"/>
  <c r="K51" i="34"/>
  <c r="O51" i="34"/>
  <c r="S51" i="34"/>
  <c r="W51" i="34"/>
  <c r="AA51" i="34"/>
  <c r="AE51" i="34"/>
  <c r="I51" i="34"/>
  <c r="H51" i="34"/>
  <c r="J4" i="34"/>
  <c r="N4" i="34"/>
  <c r="R4" i="34"/>
  <c r="V4" i="34"/>
  <c r="Z4" i="34"/>
  <c r="AD4" i="34"/>
  <c r="AH4" i="34"/>
  <c r="AL4" i="34"/>
  <c r="AP4" i="34"/>
  <c r="AT4" i="34"/>
  <c r="AX4" i="34"/>
  <c r="BB4" i="34"/>
  <c r="BF4" i="34"/>
  <c r="BJ4" i="34"/>
  <c r="BN4" i="34"/>
  <c r="K4" i="34"/>
  <c r="O4" i="34"/>
  <c r="S4" i="34"/>
  <c r="W4" i="34"/>
  <c r="AA4" i="34"/>
  <c r="AE4" i="34"/>
  <c r="AI4" i="34"/>
  <c r="AM4" i="34"/>
  <c r="AQ4" i="34"/>
  <c r="AU4" i="34"/>
  <c r="AY4" i="34"/>
  <c r="BC4" i="34"/>
  <c r="BG4" i="34"/>
  <c r="BK4" i="34"/>
  <c r="BO4" i="34"/>
  <c r="L4" i="34"/>
  <c r="P4" i="34"/>
  <c r="T4" i="34"/>
  <c r="X4" i="34"/>
  <c r="AB4" i="34"/>
  <c r="AF4" i="34"/>
  <c r="AJ4" i="34"/>
  <c r="AN4" i="34"/>
  <c r="AR4" i="34"/>
  <c r="AV4" i="34"/>
  <c r="AZ4" i="34"/>
  <c r="BD4" i="34"/>
  <c r="BH4" i="34"/>
  <c r="BL4" i="34"/>
  <c r="BP4" i="34"/>
  <c r="M4" i="34"/>
  <c r="Q4" i="34"/>
  <c r="U4" i="34"/>
  <c r="Y4" i="34"/>
  <c r="AC4" i="34"/>
  <c r="AG4" i="34"/>
  <c r="AK4" i="34"/>
  <c r="AO4" i="34"/>
  <c r="AS4" i="34"/>
  <c r="AW4" i="34"/>
  <c r="BA4" i="34"/>
  <c r="BE4" i="34"/>
  <c r="BI4" i="34"/>
  <c r="BM4" i="34"/>
  <c r="I4" i="34"/>
  <c r="H4" i="34"/>
  <c r="L10" i="34"/>
  <c r="P10" i="34"/>
  <c r="T10" i="34"/>
  <c r="X10" i="34"/>
  <c r="AB10" i="34"/>
  <c r="AF10" i="34"/>
  <c r="AJ10" i="34"/>
  <c r="AN10" i="34"/>
  <c r="AR10" i="34"/>
  <c r="AV10" i="34"/>
  <c r="AZ10" i="34"/>
  <c r="BD10" i="34"/>
  <c r="BH10" i="34"/>
  <c r="BL10" i="34"/>
  <c r="BP10" i="34"/>
  <c r="M10" i="34"/>
  <c r="Q10" i="34"/>
  <c r="U10" i="34"/>
  <c r="Y10" i="34"/>
  <c r="AC10" i="34"/>
  <c r="AG10" i="34"/>
  <c r="AK10" i="34"/>
  <c r="AO10" i="34"/>
  <c r="AS10" i="34"/>
  <c r="AW10" i="34"/>
  <c r="BA10" i="34"/>
  <c r="BE10" i="34"/>
  <c r="BI10" i="34"/>
  <c r="BM10" i="34"/>
  <c r="J10" i="34"/>
  <c r="N10" i="34"/>
  <c r="R10" i="34"/>
  <c r="V10" i="34"/>
  <c r="Z10" i="34"/>
  <c r="AD10" i="34"/>
  <c r="AH10" i="34"/>
  <c r="AL10" i="34"/>
  <c r="AP10" i="34"/>
  <c r="AT10" i="34"/>
  <c r="AX10" i="34"/>
  <c r="BB10" i="34"/>
  <c r="BF10" i="34"/>
  <c r="BJ10" i="34"/>
  <c r="BN10" i="34"/>
  <c r="K10" i="34"/>
  <c r="O10" i="34"/>
  <c r="S10" i="34"/>
  <c r="W10" i="34"/>
  <c r="AA10" i="34"/>
  <c r="AE10" i="34"/>
  <c r="AI10" i="34"/>
  <c r="AM10" i="34"/>
  <c r="AQ10" i="34"/>
  <c r="AU10" i="34"/>
  <c r="AY10" i="34"/>
  <c r="BC10" i="34"/>
  <c r="BG10" i="34"/>
  <c r="BK10" i="34"/>
  <c r="BO10" i="34"/>
  <c r="H10" i="34"/>
  <c r="I10" i="34"/>
  <c r="L16" i="34"/>
  <c r="P16" i="34"/>
  <c r="T16" i="34"/>
  <c r="X16" i="34"/>
  <c r="AB16" i="34"/>
  <c r="AF16" i="34"/>
  <c r="AJ16" i="34"/>
  <c r="AN16" i="34"/>
  <c r="AR16" i="34"/>
  <c r="AV16" i="34"/>
  <c r="AZ16" i="34"/>
  <c r="BD16" i="34"/>
  <c r="BH16" i="34"/>
  <c r="BL16" i="34"/>
  <c r="BP16" i="34"/>
  <c r="M16" i="34"/>
  <c r="Q16" i="34"/>
  <c r="U16" i="34"/>
  <c r="Y16" i="34"/>
  <c r="AC16" i="34"/>
  <c r="AG16" i="34"/>
  <c r="AK16" i="34"/>
  <c r="AO16" i="34"/>
  <c r="AS16" i="34"/>
  <c r="AW16" i="34"/>
  <c r="BA16" i="34"/>
  <c r="BE16" i="34"/>
  <c r="BI16" i="34"/>
  <c r="BM16" i="34"/>
  <c r="J16" i="34"/>
  <c r="N16" i="34"/>
  <c r="R16" i="34"/>
  <c r="V16" i="34"/>
  <c r="Z16" i="34"/>
  <c r="AD16" i="34"/>
  <c r="AH16" i="34"/>
  <c r="AL16" i="34"/>
  <c r="AP16" i="34"/>
  <c r="AT16" i="34"/>
  <c r="AX16" i="34"/>
  <c r="BB16" i="34"/>
  <c r="BF16" i="34"/>
  <c r="BJ16" i="34"/>
  <c r="BN16" i="34"/>
  <c r="K16" i="34"/>
  <c r="O16" i="34"/>
  <c r="S16" i="34"/>
  <c r="W16" i="34"/>
  <c r="AA16" i="34"/>
  <c r="AE16" i="34"/>
  <c r="AI16" i="34"/>
  <c r="AM16" i="34"/>
  <c r="AQ16" i="34"/>
  <c r="AU16" i="34"/>
  <c r="AY16" i="34"/>
  <c r="BC16" i="34"/>
  <c r="BG16" i="34"/>
  <c r="BK16" i="34"/>
  <c r="BO16" i="34"/>
  <c r="I16" i="34"/>
  <c r="H16" i="34"/>
  <c r="J20" i="34"/>
  <c r="N20" i="34"/>
  <c r="R20" i="34"/>
  <c r="V20" i="34"/>
  <c r="Z20" i="34"/>
  <c r="AD20" i="34"/>
  <c r="AH20" i="34"/>
  <c r="AL20" i="34"/>
  <c r="AP20" i="34"/>
  <c r="AT20" i="34"/>
  <c r="AX20" i="34"/>
  <c r="BB20" i="34"/>
  <c r="BF20" i="34"/>
  <c r="BJ20" i="34"/>
  <c r="BN20" i="34"/>
  <c r="K20" i="34"/>
  <c r="O20" i="34"/>
  <c r="S20" i="34"/>
  <c r="W20" i="34"/>
  <c r="AA20" i="34"/>
  <c r="AE20" i="34"/>
  <c r="AI20" i="34"/>
  <c r="AM20" i="34"/>
  <c r="AQ20" i="34"/>
  <c r="AU20" i="34"/>
  <c r="AY20" i="34"/>
  <c r="BC20" i="34"/>
  <c r="BG20" i="34"/>
  <c r="BK20" i="34"/>
  <c r="BO20" i="34"/>
  <c r="M20" i="34"/>
  <c r="U20" i="34"/>
  <c r="AC20" i="34"/>
  <c r="AK20" i="34"/>
  <c r="AS20" i="34"/>
  <c r="BA20" i="34"/>
  <c r="BI20" i="34"/>
  <c r="P20" i="34"/>
  <c r="X20" i="34"/>
  <c r="AF20" i="34"/>
  <c r="AN20" i="34"/>
  <c r="AV20" i="34"/>
  <c r="BD20" i="34"/>
  <c r="BL20" i="34"/>
  <c r="Q20" i="34"/>
  <c r="Y20" i="34"/>
  <c r="AG20" i="34"/>
  <c r="AO20" i="34"/>
  <c r="AW20" i="34"/>
  <c r="BE20" i="34"/>
  <c r="BM20" i="34"/>
  <c r="L20" i="34"/>
  <c r="T20" i="34"/>
  <c r="AB20" i="34"/>
  <c r="AJ20" i="34"/>
  <c r="AR20" i="34"/>
  <c r="AZ20" i="34"/>
  <c r="BH20" i="34"/>
  <c r="BP20" i="34"/>
  <c r="I20" i="34"/>
  <c r="H20" i="34"/>
  <c r="M23" i="34"/>
  <c r="Q23" i="34"/>
  <c r="U23" i="34"/>
  <c r="Y23" i="34"/>
  <c r="AC23" i="34"/>
  <c r="AG23" i="34"/>
  <c r="AK23" i="34"/>
  <c r="AO23" i="34"/>
  <c r="AS23" i="34"/>
  <c r="AW23" i="34"/>
  <c r="BA23" i="34"/>
  <c r="BE23" i="34"/>
  <c r="BI23" i="34"/>
  <c r="BM23" i="34"/>
  <c r="J23" i="34"/>
  <c r="N23" i="34"/>
  <c r="R23" i="34"/>
  <c r="V23" i="34"/>
  <c r="Z23" i="34"/>
  <c r="AD23" i="34"/>
  <c r="AH23" i="34"/>
  <c r="AL23" i="34"/>
  <c r="AP23" i="34"/>
  <c r="AT23" i="34"/>
  <c r="AX23" i="34"/>
  <c r="BB23" i="34"/>
  <c r="BF23" i="34"/>
  <c r="BJ23" i="34"/>
  <c r="BN23" i="34"/>
  <c r="K23" i="34"/>
  <c r="O23" i="34"/>
  <c r="S23" i="34"/>
  <c r="W23" i="34"/>
  <c r="AA23" i="34"/>
  <c r="AE23" i="34"/>
  <c r="AI23" i="34"/>
  <c r="AM23" i="34"/>
  <c r="AQ23" i="34"/>
  <c r="AU23" i="34"/>
  <c r="AY23" i="34"/>
  <c r="BC23" i="34"/>
  <c r="BG23" i="34"/>
  <c r="BK23" i="34"/>
  <c r="BO23" i="34"/>
  <c r="L23" i="34"/>
  <c r="P23" i="34"/>
  <c r="T23" i="34"/>
  <c r="X23" i="34"/>
  <c r="AB23" i="34"/>
  <c r="AF23" i="34"/>
  <c r="AJ23" i="34"/>
  <c r="AN23" i="34"/>
  <c r="AR23" i="34"/>
  <c r="AV23" i="34"/>
  <c r="AZ23" i="34"/>
  <c r="BD23" i="34"/>
  <c r="BH23" i="34"/>
  <c r="BL23" i="34"/>
  <c r="BP23" i="34"/>
  <c r="I23" i="34"/>
  <c r="H23" i="34"/>
  <c r="M27" i="34"/>
  <c r="Q27" i="34"/>
  <c r="U27" i="34"/>
  <c r="Y27" i="34"/>
  <c r="AC27" i="34"/>
  <c r="AG27" i="34"/>
  <c r="AK27" i="34"/>
  <c r="AO27" i="34"/>
  <c r="AS27" i="34"/>
  <c r="AW27" i="34"/>
  <c r="BA27" i="34"/>
  <c r="BE27" i="34"/>
  <c r="BI27" i="34"/>
  <c r="BM27" i="34"/>
  <c r="J27" i="34"/>
  <c r="N27" i="34"/>
  <c r="R27" i="34"/>
  <c r="V27" i="34"/>
  <c r="Z27" i="34"/>
  <c r="AD27" i="34"/>
  <c r="AH27" i="34"/>
  <c r="AL27" i="34"/>
  <c r="AP27" i="34"/>
  <c r="AT27" i="34"/>
  <c r="AX27" i="34"/>
  <c r="BB27" i="34"/>
  <c r="BF27" i="34"/>
  <c r="BJ27" i="34"/>
  <c r="BN27" i="34"/>
  <c r="K27" i="34"/>
  <c r="O27" i="34"/>
  <c r="S27" i="34"/>
  <c r="W27" i="34"/>
  <c r="AA27" i="34"/>
  <c r="AE27" i="34"/>
  <c r="AI27" i="34"/>
  <c r="AM27" i="34"/>
  <c r="AQ27" i="34"/>
  <c r="AU27" i="34"/>
  <c r="AY27" i="34"/>
  <c r="BC27" i="34"/>
  <c r="BG27" i="34"/>
  <c r="BK27" i="34"/>
  <c r="BO27" i="34"/>
  <c r="L27" i="34"/>
  <c r="P27" i="34"/>
  <c r="T27" i="34"/>
  <c r="X27" i="34"/>
  <c r="AB27" i="34"/>
  <c r="AF27" i="34"/>
  <c r="AJ27" i="34"/>
  <c r="AN27" i="34"/>
  <c r="AR27" i="34"/>
  <c r="AV27" i="34"/>
  <c r="AZ27" i="34"/>
  <c r="BD27" i="34"/>
  <c r="BH27" i="34"/>
  <c r="BL27" i="34"/>
  <c r="BP27" i="34"/>
  <c r="I27" i="34"/>
  <c r="H27" i="34"/>
  <c r="M31" i="34"/>
  <c r="Q31" i="34"/>
  <c r="U31" i="34"/>
  <c r="Y31" i="34"/>
  <c r="AC31" i="34"/>
  <c r="AG31" i="34"/>
  <c r="AK31" i="34"/>
  <c r="AO31" i="34"/>
  <c r="AS31" i="34"/>
  <c r="AW31" i="34"/>
  <c r="BA31" i="34"/>
  <c r="BE31" i="34"/>
  <c r="BI31" i="34"/>
  <c r="J31" i="34"/>
  <c r="N31" i="34"/>
  <c r="R31" i="34"/>
  <c r="V31" i="34"/>
  <c r="Z31" i="34"/>
  <c r="AD31" i="34"/>
  <c r="AH31" i="34"/>
  <c r="AL31" i="34"/>
  <c r="AP31" i="34"/>
  <c r="AT31" i="34"/>
  <c r="AX31" i="34"/>
  <c r="BB31" i="34"/>
  <c r="BF31" i="34"/>
  <c r="BJ31" i="34"/>
  <c r="K31" i="34"/>
  <c r="O31" i="34"/>
  <c r="S31" i="34"/>
  <c r="W31" i="34"/>
  <c r="AA31" i="34"/>
  <c r="AE31" i="34"/>
  <c r="AI31" i="34"/>
  <c r="AM31" i="34"/>
  <c r="AQ31" i="34"/>
  <c r="AU31" i="34"/>
  <c r="AY31" i="34"/>
  <c r="BC31" i="34"/>
  <c r="BG31" i="34"/>
  <c r="BK31" i="34"/>
  <c r="L31" i="34"/>
  <c r="P31" i="34"/>
  <c r="T31" i="34"/>
  <c r="X31" i="34"/>
  <c r="AB31" i="34"/>
  <c r="AF31" i="34"/>
  <c r="AJ31" i="34"/>
  <c r="AN31" i="34"/>
  <c r="AR31" i="34"/>
  <c r="AV31" i="34"/>
  <c r="AZ31" i="34"/>
  <c r="BD31" i="34"/>
  <c r="BH31" i="34"/>
  <c r="BL31" i="34"/>
  <c r="BP31" i="34"/>
  <c r="BM31" i="34"/>
  <c r="BN31" i="34"/>
  <c r="BO31" i="34"/>
  <c r="I31" i="34"/>
  <c r="H31" i="34"/>
  <c r="L35" i="34"/>
  <c r="P35" i="34"/>
  <c r="T35" i="34"/>
  <c r="X35" i="34"/>
  <c r="AB35" i="34"/>
  <c r="AF35" i="34"/>
  <c r="AJ35" i="34"/>
  <c r="AN35" i="34"/>
  <c r="AR35" i="34"/>
  <c r="AV35" i="34"/>
  <c r="AZ35" i="34"/>
  <c r="BD35" i="34"/>
  <c r="BH35" i="34"/>
  <c r="BL35" i="34"/>
  <c r="BP35" i="34"/>
  <c r="M35" i="34"/>
  <c r="Q35" i="34"/>
  <c r="U35" i="34"/>
  <c r="Y35" i="34"/>
  <c r="AC35" i="34"/>
  <c r="AG35" i="34"/>
  <c r="AK35" i="34"/>
  <c r="AO35" i="34"/>
  <c r="AS35" i="34"/>
  <c r="AW35" i="34"/>
  <c r="BA35" i="34"/>
  <c r="BE35" i="34"/>
  <c r="BI35" i="34"/>
  <c r="BM35" i="34"/>
  <c r="J35" i="34"/>
  <c r="N35" i="34"/>
  <c r="R35" i="34"/>
  <c r="V35" i="34"/>
  <c r="Z35" i="34"/>
  <c r="AD35" i="34"/>
  <c r="AH35" i="34"/>
  <c r="AL35" i="34"/>
  <c r="AP35" i="34"/>
  <c r="AT35" i="34"/>
  <c r="AX35" i="34"/>
  <c r="BB35" i="34"/>
  <c r="BF35" i="34"/>
  <c r="BJ35" i="34"/>
  <c r="BN35" i="34"/>
  <c r="K35" i="34"/>
  <c r="O35" i="34"/>
  <c r="S35" i="34"/>
  <c r="W35" i="34"/>
  <c r="AA35" i="34"/>
  <c r="AE35" i="34"/>
  <c r="AI35" i="34"/>
  <c r="AM35" i="34"/>
  <c r="AQ35" i="34"/>
  <c r="AU35" i="34"/>
  <c r="AY35" i="34"/>
  <c r="BC35" i="34"/>
  <c r="BG35" i="34"/>
  <c r="BK35" i="34"/>
  <c r="BO35" i="34"/>
  <c r="H35" i="34"/>
  <c r="I35" i="34"/>
  <c r="M36" i="34"/>
  <c r="Q36" i="34"/>
  <c r="U36" i="34"/>
  <c r="Y36" i="34"/>
  <c r="AC36" i="34"/>
  <c r="AG36" i="34"/>
  <c r="J36" i="34"/>
  <c r="N36" i="34"/>
  <c r="R36" i="34"/>
  <c r="V36" i="34"/>
  <c r="Z36" i="34"/>
  <c r="AD36" i="34"/>
  <c r="AH36" i="34"/>
  <c r="K36" i="34"/>
  <c r="O36" i="34"/>
  <c r="S36" i="34"/>
  <c r="W36" i="34"/>
  <c r="AA36" i="34"/>
  <c r="AE36" i="34"/>
  <c r="L36" i="34"/>
  <c r="P36" i="34"/>
  <c r="T36" i="34"/>
  <c r="X36" i="34"/>
  <c r="AB36" i="34"/>
  <c r="AF36" i="34"/>
  <c r="I36" i="34"/>
  <c r="H36" i="34"/>
  <c r="M40" i="34"/>
  <c r="Q40" i="34"/>
  <c r="U40" i="34"/>
  <c r="Y40" i="34"/>
  <c r="AC40" i="34"/>
  <c r="AG40" i="34"/>
  <c r="J40" i="34"/>
  <c r="N40" i="34"/>
  <c r="R40" i="34"/>
  <c r="V40" i="34"/>
  <c r="Z40" i="34"/>
  <c r="AD40" i="34"/>
  <c r="AH40" i="34"/>
  <c r="K40" i="34"/>
  <c r="O40" i="34"/>
  <c r="S40" i="34"/>
  <c r="W40" i="34"/>
  <c r="AA40" i="34"/>
  <c r="AE40" i="34"/>
  <c r="L40" i="34"/>
  <c r="P40" i="34"/>
  <c r="T40" i="34"/>
  <c r="X40" i="34"/>
  <c r="AB40" i="34"/>
  <c r="AF40" i="34"/>
  <c r="H40" i="34"/>
  <c r="I40" i="34"/>
  <c r="M44" i="34"/>
  <c r="Q44" i="34"/>
  <c r="U44" i="34"/>
  <c r="Y44" i="34"/>
  <c r="AC44" i="34"/>
  <c r="AG44" i="34"/>
  <c r="J44" i="34"/>
  <c r="N44" i="34"/>
  <c r="R44" i="34"/>
  <c r="V44" i="34"/>
  <c r="Z44" i="34"/>
  <c r="AD44" i="34"/>
  <c r="AH44" i="34"/>
  <c r="K44" i="34"/>
  <c r="O44" i="34"/>
  <c r="S44" i="34"/>
  <c r="W44" i="34"/>
  <c r="AA44" i="34"/>
  <c r="AE44" i="34"/>
  <c r="L44" i="34"/>
  <c r="P44" i="34"/>
  <c r="T44" i="34"/>
  <c r="X44" i="34"/>
  <c r="AB44" i="34"/>
  <c r="AF44" i="34"/>
  <c r="H44" i="34"/>
  <c r="I44" i="34"/>
  <c r="M48" i="34"/>
  <c r="Q48" i="34"/>
  <c r="U48" i="34"/>
  <c r="Y48" i="34"/>
  <c r="AC48" i="34"/>
  <c r="AG48" i="34"/>
  <c r="J48" i="34"/>
  <c r="N48" i="34"/>
  <c r="R48" i="34"/>
  <c r="V48" i="34"/>
  <c r="Z48" i="34"/>
  <c r="AD48" i="34"/>
  <c r="AH48" i="34"/>
  <c r="K48" i="34"/>
  <c r="O48" i="34"/>
  <c r="S48" i="34"/>
  <c r="W48" i="34"/>
  <c r="AA48" i="34"/>
  <c r="AE48" i="34"/>
  <c r="L48" i="34"/>
  <c r="P48" i="34"/>
  <c r="T48" i="34"/>
  <c r="X48" i="34"/>
  <c r="AB48" i="34"/>
  <c r="AF48" i="34"/>
  <c r="H48" i="34"/>
  <c r="I48" i="34"/>
  <c r="L53" i="34"/>
  <c r="P53" i="34"/>
  <c r="T53" i="34"/>
  <c r="X53" i="34"/>
  <c r="AB53" i="34"/>
  <c r="AF53" i="34"/>
  <c r="M53" i="34"/>
  <c r="Q53" i="34"/>
  <c r="U53" i="34"/>
  <c r="Y53" i="34"/>
  <c r="AC53" i="34"/>
  <c r="AG53" i="34"/>
  <c r="O53" i="34"/>
  <c r="W53" i="34"/>
  <c r="AE53" i="34"/>
  <c r="I53" i="34"/>
  <c r="J53" i="34"/>
  <c r="R53" i="34"/>
  <c r="Z53" i="34"/>
  <c r="AH53" i="34"/>
  <c r="H53" i="34"/>
  <c r="K53" i="34"/>
  <c r="S53" i="34"/>
  <c r="AA53" i="34"/>
  <c r="N53" i="34"/>
  <c r="V53" i="34"/>
  <c r="AD53" i="34"/>
  <c r="L6" i="34"/>
  <c r="P6" i="34"/>
  <c r="T6" i="34"/>
  <c r="X6" i="34"/>
  <c r="AB6" i="34"/>
  <c r="AF6" i="34"/>
  <c r="AJ6" i="34"/>
  <c r="AN6" i="34"/>
  <c r="AR6" i="34"/>
  <c r="AV6" i="34"/>
  <c r="AZ6" i="34"/>
  <c r="BD6" i="34"/>
  <c r="BH6" i="34"/>
  <c r="BL6" i="34"/>
  <c r="BP6" i="34"/>
  <c r="M6" i="34"/>
  <c r="Q6" i="34"/>
  <c r="U6" i="34"/>
  <c r="Y6" i="34"/>
  <c r="AC6" i="34"/>
  <c r="AG6" i="34"/>
  <c r="AK6" i="34"/>
  <c r="AO6" i="34"/>
  <c r="AS6" i="34"/>
  <c r="AW6" i="34"/>
  <c r="BA6" i="34"/>
  <c r="BE6" i="34"/>
  <c r="BI6" i="34"/>
  <c r="BM6" i="34"/>
  <c r="J6" i="34"/>
  <c r="N6" i="34"/>
  <c r="R6" i="34"/>
  <c r="V6" i="34"/>
  <c r="Z6" i="34"/>
  <c r="AD6" i="34"/>
  <c r="AH6" i="34"/>
  <c r="AL6" i="34"/>
  <c r="AP6" i="34"/>
  <c r="AT6" i="34"/>
  <c r="AX6" i="34"/>
  <c r="BB6" i="34"/>
  <c r="BF6" i="34"/>
  <c r="BJ6" i="34"/>
  <c r="BN6" i="34"/>
  <c r="K6" i="34"/>
  <c r="O6" i="34"/>
  <c r="S6" i="34"/>
  <c r="W6" i="34"/>
  <c r="AA6" i="34"/>
  <c r="AE6" i="34"/>
  <c r="AI6" i="34"/>
  <c r="AM6" i="34"/>
  <c r="AQ6" i="34"/>
  <c r="AU6" i="34"/>
  <c r="AY6" i="34"/>
  <c r="BC6" i="34"/>
  <c r="BG6" i="34"/>
  <c r="BK6" i="34"/>
  <c r="BO6" i="34"/>
  <c r="I6" i="34"/>
  <c r="H6" i="34"/>
  <c r="J18" i="34"/>
  <c r="N18" i="34"/>
  <c r="R18" i="34"/>
  <c r="V18" i="34"/>
  <c r="Z18" i="34"/>
  <c r="AD18" i="34"/>
  <c r="AH18" i="34"/>
  <c r="AL18" i="34"/>
  <c r="AP18" i="34"/>
  <c r="AT18" i="34"/>
  <c r="AX18" i="34"/>
  <c r="BB18" i="34"/>
  <c r="BF18" i="34"/>
  <c r="BJ18" i="34"/>
  <c r="BN18" i="34"/>
  <c r="K18" i="34"/>
  <c r="O18" i="34"/>
  <c r="S18" i="34"/>
  <c r="W18" i="34"/>
  <c r="AA18" i="34"/>
  <c r="AE18" i="34"/>
  <c r="AI18" i="34"/>
  <c r="AM18" i="34"/>
  <c r="AQ18" i="34"/>
  <c r="AU18" i="34"/>
  <c r="AY18" i="34"/>
  <c r="BC18" i="34"/>
  <c r="BG18" i="34"/>
  <c r="BK18" i="34"/>
  <c r="BO18" i="34"/>
  <c r="L18" i="34"/>
  <c r="P18" i="34"/>
  <c r="T18" i="34"/>
  <c r="X18" i="34"/>
  <c r="AB18" i="34"/>
  <c r="AF18" i="34"/>
  <c r="AJ18" i="34"/>
  <c r="AN18" i="34"/>
  <c r="AR18" i="34"/>
  <c r="AV18" i="34"/>
  <c r="AZ18" i="34"/>
  <c r="BD18" i="34"/>
  <c r="BH18" i="34"/>
  <c r="BL18" i="34"/>
  <c r="BP18" i="34"/>
  <c r="M18" i="34"/>
  <c r="Q18" i="34"/>
  <c r="U18" i="34"/>
  <c r="Y18" i="34"/>
  <c r="AC18" i="34"/>
  <c r="AG18" i="34"/>
  <c r="AK18" i="34"/>
  <c r="AO18" i="34"/>
  <c r="AS18" i="34"/>
  <c r="AW18" i="34"/>
  <c r="BA18" i="34"/>
  <c r="BE18" i="34"/>
  <c r="BI18" i="34"/>
  <c r="BM18" i="34"/>
  <c r="H18" i="34"/>
  <c r="I18" i="34"/>
  <c r="K25" i="34"/>
  <c r="O25" i="34"/>
  <c r="S25" i="34"/>
  <c r="W25" i="34"/>
  <c r="AA25" i="34"/>
  <c r="AE25" i="34"/>
  <c r="AI25" i="34"/>
  <c r="AM25" i="34"/>
  <c r="AQ25" i="34"/>
  <c r="AU25" i="34"/>
  <c r="AY25" i="34"/>
  <c r="BC25" i="34"/>
  <c r="BG25" i="34"/>
  <c r="BK25" i="34"/>
  <c r="BO25" i="34"/>
  <c r="L25" i="34"/>
  <c r="P25" i="34"/>
  <c r="T25" i="34"/>
  <c r="X25" i="34"/>
  <c r="AB25" i="34"/>
  <c r="AF25" i="34"/>
  <c r="AJ25" i="34"/>
  <c r="AN25" i="34"/>
  <c r="AR25" i="34"/>
  <c r="AV25" i="34"/>
  <c r="AZ25" i="34"/>
  <c r="BD25" i="34"/>
  <c r="BH25" i="34"/>
  <c r="BL25" i="34"/>
  <c r="BP25" i="34"/>
  <c r="M25" i="34"/>
  <c r="Q25" i="34"/>
  <c r="U25" i="34"/>
  <c r="Y25" i="34"/>
  <c r="AC25" i="34"/>
  <c r="AG25" i="34"/>
  <c r="AK25" i="34"/>
  <c r="AO25" i="34"/>
  <c r="AS25" i="34"/>
  <c r="AW25" i="34"/>
  <c r="BA25" i="34"/>
  <c r="BE25" i="34"/>
  <c r="BI25" i="34"/>
  <c r="BM25" i="34"/>
  <c r="J25" i="34"/>
  <c r="N25" i="34"/>
  <c r="R25" i="34"/>
  <c r="V25" i="34"/>
  <c r="Z25" i="34"/>
  <c r="AD25" i="34"/>
  <c r="AH25" i="34"/>
  <c r="AL25" i="34"/>
  <c r="AP25" i="34"/>
  <c r="AT25" i="34"/>
  <c r="AX25" i="34"/>
  <c r="BB25" i="34"/>
  <c r="BF25" i="34"/>
  <c r="BJ25" i="34"/>
  <c r="BN25" i="34"/>
  <c r="I25" i="34"/>
  <c r="H25" i="34"/>
  <c r="K29" i="34"/>
  <c r="O29" i="34"/>
  <c r="S29" i="34"/>
  <c r="W29" i="34"/>
  <c r="AA29" i="34"/>
  <c r="AE29" i="34"/>
  <c r="AI29" i="34"/>
  <c r="AM29" i="34"/>
  <c r="AQ29" i="34"/>
  <c r="AU29" i="34"/>
  <c r="AY29" i="34"/>
  <c r="BC29" i="34"/>
  <c r="BG29" i="34"/>
  <c r="BK29" i="34"/>
  <c r="BO29" i="34"/>
  <c r="L29" i="34"/>
  <c r="P29" i="34"/>
  <c r="T29" i="34"/>
  <c r="X29" i="34"/>
  <c r="AB29" i="34"/>
  <c r="AF29" i="34"/>
  <c r="AJ29" i="34"/>
  <c r="AN29" i="34"/>
  <c r="AR29" i="34"/>
  <c r="AV29" i="34"/>
  <c r="AZ29" i="34"/>
  <c r="BD29" i="34"/>
  <c r="BH29" i="34"/>
  <c r="BL29" i="34"/>
  <c r="BP29" i="34"/>
  <c r="M29" i="34"/>
  <c r="Q29" i="34"/>
  <c r="U29" i="34"/>
  <c r="Y29" i="34"/>
  <c r="AC29" i="34"/>
  <c r="AG29" i="34"/>
  <c r="AK29" i="34"/>
  <c r="AO29" i="34"/>
  <c r="AS29" i="34"/>
  <c r="AW29" i="34"/>
  <c r="BA29" i="34"/>
  <c r="BE29" i="34"/>
  <c r="BI29" i="34"/>
  <c r="BM29" i="34"/>
  <c r="J29" i="34"/>
  <c r="N29" i="34"/>
  <c r="R29" i="34"/>
  <c r="V29" i="34"/>
  <c r="Z29" i="34"/>
  <c r="AD29" i="34"/>
  <c r="AH29" i="34"/>
  <c r="AL29" i="34"/>
  <c r="AP29" i="34"/>
  <c r="AT29" i="34"/>
  <c r="AX29" i="34"/>
  <c r="BB29" i="34"/>
  <c r="BF29" i="34"/>
  <c r="BJ29" i="34"/>
  <c r="BN29" i="34"/>
  <c r="I29" i="34"/>
  <c r="H29" i="34"/>
  <c r="K38" i="34"/>
  <c r="O38" i="34"/>
  <c r="S38" i="34"/>
  <c r="W38" i="34"/>
  <c r="AA38" i="34"/>
  <c r="AE38" i="34"/>
  <c r="L38" i="34"/>
  <c r="P38" i="34"/>
  <c r="T38" i="34"/>
  <c r="X38" i="34"/>
  <c r="AB38" i="34"/>
  <c r="AF38" i="34"/>
  <c r="M38" i="34"/>
  <c r="Q38" i="34"/>
  <c r="U38" i="34"/>
  <c r="Y38" i="34"/>
  <c r="AC38" i="34"/>
  <c r="AG38" i="34"/>
  <c r="J38" i="34"/>
  <c r="N38" i="34"/>
  <c r="R38" i="34"/>
  <c r="V38" i="34"/>
  <c r="Z38" i="34"/>
  <c r="AD38" i="34"/>
  <c r="AH38" i="34"/>
  <c r="I38" i="34"/>
  <c r="H38" i="34"/>
  <c r="K42" i="34"/>
  <c r="O42" i="34"/>
  <c r="S42" i="34"/>
  <c r="W42" i="34"/>
  <c r="AA42" i="34"/>
  <c r="AE42" i="34"/>
  <c r="L42" i="34"/>
  <c r="P42" i="34"/>
  <c r="T42" i="34"/>
  <c r="X42" i="34"/>
  <c r="AB42" i="34"/>
  <c r="AF42" i="34"/>
  <c r="M42" i="34"/>
  <c r="Q42" i="34"/>
  <c r="U42" i="34"/>
  <c r="Y42" i="34"/>
  <c r="AC42" i="34"/>
  <c r="AG42" i="34"/>
  <c r="J42" i="34"/>
  <c r="N42" i="34"/>
  <c r="R42" i="34"/>
  <c r="V42" i="34"/>
  <c r="Z42" i="34"/>
  <c r="AD42" i="34"/>
  <c r="AH42" i="34"/>
  <c r="I42" i="34"/>
  <c r="H42" i="34"/>
  <c r="K46" i="34"/>
  <c r="O46" i="34"/>
  <c r="S46" i="34"/>
  <c r="W46" i="34"/>
  <c r="AA46" i="34"/>
  <c r="AE46" i="34"/>
  <c r="L46" i="34"/>
  <c r="P46" i="34"/>
  <c r="T46" i="34"/>
  <c r="X46" i="34"/>
  <c r="AB46" i="34"/>
  <c r="AF46" i="34"/>
  <c r="M46" i="34"/>
  <c r="Q46" i="34"/>
  <c r="U46" i="34"/>
  <c r="Y46" i="34"/>
  <c r="AC46" i="34"/>
  <c r="AG46" i="34"/>
  <c r="J46" i="34"/>
  <c r="N46" i="34"/>
  <c r="R46" i="34"/>
  <c r="V46" i="34"/>
  <c r="Z46" i="34"/>
  <c r="AD46" i="34"/>
  <c r="AH46" i="34"/>
  <c r="I46" i="34"/>
  <c r="H46" i="34"/>
  <c r="K50" i="34"/>
  <c r="O50" i="34"/>
  <c r="S50" i="34"/>
  <c r="W50" i="34"/>
  <c r="AA50" i="34"/>
  <c r="AE50" i="34"/>
  <c r="L50" i="34"/>
  <c r="P50" i="34"/>
  <c r="T50" i="34"/>
  <c r="X50" i="34"/>
  <c r="AB50" i="34"/>
  <c r="AF50" i="34"/>
  <c r="M50" i="34"/>
  <c r="Q50" i="34"/>
  <c r="U50" i="34"/>
  <c r="Y50" i="34"/>
  <c r="AC50" i="34"/>
  <c r="AG50" i="34"/>
  <c r="J50" i="34"/>
  <c r="N50" i="34"/>
  <c r="R50" i="34"/>
  <c r="V50" i="34"/>
  <c r="Z50" i="34"/>
  <c r="AD50" i="34"/>
  <c r="AH50" i="34"/>
  <c r="I50" i="34"/>
  <c r="H50" i="34"/>
  <c r="M52" i="34"/>
  <c r="Q52" i="34"/>
  <c r="U52" i="34"/>
  <c r="Y52" i="34"/>
  <c r="AC52" i="34"/>
  <c r="AG52" i="34"/>
  <c r="J52" i="34"/>
  <c r="N52" i="34"/>
  <c r="R52" i="34"/>
  <c r="V52" i="34"/>
  <c r="Z52" i="34"/>
  <c r="AD52" i="34"/>
  <c r="AH52" i="34"/>
  <c r="K52" i="34"/>
  <c r="O52" i="34"/>
  <c r="S52" i="34"/>
  <c r="W52" i="34"/>
  <c r="AA52" i="34"/>
  <c r="AE52" i="34"/>
  <c r="L52" i="34"/>
  <c r="P52" i="34"/>
  <c r="T52" i="34"/>
  <c r="X52" i="34"/>
  <c r="AB52" i="34"/>
  <c r="AF52" i="34"/>
  <c r="H52" i="34"/>
  <c r="I52" i="34"/>
  <c r="K5" i="34"/>
  <c r="O5" i="34"/>
  <c r="S5" i="34"/>
  <c r="W5" i="34"/>
  <c r="AA5" i="34"/>
  <c r="AE5" i="34"/>
  <c r="AI5" i="34"/>
  <c r="AM5" i="34"/>
  <c r="AQ5" i="34"/>
  <c r="AU5" i="34"/>
  <c r="AY5" i="34"/>
  <c r="BC5" i="34"/>
  <c r="BG5" i="34"/>
  <c r="BK5" i="34"/>
  <c r="BO5" i="34"/>
  <c r="L5" i="34"/>
  <c r="P5" i="34"/>
  <c r="T5" i="34"/>
  <c r="X5" i="34"/>
  <c r="AB5" i="34"/>
  <c r="AF5" i="34"/>
  <c r="AJ5" i="34"/>
  <c r="AN5" i="34"/>
  <c r="AR5" i="34"/>
  <c r="AV5" i="34"/>
  <c r="AZ5" i="34"/>
  <c r="BD5" i="34"/>
  <c r="BH5" i="34"/>
  <c r="BL5" i="34"/>
  <c r="BP5" i="34"/>
  <c r="M5" i="34"/>
  <c r="Q5" i="34"/>
  <c r="U5" i="34"/>
  <c r="Y5" i="34"/>
  <c r="AC5" i="34"/>
  <c r="AG5" i="34"/>
  <c r="AK5" i="34"/>
  <c r="AO5" i="34"/>
  <c r="AS5" i="34"/>
  <c r="AW5" i="34"/>
  <c r="BA5" i="34"/>
  <c r="BE5" i="34"/>
  <c r="BI5" i="34"/>
  <c r="BM5" i="34"/>
  <c r="J5" i="34"/>
  <c r="N5" i="34"/>
  <c r="R5" i="34"/>
  <c r="V5" i="34"/>
  <c r="Z5" i="34"/>
  <c r="AD5" i="34"/>
  <c r="AH5" i="34"/>
  <c r="AL5" i="34"/>
  <c r="AP5" i="34"/>
  <c r="AT5" i="34"/>
  <c r="AX5" i="34"/>
  <c r="BB5" i="34"/>
  <c r="BF5" i="34"/>
  <c r="BJ5" i="34"/>
  <c r="BN5" i="34"/>
  <c r="H5" i="34"/>
  <c r="I5" i="34"/>
  <c r="M11" i="34"/>
  <c r="Q11" i="34"/>
  <c r="U11" i="34"/>
  <c r="Y11" i="34"/>
  <c r="AC11" i="34"/>
  <c r="AG11" i="34"/>
  <c r="AK11" i="34"/>
  <c r="AO11" i="34"/>
  <c r="AS11" i="34"/>
  <c r="AW11" i="34"/>
  <c r="BA11" i="34"/>
  <c r="BE11" i="34"/>
  <c r="BI11" i="34"/>
  <c r="BM11" i="34"/>
  <c r="J11" i="34"/>
  <c r="N11" i="34"/>
  <c r="R11" i="34"/>
  <c r="V11" i="34"/>
  <c r="Z11" i="34"/>
  <c r="AD11" i="34"/>
  <c r="AH11" i="34"/>
  <c r="AL11" i="34"/>
  <c r="AP11" i="34"/>
  <c r="AT11" i="34"/>
  <c r="AX11" i="34"/>
  <c r="BB11" i="34"/>
  <c r="BF11" i="34"/>
  <c r="BJ11" i="34"/>
  <c r="BN11" i="34"/>
  <c r="K11" i="34"/>
  <c r="O11" i="34"/>
  <c r="S11" i="34"/>
  <c r="W11" i="34"/>
  <c r="AA11" i="34"/>
  <c r="AE11" i="34"/>
  <c r="AI11" i="34"/>
  <c r="AM11" i="34"/>
  <c r="AQ11" i="34"/>
  <c r="AU11" i="34"/>
  <c r="AY11" i="34"/>
  <c r="BC11" i="34"/>
  <c r="BG11" i="34"/>
  <c r="BK11" i="34"/>
  <c r="BO11" i="34"/>
  <c r="L11" i="34"/>
  <c r="P11" i="34"/>
  <c r="T11" i="34"/>
  <c r="X11" i="34"/>
  <c r="AB11" i="34"/>
  <c r="AF11" i="34"/>
  <c r="AJ11" i="34"/>
  <c r="AN11" i="34"/>
  <c r="AR11" i="34"/>
  <c r="AV11" i="34"/>
  <c r="AZ11" i="34"/>
  <c r="BD11" i="34"/>
  <c r="BH11" i="34"/>
  <c r="BL11" i="34"/>
  <c r="BP11" i="34"/>
  <c r="I11" i="34"/>
  <c r="H11" i="34"/>
  <c r="M17" i="34"/>
  <c r="Q17" i="34"/>
  <c r="U17" i="34"/>
  <c r="Y17" i="34"/>
  <c r="AC17" i="34"/>
  <c r="AG17" i="34"/>
  <c r="AK17" i="34"/>
  <c r="AO17" i="34"/>
  <c r="AS17" i="34"/>
  <c r="AW17" i="34"/>
  <c r="BA17" i="34"/>
  <c r="BE17" i="34"/>
  <c r="BI17" i="34"/>
  <c r="BM17" i="34"/>
  <c r="J17" i="34"/>
  <c r="N17" i="34"/>
  <c r="R17" i="34"/>
  <c r="V17" i="34"/>
  <c r="Z17" i="34"/>
  <c r="AD17" i="34"/>
  <c r="AH17" i="34"/>
  <c r="AL17" i="34"/>
  <c r="AP17" i="34"/>
  <c r="AT17" i="34"/>
  <c r="AX17" i="34"/>
  <c r="BB17" i="34"/>
  <c r="BF17" i="34"/>
  <c r="BJ17" i="34"/>
  <c r="BN17" i="34"/>
  <c r="K17" i="34"/>
  <c r="O17" i="34"/>
  <c r="S17" i="34"/>
  <c r="W17" i="34"/>
  <c r="AA17" i="34"/>
  <c r="AE17" i="34"/>
  <c r="AI17" i="34"/>
  <c r="AM17" i="34"/>
  <c r="AQ17" i="34"/>
  <c r="AU17" i="34"/>
  <c r="AY17" i="34"/>
  <c r="BC17" i="34"/>
  <c r="BG17" i="34"/>
  <c r="BK17" i="34"/>
  <c r="BO17" i="34"/>
  <c r="L17" i="34"/>
  <c r="P17" i="34"/>
  <c r="T17" i="34"/>
  <c r="X17" i="34"/>
  <c r="AB17" i="34"/>
  <c r="AF17" i="34"/>
  <c r="AJ17" i="34"/>
  <c r="AN17" i="34"/>
  <c r="AR17" i="34"/>
  <c r="AV17" i="34"/>
  <c r="AZ17" i="34"/>
  <c r="BD17" i="34"/>
  <c r="BH17" i="34"/>
  <c r="BL17" i="34"/>
  <c r="BP17" i="34"/>
  <c r="I17" i="34"/>
  <c r="H17" i="34"/>
  <c r="M7" i="34"/>
  <c r="Q7" i="34"/>
  <c r="U7" i="34"/>
  <c r="Y7" i="34"/>
  <c r="AC7" i="34"/>
  <c r="AG7" i="34"/>
  <c r="AK7" i="34"/>
  <c r="AO7" i="34"/>
  <c r="AS7" i="34"/>
  <c r="AW7" i="34"/>
  <c r="BA7" i="34"/>
  <c r="BE7" i="34"/>
  <c r="BI7" i="34"/>
  <c r="BM7" i="34"/>
  <c r="J7" i="34"/>
  <c r="N7" i="34"/>
  <c r="R7" i="34"/>
  <c r="V7" i="34"/>
  <c r="Z7" i="34"/>
  <c r="AD7" i="34"/>
  <c r="AH7" i="34"/>
  <c r="AL7" i="34"/>
  <c r="AP7" i="34"/>
  <c r="AT7" i="34"/>
  <c r="AX7" i="34"/>
  <c r="BB7" i="34"/>
  <c r="BF7" i="34"/>
  <c r="BJ7" i="34"/>
  <c r="BN7" i="34"/>
  <c r="K7" i="34"/>
  <c r="O7" i="34"/>
  <c r="S7" i="34"/>
  <c r="W7" i="34"/>
  <c r="AA7" i="34"/>
  <c r="AE7" i="34"/>
  <c r="AI7" i="34"/>
  <c r="AM7" i="34"/>
  <c r="AQ7" i="34"/>
  <c r="AU7" i="34"/>
  <c r="AY7" i="34"/>
  <c r="BC7" i="34"/>
  <c r="BG7" i="34"/>
  <c r="BK7" i="34"/>
  <c r="BO7" i="34"/>
  <c r="L7" i="34"/>
  <c r="P7" i="34"/>
  <c r="T7" i="34"/>
  <c r="X7" i="34"/>
  <c r="AB7" i="34"/>
  <c r="AF7" i="34"/>
  <c r="AJ7" i="34"/>
  <c r="AN7" i="34"/>
  <c r="AR7" i="34"/>
  <c r="AV7" i="34"/>
  <c r="AZ7" i="34"/>
  <c r="BD7" i="34"/>
  <c r="BH7" i="34"/>
  <c r="BL7" i="34"/>
  <c r="BP7" i="34"/>
  <c r="I7" i="34"/>
  <c r="H7" i="34"/>
  <c r="J24" i="34"/>
  <c r="N24" i="34"/>
  <c r="R24" i="34"/>
  <c r="V24" i="34"/>
  <c r="Z24" i="34"/>
  <c r="AD24" i="34"/>
  <c r="AH24" i="34"/>
  <c r="AL24" i="34"/>
  <c r="AP24" i="34"/>
  <c r="AT24" i="34"/>
  <c r="AX24" i="34"/>
  <c r="BB24" i="34"/>
  <c r="BF24" i="34"/>
  <c r="BJ24" i="34"/>
  <c r="BN24" i="34"/>
  <c r="K24" i="34"/>
  <c r="O24" i="34"/>
  <c r="S24" i="34"/>
  <c r="W24" i="34"/>
  <c r="AA24" i="34"/>
  <c r="AE24" i="34"/>
  <c r="AI24" i="34"/>
  <c r="AM24" i="34"/>
  <c r="AQ24" i="34"/>
  <c r="AU24" i="34"/>
  <c r="AY24" i="34"/>
  <c r="BC24" i="34"/>
  <c r="BG24" i="34"/>
  <c r="BK24" i="34"/>
  <c r="BO24" i="34"/>
  <c r="L24" i="34"/>
  <c r="P24" i="34"/>
  <c r="T24" i="34"/>
  <c r="X24" i="34"/>
  <c r="AB24" i="34"/>
  <c r="AF24" i="34"/>
  <c r="AJ24" i="34"/>
  <c r="AN24" i="34"/>
  <c r="AR24" i="34"/>
  <c r="AV24" i="34"/>
  <c r="AZ24" i="34"/>
  <c r="BD24" i="34"/>
  <c r="BH24" i="34"/>
  <c r="BL24" i="34"/>
  <c r="BP24" i="34"/>
  <c r="M24" i="34"/>
  <c r="Q24" i="34"/>
  <c r="U24" i="34"/>
  <c r="Y24" i="34"/>
  <c r="AC24" i="34"/>
  <c r="AG24" i="34"/>
  <c r="AK24" i="34"/>
  <c r="AO24" i="34"/>
  <c r="AS24" i="34"/>
  <c r="AW24" i="34"/>
  <c r="BA24" i="34"/>
  <c r="BE24" i="34"/>
  <c r="BI24" i="34"/>
  <c r="BM24" i="34"/>
  <c r="I24" i="34"/>
  <c r="H24" i="34"/>
  <c r="J28" i="34"/>
  <c r="N28" i="34"/>
  <c r="R28" i="34"/>
  <c r="V28" i="34"/>
  <c r="Z28" i="34"/>
  <c r="AD28" i="34"/>
  <c r="AH28" i="34"/>
  <c r="AL28" i="34"/>
  <c r="AP28" i="34"/>
  <c r="AT28" i="34"/>
  <c r="AX28" i="34"/>
  <c r="BB28" i="34"/>
  <c r="BF28" i="34"/>
  <c r="BJ28" i="34"/>
  <c r="BN28" i="34"/>
  <c r="K28" i="34"/>
  <c r="O28" i="34"/>
  <c r="S28" i="34"/>
  <c r="W28" i="34"/>
  <c r="AA28" i="34"/>
  <c r="AE28" i="34"/>
  <c r="AI28" i="34"/>
  <c r="AM28" i="34"/>
  <c r="AQ28" i="34"/>
  <c r="AU28" i="34"/>
  <c r="AY28" i="34"/>
  <c r="BC28" i="34"/>
  <c r="BG28" i="34"/>
  <c r="BK28" i="34"/>
  <c r="BO28" i="34"/>
  <c r="L28" i="34"/>
  <c r="P28" i="34"/>
  <c r="T28" i="34"/>
  <c r="X28" i="34"/>
  <c r="AB28" i="34"/>
  <c r="AF28" i="34"/>
  <c r="AJ28" i="34"/>
  <c r="AN28" i="34"/>
  <c r="AR28" i="34"/>
  <c r="AV28" i="34"/>
  <c r="AZ28" i="34"/>
  <c r="BD28" i="34"/>
  <c r="BH28" i="34"/>
  <c r="BL28" i="34"/>
  <c r="BP28" i="34"/>
  <c r="M28" i="34"/>
  <c r="Q28" i="34"/>
  <c r="U28" i="34"/>
  <c r="Y28" i="34"/>
  <c r="AC28" i="34"/>
  <c r="AG28" i="34"/>
  <c r="AK28" i="34"/>
  <c r="AO28" i="34"/>
  <c r="AS28" i="34"/>
  <c r="AW28" i="34"/>
  <c r="BA28" i="34"/>
  <c r="BE28" i="34"/>
  <c r="BI28" i="34"/>
  <c r="BM28" i="34"/>
  <c r="I28" i="34"/>
  <c r="H28" i="34"/>
  <c r="M32" i="34"/>
  <c r="Q32" i="34"/>
  <c r="U32" i="34"/>
  <c r="Y32" i="34"/>
  <c r="AC32" i="34"/>
  <c r="AG32" i="34"/>
  <c r="AK32" i="34"/>
  <c r="AO32" i="34"/>
  <c r="AS32" i="34"/>
  <c r="AW32" i="34"/>
  <c r="BA32" i="34"/>
  <c r="BE32" i="34"/>
  <c r="BI32" i="34"/>
  <c r="BM32" i="34"/>
  <c r="J32" i="34"/>
  <c r="N32" i="34"/>
  <c r="R32" i="34"/>
  <c r="V32" i="34"/>
  <c r="Z32" i="34"/>
  <c r="AD32" i="34"/>
  <c r="AH32" i="34"/>
  <c r="AL32" i="34"/>
  <c r="AP32" i="34"/>
  <c r="AT32" i="34"/>
  <c r="AX32" i="34"/>
  <c r="BB32" i="34"/>
  <c r="BF32" i="34"/>
  <c r="BJ32" i="34"/>
  <c r="BN32" i="34"/>
  <c r="K32" i="34"/>
  <c r="O32" i="34"/>
  <c r="S32" i="34"/>
  <c r="W32" i="34"/>
  <c r="AA32" i="34"/>
  <c r="AE32" i="34"/>
  <c r="AI32" i="34"/>
  <c r="AM32" i="34"/>
  <c r="AQ32" i="34"/>
  <c r="AU32" i="34"/>
  <c r="AY32" i="34"/>
  <c r="BC32" i="34"/>
  <c r="BG32" i="34"/>
  <c r="BK32" i="34"/>
  <c r="BO32" i="34"/>
  <c r="L32" i="34"/>
  <c r="P32" i="34"/>
  <c r="T32" i="34"/>
  <c r="X32" i="34"/>
  <c r="AB32" i="34"/>
  <c r="AF32" i="34"/>
  <c r="AJ32" i="34"/>
  <c r="AN32" i="34"/>
  <c r="AR32" i="34"/>
  <c r="AV32" i="34"/>
  <c r="AZ32" i="34"/>
  <c r="BD32" i="34"/>
  <c r="BH32" i="34"/>
  <c r="BL32" i="34"/>
  <c r="BP32" i="34"/>
  <c r="I32" i="34"/>
  <c r="H32" i="34"/>
  <c r="J37" i="34"/>
  <c r="N37" i="34"/>
  <c r="R37" i="34"/>
  <c r="V37" i="34"/>
  <c r="Z37" i="34"/>
  <c r="AD37" i="34"/>
  <c r="AH37" i="34"/>
  <c r="K37" i="34"/>
  <c r="O37" i="34"/>
  <c r="S37" i="34"/>
  <c r="W37" i="34"/>
  <c r="AA37" i="34"/>
  <c r="AE37" i="34"/>
  <c r="L37" i="34"/>
  <c r="P37" i="34"/>
  <c r="T37" i="34"/>
  <c r="X37" i="34"/>
  <c r="AB37" i="34"/>
  <c r="AF37" i="34"/>
  <c r="M37" i="34"/>
  <c r="Q37" i="34"/>
  <c r="U37" i="34"/>
  <c r="Y37" i="34"/>
  <c r="AC37" i="34"/>
  <c r="AG37" i="34"/>
  <c r="I37" i="34"/>
  <c r="H37" i="34"/>
  <c r="J41" i="34"/>
  <c r="N41" i="34"/>
  <c r="R41" i="34"/>
  <c r="V41" i="34"/>
  <c r="Z41" i="34"/>
  <c r="AD41" i="34"/>
  <c r="AH41" i="34"/>
  <c r="K41" i="34"/>
  <c r="O41" i="34"/>
  <c r="S41" i="34"/>
  <c r="W41" i="34"/>
  <c r="AA41" i="34"/>
  <c r="AE41" i="34"/>
  <c r="L41" i="34"/>
  <c r="P41" i="34"/>
  <c r="T41" i="34"/>
  <c r="X41" i="34"/>
  <c r="AB41" i="34"/>
  <c r="AF41" i="34"/>
  <c r="M41" i="34"/>
  <c r="Q41" i="34"/>
  <c r="U41" i="34"/>
  <c r="Y41" i="34"/>
  <c r="AC41" i="34"/>
  <c r="AG41" i="34"/>
  <c r="I41" i="34"/>
  <c r="H41" i="34"/>
  <c r="J45" i="34"/>
  <c r="N45" i="34"/>
  <c r="R45" i="34"/>
  <c r="V45" i="34"/>
  <c r="Z45" i="34"/>
  <c r="AD45" i="34"/>
  <c r="AH45" i="34"/>
  <c r="K45" i="34"/>
  <c r="O45" i="34"/>
  <c r="S45" i="34"/>
  <c r="W45" i="34"/>
  <c r="AA45" i="34"/>
  <c r="AE45" i="34"/>
  <c r="L45" i="34"/>
  <c r="P45" i="34"/>
  <c r="T45" i="34"/>
  <c r="X45" i="34"/>
  <c r="AB45" i="34"/>
  <c r="AF45" i="34"/>
  <c r="M45" i="34"/>
  <c r="Q45" i="34"/>
  <c r="U45" i="34"/>
  <c r="Y45" i="34"/>
  <c r="AC45" i="34"/>
  <c r="AG45" i="34"/>
  <c r="I45" i="34"/>
  <c r="H45" i="34"/>
  <c r="J49" i="34"/>
  <c r="N49" i="34"/>
  <c r="R49" i="34"/>
  <c r="V49" i="34"/>
  <c r="Z49" i="34"/>
  <c r="AD49" i="34"/>
  <c r="AH49" i="34"/>
  <c r="K49" i="34"/>
  <c r="O49" i="34"/>
  <c r="S49" i="34"/>
  <c r="W49" i="34"/>
  <c r="AA49" i="34"/>
  <c r="AE49" i="34"/>
  <c r="L49" i="34"/>
  <c r="P49" i="34"/>
  <c r="T49" i="34"/>
  <c r="X49" i="34"/>
  <c r="AB49" i="34"/>
  <c r="AF49" i="34"/>
  <c r="M49" i="34"/>
  <c r="Q49" i="34"/>
  <c r="U49" i="34"/>
  <c r="Y49" i="34"/>
  <c r="AC49" i="34"/>
  <c r="AG49" i="34"/>
  <c r="I49" i="34"/>
  <c r="H49" i="34"/>
  <c r="D58" i="46"/>
  <c r="E40" i="46"/>
  <c r="D57" i="46"/>
  <c r="E39" i="46"/>
  <c r="E29" i="46"/>
  <c r="D47" i="46"/>
  <c r="V97" i="34"/>
  <c r="AH122" i="34"/>
  <c r="AD106" i="34"/>
  <c r="J121" i="34"/>
  <c r="H105" i="34"/>
  <c r="U122" i="34"/>
  <c r="W121" i="34"/>
  <c r="O121" i="34"/>
  <c r="R97" i="34"/>
  <c r="AH106" i="34"/>
  <c r="AI122" i="34"/>
  <c r="AI105" i="34"/>
  <c r="AG121" i="34"/>
  <c r="AD122" i="34"/>
  <c r="AE121" i="34"/>
  <c r="AE122" i="34"/>
  <c r="AF106" i="34"/>
  <c r="T122" i="34"/>
  <c r="L105" i="34"/>
  <c r="AB121" i="34"/>
  <c r="M106" i="34"/>
  <c r="P106" i="34"/>
  <c r="Q122" i="34"/>
  <c r="I106" i="34"/>
  <c r="H106" i="34"/>
  <c r="L122" i="34"/>
  <c r="K106" i="34"/>
  <c r="X105" i="34"/>
  <c r="Q105" i="34"/>
  <c r="Y105" i="34"/>
  <c r="AC105" i="34"/>
  <c r="AA121" i="34"/>
  <c r="J122" i="34"/>
  <c r="R122" i="34"/>
  <c r="W106" i="34"/>
  <c r="Z106" i="34"/>
  <c r="AG122" i="34"/>
  <c r="AE105" i="34"/>
  <c r="AE106" i="34"/>
  <c r="Y106" i="34"/>
  <c r="Q106" i="34"/>
  <c r="I122" i="34"/>
  <c r="P121" i="34"/>
  <c r="H122" i="34"/>
  <c r="R121" i="34"/>
  <c r="X106" i="34"/>
  <c r="AE97" i="34"/>
  <c r="AD105" i="34"/>
  <c r="AH105" i="34"/>
  <c r="AF122" i="34"/>
  <c r="AF105" i="34"/>
  <c r="Y122" i="34"/>
  <c r="O122" i="34"/>
  <c r="M122" i="34"/>
  <c r="U121" i="34"/>
  <c r="K121" i="34"/>
  <c r="N122" i="34"/>
  <c r="V106" i="34"/>
  <c r="Z105" i="34"/>
  <c r="P122" i="34"/>
  <c r="P105" i="34"/>
  <c r="I105" i="34"/>
  <c r="M121" i="34"/>
  <c r="L106" i="34"/>
  <c r="K122" i="34"/>
  <c r="X121" i="34"/>
  <c r="H121" i="34"/>
  <c r="T121" i="34"/>
  <c r="U106" i="34"/>
  <c r="S121" i="34"/>
  <c r="Z122" i="34"/>
  <c r="AB113" i="34"/>
  <c r="J113" i="34"/>
  <c r="AI106" i="34"/>
  <c r="AB122" i="34"/>
  <c r="L121" i="34"/>
  <c r="U105" i="34"/>
  <c r="V121" i="34"/>
  <c r="AA106" i="34"/>
  <c r="M105" i="34"/>
  <c r="AC106" i="34"/>
  <c r="N121" i="34"/>
  <c r="S122" i="34"/>
  <c r="J97" i="34"/>
  <c r="Z113" i="34"/>
  <c r="AI121" i="34"/>
  <c r="AD121" i="34"/>
  <c r="AG106" i="34"/>
  <c r="AG105" i="34"/>
  <c r="AH121" i="34"/>
  <c r="AF121" i="34"/>
  <c r="T106" i="34"/>
  <c r="AB106" i="34"/>
  <c r="O106" i="34"/>
  <c r="AB105" i="34"/>
  <c r="K105" i="34"/>
  <c r="N106" i="34"/>
  <c r="V122" i="34"/>
  <c r="Z121" i="34"/>
  <c r="V105" i="34"/>
  <c r="AA122" i="34"/>
  <c r="I121" i="34"/>
  <c r="J105" i="34"/>
  <c r="R105" i="34"/>
  <c r="AC122" i="34"/>
  <c r="N105" i="34"/>
  <c r="X122" i="34"/>
  <c r="S106" i="34"/>
  <c r="T105" i="34"/>
  <c r="Q121" i="34"/>
  <c r="Y121" i="34"/>
  <c r="AC121" i="34"/>
  <c r="AA105" i="34"/>
  <c r="J106" i="34"/>
  <c r="R106" i="34"/>
  <c r="W122" i="34"/>
  <c r="S105" i="34"/>
  <c r="W105" i="34"/>
  <c r="O105" i="34"/>
  <c r="O113" i="34"/>
  <c r="Q113" i="34"/>
  <c r="Q158" i="34"/>
  <c r="S158" i="34"/>
  <c r="P72" i="36"/>
  <c r="P163" i="34"/>
  <c r="P179" i="34"/>
  <c r="P56" i="36"/>
  <c r="L179" i="34"/>
  <c r="L163" i="34"/>
  <c r="U176" i="34"/>
  <c r="V179" i="34"/>
  <c r="R163" i="34"/>
  <c r="Z160" i="34"/>
  <c r="V72" i="36"/>
  <c r="R72" i="36"/>
  <c r="O163" i="34"/>
  <c r="T179" i="34"/>
  <c r="N180" i="34"/>
  <c r="W180" i="34"/>
  <c r="AD56" i="36"/>
  <c r="AE72" i="36"/>
  <c r="K180" i="34"/>
  <c r="AF66" i="36"/>
  <c r="R173" i="34"/>
  <c r="K163" i="34"/>
  <c r="AE179" i="34"/>
  <c r="W179" i="34"/>
  <c r="AF72" i="36"/>
  <c r="AI177" i="34"/>
  <c r="AD72" i="36"/>
  <c r="K164" i="34"/>
  <c r="K57" i="36"/>
  <c r="AA179" i="34"/>
  <c r="N73" i="36"/>
  <c r="O179" i="34"/>
  <c r="AA56" i="36"/>
  <c r="N164" i="34"/>
  <c r="L56" i="36"/>
  <c r="Q179" i="34"/>
  <c r="K73" i="36"/>
  <c r="AA72" i="36"/>
  <c r="N57" i="36"/>
  <c r="S163" i="34"/>
  <c r="AB163" i="34"/>
  <c r="Z56" i="36"/>
  <c r="I179" i="34"/>
  <c r="I163" i="34"/>
  <c r="AB73" i="36"/>
  <c r="AB180" i="34"/>
  <c r="AB164" i="34"/>
  <c r="AB57" i="36"/>
  <c r="K179" i="34"/>
  <c r="O56" i="36"/>
  <c r="L72" i="36"/>
  <c r="N163" i="34"/>
  <c r="AG163" i="34"/>
  <c r="AC72" i="36"/>
  <c r="AD57" i="36"/>
  <c r="AD73" i="36"/>
  <c r="AD164" i="34"/>
  <c r="AD180" i="34"/>
  <c r="Z164" i="34"/>
  <c r="Z73" i="36"/>
  <c r="Z180" i="34"/>
  <c r="Z57" i="36"/>
  <c r="W57" i="36"/>
  <c r="R164" i="34"/>
  <c r="R57" i="36"/>
  <c r="R180" i="34"/>
  <c r="R73" i="36"/>
  <c r="AF57" i="36"/>
  <c r="AF164" i="34"/>
  <c r="AF180" i="34"/>
  <c r="AF73" i="36"/>
  <c r="AE73" i="36"/>
  <c r="AE57" i="36"/>
  <c r="AE164" i="34"/>
  <c r="AE180" i="34"/>
  <c r="V180" i="34"/>
  <c r="V164" i="34"/>
  <c r="V57" i="36"/>
  <c r="V73" i="36"/>
  <c r="J180" i="34"/>
  <c r="J57" i="36"/>
  <c r="J164" i="34"/>
  <c r="J73" i="36"/>
  <c r="P57" i="36"/>
  <c r="P164" i="34"/>
  <c r="P73" i="36"/>
  <c r="P180" i="34"/>
  <c r="H164" i="34"/>
  <c r="H73" i="36"/>
  <c r="H180" i="34"/>
  <c r="H57" i="36"/>
  <c r="T180" i="34"/>
  <c r="T57" i="36"/>
  <c r="T73" i="36"/>
  <c r="T164" i="34"/>
  <c r="X57" i="36"/>
  <c r="X73" i="36"/>
  <c r="X164" i="34"/>
  <c r="X180" i="34"/>
  <c r="AA180" i="34"/>
  <c r="AA73" i="36"/>
  <c r="AA57" i="36"/>
  <c r="AA164" i="34"/>
  <c r="AG72" i="36"/>
  <c r="S72" i="36"/>
  <c r="T69" i="36"/>
  <c r="X72" i="36"/>
  <c r="AF163" i="34"/>
  <c r="U56" i="36"/>
  <c r="AB179" i="34"/>
  <c r="Q163" i="34"/>
  <c r="AB56" i="36"/>
  <c r="Q56" i="36"/>
  <c r="BH86" i="34"/>
  <c r="BH82" i="36"/>
  <c r="X86" i="34"/>
  <c r="X87" i="34"/>
  <c r="AY86" i="34"/>
  <c r="AY82" i="36"/>
  <c r="BL86" i="34"/>
  <c r="BL82" i="36"/>
  <c r="AF86" i="34"/>
  <c r="AF87" i="34"/>
  <c r="AU86" i="34"/>
  <c r="AU82" i="36"/>
  <c r="BN86" i="34"/>
  <c r="BN82" i="36"/>
  <c r="AX86" i="34"/>
  <c r="AX82" i="36"/>
  <c r="AH86" i="34"/>
  <c r="AH87" i="34"/>
  <c r="R86" i="34"/>
  <c r="R87" i="34"/>
  <c r="AA86" i="34"/>
  <c r="AA87" i="34"/>
  <c r="H86" i="34"/>
  <c r="H87" i="34"/>
  <c r="BA86" i="34"/>
  <c r="BA82" i="36"/>
  <c r="AK86" i="34"/>
  <c r="AK82" i="36"/>
  <c r="U86" i="34"/>
  <c r="U87" i="34"/>
  <c r="AZ86" i="34"/>
  <c r="AZ82" i="36"/>
  <c r="L86" i="34"/>
  <c r="L87" i="34"/>
  <c r="AQ86" i="34"/>
  <c r="AQ82" i="36"/>
  <c r="BD86" i="34"/>
  <c r="BD82" i="36"/>
  <c r="S86" i="34"/>
  <c r="S87" i="34"/>
  <c r="AM86" i="34"/>
  <c r="AM82" i="36"/>
  <c r="BJ86" i="34"/>
  <c r="BJ82" i="36"/>
  <c r="AT86" i="34"/>
  <c r="AT82" i="36"/>
  <c r="AD86" i="34"/>
  <c r="AD87" i="34"/>
  <c r="N86" i="34"/>
  <c r="N87" i="34"/>
  <c r="W86" i="34"/>
  <c r="W87" i="34"/>
  <c r="BM86" i="34"/>
  <c r="BM82" i="36"/>
  <c r="AW86" i="34"/>
  <c r="AW82" i="36"/>
  <c r="AG86" i="34"/>
  <c r="AG87" i="34"/>
  <c r="Q86" i="34"/>
  <c r="Q87" i="34"/>
  <c r="AR86" i="34"/>
  <c r="AR82" i="36"/>
  <c r="BO86" i="34"/>
  <c r="BO82" i="36"/>
  <c r="AI86" i="34"/>
  <c r="AI87" i="34"/>
  <c r="AV86" i="34"/>
  <c r="AV82" i="36"/>
  <c r="BK86" i="34"/>
  <c r="BK82" i="36"/>
  <c r="AB86" i="34"/>
  <c r="AB87" i="34"/>
  <c r="BF86" i="34"/>
  <c r="BF82" i="36"/>
  <c r="AP86" i="34"/>
  <c r="AP82" i="36"/>
  <c r="Z86" i="34"/>
  <c r="Z87" i="34"/>
  <c r="J86" i="34"/>
  <c r="J87" i="34"/>
  <c r="O86" i="34"/>
  <c r="O87" i="34"/>
  <c r="BI86" i="34"/>
  <c r="BI82" i="36"/>
  <c r="AS86" i="34"/>
  <c r="AS82" i="36"/>
  <c r="AC86" i="34"/>
  <c r="AC87" i="34"/>
  <c r="M86" i="34"/>
  <c r="M87" i="34"/>
  <c r="BP86" i="34"/>
  <c r="BP82" i="36"/>
  <c r="BG86" i="34"/>
  <c r="BG82" i="36"/>
  <c r="T86" i="34"/>
  <c r="T87" i="34"/>
  <c r="AN86" i="34"/>
  <c r="AN82" i="36"/>
  <c r="BC86" i="34"/>
  <c r="BC82" i="36"/>
  <c r="P86" i="34"/>
  <c r="P87" i="34"/>
  <c r="BB86" i="34"/>
  <c r="BB82" i="36"/>
  <c r="AL86" i="34"/>
  <c r="AL82" i="36"/>
  <c r="V86" i="34"/>
  <c r="V87" i="34"/>
  <c r="AE86" i="34"/>
  <c r="AE87" i="34"/>
  <c r="K86" i="34"/>
  <c r="K87" i="34"/>
  <c r="BE86" i="34"/>
  <c r="BE82" i="36"/>
  <c r="AO86" i="34"/>
  <c r="AO82" i="36"/>
  <c r="Y86" i="34"/>
  <c r="Y87" i="34"/>
  <c r="I86" i="34"/>
  <c r="I87" i="34"/>
  <c r="I56" i="36"/>
  <c r="S56" i="36"/>
  <c r="U72" i="36"/>
  <c r="I72" i="36"/>
  <c r="U163" i="34"/>
  <c r="W163" i="34"/>
  <c r="Z163" i="34"/>
  <c r="Z179" i="34"/>
  <c r="X56" i="36"/>
  <c r="AF56" i="36"/>
  <c r="X163" i="34"/>
  <c r="AF179" i="34"/>
  <c r="AB51" i="36"/>
  <c r="I158" i="34"/>
  <c r="AG73" i="36"/>
  <c r="AG57" i="36"/>
  <c r="AG164" i="34"/>
  <c r="AG180" i="34"/>
  <c r="O174" i="34"/>
  <c r="AC180" i="34"/>
  <c r="AC164" i="34"/>
  <c r="AC73" i="36"/>
  <c r="AC57" i="36"/>
  <c r="AD174" i="34"/>
  <c r="V67" i="36"/>
  <c r="Z51" i="36"/>
  <c r="AI158" i="34"/>
  <c r="N67" i="36"/>
  <c r="W51" i="36"/>
  <c r="L174" i="34"/>
  <c r="Y50" i="36"/>
  <c r="Y173" i="34"/>
  <c r="Y66" i="36"/>
  <c r="Y157" i="34"/>
  <c r="U50" i="36"/>
  <c r="U173" i="34"/>
  <c r="U66" i="36"/>
  <c r="U157" i="34"/>
  <c r="R157" i="34"/>
  <c r="R66" i="36"/>
  <c r="O173" i="34"/>
  <c r="O66" i="36"/>
  <c r="O157" i="34"/>
  <c r="O50" i="36"/>
  <c r="AG157" i="34"/>
  <c r="AG50" i="36"/>
  <c r="AG173" i="34"/>
  <c r="AG66" i="36"/>
  <c r="I50" i="36"/>
  <c r="I66" i="36"/>
  <c r="I173" i="34"/>
  <c r="I157" i="34"/>
  <c r="V50" i="36"/>
  <c r="V66" i="36"/>
  <c r="V157" i="34"/>
  <c r="V173" i="34"/>
  <c r="S173" i="34"/>
  <c r="S157" i="34"/>
  <c r="S66" i="36"/>
  <c r="S50" i="36"/>
  <c r="Z157" i="34"/>
  <c r="Z66" i="36"/>
  <c r="Z50" i="36"/>
  <c r="Z173" i="34"/>
  <c r="AD173" i="34"/>
  <c r="AD157" i="34"/>
  <c r="AD50" i="36"/>
  <c r="AD66" i="36"/>
  <c r="K173" i="34"/>
  <c r="K66" i="36"/>
  <c r="K157" i="34"/>
  <c r="K50" i="36"/>
  <c r="J157" i="34"/>
  <c r="J66" i="36"/>
  <c r="J50" i="36"/>
  <c r="J173" i="34"/>
  <c r="AF173" i="34"/>
  <c r="P173" i="34"/>
  <c r="P50" i="36"/>
  <c r="P157" i="34"/>
  <c r="P66" i="36"/>
  <c r="AB173" i="34"/>
  <c r="AB50" i="36"/>
  <c r="AB157" i="34"/>
  <c r="AB66" i="36"/>
  <c r="AA157" i="34"/>
  <c r="AA173" i="34"/>
  <c r="AA50" i="36"/>
  <c r="AA66" i="36"/>
  <c r="AI173" i="34"/>
  <c r="AI157" i="34"/>
  <c r="AI50" i="36"/>
  <c r="AI66" i="36"/>
  <c r="W173" i="34"/>
  <c r="W157" i="34"/>
  <c r="W66" i="36"/>
  <c r="W50" i="36"/>
  <c r="Q157" i="34"/>
  <c r="Q173" i="34"/>
  <c r="Q50" i="36"/>
  <c r="Q66" i="36"/>
  <c r="L50" i="36"/>
  <c r="L157" i="34"/>
  <c r="L66" i="36"/>
  <c r="L173" i="34"/>
  <c r="N173" i="34"/>
  <c r="N50" i="36"/>
  <c r="N157" i="34"/>
  <c r="N66" i="36"/>
  <c r="AD51" i="36"/>
  <c r="X173" i="34"/>
  <c r="X157" i="34"/>
  <c r="X66" i="36"/>
  <c r="X50" i="36"/>
  <c r="AH50" i="36"/>
  <c r="AH66" i="36"/>
  <c r="AH157" i="34"/>
  <c r="AH173" i="34"/>
  <c r="AC50" i="36"/>
  <c r="AC66" i="36"/>
  <c r="AC157" i="34"/>
  <c r="AC173" i="34"/>
  <c r="M66" i="36"/>
  <c r="M157" i="34"/>
  <c r="M173" i="34"/>
  <c r="M50" i="36"/>
  <c r="H50" i="36"/>
  <c r="H66" i="36"/>
  <c r="H157" i="34"/>
  <c r="H173" i="34"/>
  <c r="AE173" i="34"/>
  <c r="AE157" i="34"/>
  <c r="AE66" i="36"/>
  <c r="AE50" i="36"/>
  <c r="T50" i="36"/>
  <c r="T173" i="34"/>
  <c r="T66" i="36"/>
  <c r="T157" i="34"/>
  <c r="P68" i="36"/>
  <c r="P52" i="36"/>
  <c r="P159" i="34"/>
  <c r="P175" i="34"/>
  <c r="AI69" i="36"/>
  <c r="AI53" i="36"/>
  <c r="AI160" i="34"/>
  <c r="AI176" i="34"/>
  <c r="AF70" i="36"/>
  <c r="AF54" i="36"/>
  <c r="AF177" i="34"/>
  <c r="AF161" i="34"/>
  <c r="AE54" i="36"/>
  <c r="AE70" i="36"/>
  <c r="AE177" i="34"/>
  <c r="AE161" i="34"/>
  <c r="AH52" i="36"/>
  <c r="AH68" i="36"/>
  <c r="AH159" i="34"/>
  <c r="AH175" i="34"/>
  <c r="S68" i="36"/>
  <c r="S52" i="36"/>
  <c r="S159" i="34"/>
  <c r="S175" i="34"/>
  <c r="I53" i="36"/>
  <c r="I69" i="36"/>
  <c r="I160" i="34"/>
  <c r="I176" i="34"/>
  <c r="Q68" i="36"/>
  <c r="Q52" i="36"/>
  <c r="Q159" i="34"/>
  <c r="Q175" i="34"/>
  <c r="H69" i="36"/>
  <c r="H53" i="36"/>
  <c r="H176" i="34"/>
  <c r="H160" i="34"/>
  <c r="AG69" i="36"/>
  <c r="AG53" i="36"/>
  <c r="AG176" i="34"/>
  <c r="AG160" i="34"/>
  <c r="J53" i="36"/>
  <c r="J69" i="36"/>
  <c r="J160" i="34"/>
  <c r="J176" i="34"/>
  <c r="AD69" i="36"/>
  <c r="AD53" i="36"/>
  <c r="AD160" i="34"/>
  <c r="AD176" i="34"/>
  <c r="AB53" i="36"/>
  <c r="AB69" i="36"/>
  <c r="AB160" i="34"/>
  <c r="AB176" i="34"/>
  <c r="Z53" i="36"/>
  <c r="X69" i="36"/>
  <c r="X53" i="36"/>
  <c r="X176" i="34"/>
  <c r="X160" i="34"/>
  <c r="AA69" i="36"/>
  <c r="AA53" i="36"/>
  <c r="AA160" i="34"/>
  <c r="AA176" i="34"/>
  <c r="N70" i="36"/>
  <c r="N177" i="34"/>
  <c r="N54" i="36"/>
  <c r="N161" i="34"/>
  <c r="R68" i="36"/>
  <c r="R159" i="34"/>
  <c r="R52" i="36"/>
  <c r="R175" i="34"/>
  <c r="M52" i="36"/>
  <c r="M68" i="36"/>
  <c r="M159" i="34"/>
  <c r="M175" i="34"/>
  <c r="Y68" i="36"/>
  <c r="Y175" i="34"/>
  <c r="Y52" i="36"/>
  <c r="Y159" i="34"/>
  <c r="P69" i="36"/>
  <c r="P53" i="36"/>
  <c r="P176" i="34"/>
  <c r="P160" i="34"/>
  <c r="AI54" i="36"/>
  <c r="AI161" i="34"/>
  <c r="O52" i="36"/>
  <c r="O175" i="34"/>
  <c r="O159" i="34"/>
  <c r="O68" i="36"/>
  <c r="AF68" i="36"/>
  <c r="AF52" i="36"/>
  <c r="AF175" i="34"/>
  <c r="AF159" i="34"/>
  <c r="U52" i="36"/>
  <c r="U68" i="36"/>
  <c r="U175" i="34"/>
  <c r="U159" i="34"/>
  <c r="AC68" i="36"/>
  <c r="AC175" i="34"/>
  <c r="AC52" i="36"/>
  <c r="AC159" i="34"/>
  <c r="W68" i="36"/>
  <c r="W52" i="36"/>
  <c r="W159" i="34"/>
  <c r="W175" i="34"/>
  <c r="S69" i="36"/>
  <c r="S53" i="36"/>
  <c r="S176" i="34"/>
  <c r="S160" i="34"/>
  <c r="Q69" i="36"/>
  <c r="Q53" i="36"/>
  <c r="Q176" i="34"/>
  <c r="Q160" i="34"/>
  <c r="H54" i="36"/>
  <c r="H70" i="36"/>
  <c r="H177" i="34"/>
  <c r="H161" i="34"/>
  <c r="AG70" i="36"/>
  <c r="AG54" i="36"/>
  <c r="AG177" i="34"/>
  <c r="AG161" i="34"/>
  <c r="J70" i="36"/>
  <c r="J177" i="34"/>
  <c r="J54" i="36"/>
  <c r="J161" i="34"/>
  <c r="AD70" i="36"/>
  <c r="AD161" i="34"/>
  <c r="AD54" i="36"/>
  <c r="AD177" i="34"/>
  <c r="AB70" i="36"/>
  <c r="AB54" i="36"/>
  <c r="AB161" i="34"/>
  <c r="AB177" i="34"/>
  <c r="Z70" i="36"/>
  <c r="Z54" i="36"/>
  <c r="Z177" i="34"/>
  <c r="Z161" i="34"/>
  <c r="X70" i="36"/>
  <c r="X177" i="34"/>
  <c r="X54" i="36"/>
  <c r="X161" i="34"/>
  <c r="AA70" i="36"/>
  <c r="AA54" i="36"/>
  <c r="AA161" i="34"/>
  <c r="AA177" i="34"/>
  <c r="L68" i="36"/>
  <c r="L52" i="36"/>
  <c r="L175" i="34"/>
  <c r="L159" i="34"/>
  <c r="M69" i="36"/>
  <c r="M176" i="34"/>
  <c r="M53" i="36"/>
  <c r="M160" i="34"/>
  <c r="Y69" i="36"/>
  <c r="Y53" i="36"/>
  <c r="Y160" i="34"/>
  <c r="Y176" i="34"/>
  <c r="K68" i="36"/>
  <c r="K52" i="36"/>
  <c r="K159" i="34"/>
  <c r="K175" i="34"/>
  <c r="O69" i="36"/>
  <c r="O176" i="34"/>
  <c r="O160" i="34"/>
  <c r="O53" i="36"/>
  <c r="AE68" i="36"/>
  <c r="AE52" i="36"/>
  <c r="AE175" i="34"/>
  <c r="AE159" i="34"/>
  <c r="U69" i="36"/>
  <c r="AC69" i="36"/>
  <c r="AC176" i="34"/>
  <c r="AC53" i="36"/>
  <c r="AC160" i="34"/>
  <c r="W69" i="36"/>
  <c r="W176" i="34"/>
  <c r="W160" i="34"/>
  <c r="W53" i="36"/>
  <c r="AH69" i="36"/>
  <c r="AH53" i="36"/>
  <c r="AH160" i="34"/>
  <c r="AH176" i="34"/>
  <c r="V68" i="36"/>
  <c r="V159" i="34"/>
  <c r="V52" i="36"/>
  <c r="V175" i="34"/>
  <c r="Q70" i="36"/>
  <c r="Q177" i="34"/>
  <c r="Q54" i="36"/>
  <c r="Q161" i="34"/>
  <c r="AD68" i="36"/>
  <c r="AD159" i="34"/>
  <c r="AD52" i="36"/>
  <c r="AD175" i="34"/>
  <c r="Z52" i="36"/>
  <c r="Z68" i="36"/>
  <c r="Z159" i="34"/>
  <c r="Z175" i="34"/>
  <c r="AA68" i="36"/>
  <c r="AA52" i="36"/>
  <c r="AA159" i="34"/>
  <c r="AA175" i="34"/>
  <c r="N68" i="36"/>
  <c r="N52" i="36"/>
  <c r="N159" i="34"/>
  <c r="N175" i="34"/>
  <c r="L69" i="36"/>
  <c r="L53" i="36"/>
  <c r="L160" i="34"/>
  <c r="L176" i="34"/>
  <c r="R69" i="36"/>
  <c r="R53" i="36"/>
  <c r="R160" i="34"/>
  <c r="R176" i="34"/>
  <c r="Y54" i="36"/>
  <c r="Y70" i="36"/>
  <c r="Y161" i="34"/>
  <c r="Y177" i="34"/>
  <c r="T68" i="36"/>
  <c r="T52" i="36"/>
  <c r="T159" i="34"/>
  <c r="T175" i="34"/>
  <c r="AI68" i="36"/>
  <c r="AI52" i="36"/>
  <c r="AI159" i="34"/>
  <c r="AI175" i="34"/>
  <c r="K69" i="36"/>
  <c r="K53" i="36"/>
  <c r="K176" i="34"/>
  <c r="K160" i="34"/>
  <c r="AF69" i="36"/>
  <c r="AF53" i="36"/>
  <c r="AF160" i="34"/>
  <c r="AF176" i="34"/>
  <c r="AE53" i="36"/>
  <c r="AE160" i="34"/>
  <c r="AE176" i="34"/>
  <c r="AE69" i="36"/>
  <c r="AC70" i="36"/>
  <c r="AC54" i="36"/>
  <c r="AC177" i="34"/>
  <c r="AC161" i="34"/>
  <c r="W54" i="36"/>
  <c r="W70" i="36"/>
  <c r="W161" i="34"/>
  <c r="W177" i="34"/>
  <c r="AH70" i="36"/>
  <c r="AH177" i="34"/>
  <c r="AH54" i="36"/>
  <c r="AH161" i="34"/>
  <c r="I68" i="36"/>
  <c r="I52" i="36"/>
  <c r="I175" i="34"/>
  <c r="I159" i="34"/>
  <c r="V69" i="36"/>
  <c r="V53" i="36"/>
  <c r="V160" i="34"/>
  <c r="V176" i="34"/>
  <c r="H68" i="36"/>
  <c r="H175" i="34"/>
  <c r="H52" i="36"/>
  <c r="H159" i="34"/>
  <c r="AG68" i="36"/>
  <c r="AG159" i="34"/>
  <c r="AG52" i="36"/>
  <c r="AG175" i="34"/>
  <c r="J68" i="36"/>
  <c r="J52" i="36"/>
  <c r="J175" i="34"/>
  <c r="J159" i="34"/>
  <c r="AB68" i="36"/>
  <c r="AB52" i="36"/>
  <c r="AB159" i="34"/>
  <c r="AB175" i="34"/>
  <c r="X68" i="36"/>
  <c r="X175" i="34"/>
  <c r="X52" i="36"/>
  <c r="X159" i="34"/>
  <c r="N69" i="36"/>
  <c r="N53" i="36"/>
  <c r="N160" i="34"/>
  <c r="N176" i="34"/>
  <c r="L70" i="36"/>
  <c r="L54" i="36"/>
  <c r="L161" i="34"/>
  <c r="L177" i="34"/>
  <c r="R70" i="36"/>
  <c r="R54" i="36"/>
  <c r="R177" i="34"/>
  <c r="R161" i="34"/>
  <c r="D20" i="33"/>
  <c r="E22" i="45"/>
  <c r="E7" i="45"/>
  <c r="E8" i="45" s="1"/>
  <c r="E9" i="45" s="1"/>
  <c r="D22" i="45"/>
  <c r="D7" i="45"/>
  <c r="D8" i="45" s="1"/>
  <c r="D9" i="45" s="1"/>
  <c r="D10" i="45" s="1"/>
  <c r="A19" i="45"/>
  <c r="A60" i="45" s="1"/>
  <c r="A11" i="45"/>
  <c r="A59" i="45" s="1"/>
  <c r="B4" i="45"/>
  <c r="B58" i="45" s="1"/>
  <c r="A4" i="45"/>
  <c r="A58" i="45" s="1"/>
  <c r="B14" i="45"/>
  <c r="C15" i="45"/>
  <c r="C20" i="33"/>
  <c r="C6" i="33"/>
  <c r="C56" i="33"/>
  <c r="D6" i="33"/>
  <c r="D56" i="33"/>
  <c r="N133" i="39"/>
  <c r="N132" i="39"/>
  <c r="N131" i="39"/>
  <c r="N130" i="39"/>
  <c r="N129" i="39"/>
  <c r="N128" i="39"/>
  <c r="N127" i="39"/>
  <c r="N126" i="39"/>
  <c r="N125" i="39"/>
  <c r="N124" i="39"/>
  <c r="N123" i="39"/>
  <c r="N122" i="39"/>
  <c r="N121" i="39"/>
  <c r="N120" i="39"/>
  <c r="N119" i="39"/>
  <c r="N118" i="39"/>
  <c r="N117" i="39"/>
  <c r="N116" i="39"/>
  <c r="N115" i="39"/>
  <c r="N114" i="39"/>
  <c r="N112" i="39"/>
  <c r="N110" i="39"/>
  <c r="N108" i="39"/>
  <c r="N107" i="39"/>
  <c r="N106" i="39"/>
  <c r="N105" i="39"/>
  <c r="N104" i="39"/>
  <c r="N103" i="39"/>
  <c r="N102" i="39"/>
  <c r="N101" i="39"/>
  <c r="N100" i="39"/>
  <c r="N99" i="39"/>
  <c r="N98" i="39"/>
  <c r="N97" i="39"/>
  <c r="N96" i="39"/>
  <c r="N95" i="39"/>
  <c r="N94" i="39"/>
  <c r="N93" i="39"/>
  <c r="N92" i="39"/>
  <c r="N91" i="39"/>
  <c r="N90" i="39"/>
  <c r="N89" i="39"/>
  <c r="N88" i="39"/>
  <c r="N87" i="39"/>
  <c r="N86" i="39"/>
  <c r="N85" i="39"/>
  <c r="N83" i="39"/>
  <c r="N82" i="39"/>
  <c r="N81" i="39"/>
  <c r="N80" i="39"/>
  <c r="N79" i="39"/>
  <c r="N78" i="39"/>
  <c r="N77" i="39"/>
  <c r="N76" i="39"/>
  <c r="N75" i="39"/>
  <c r="N74" i="39"/>
  <c r="N73" i="39"/>
  <c r="N72" i="39"/>
  <c r="N71" i="39"/>
  <c r="N70" i="39"/>
  <c r="N69" i="39"/>
  <c r="N68" i="39"/>
  <c r="N67" i="39"/>
  <c r="N66" i="39"/>
  <c r="N65" i="39"/>
  <c r="N64" i="39"/>
  <c r="N63" i="39"/>
  <c r="N62" i="39"/>
  <c r="N61" i="39"/>
  <c r="N60" i="39"/>
  <c r="N59" i="39"/>
  <c r="N58" i="39"/>
  <c r="N57" i="39"/>
  <c r="N56" i="39"/>
  <c r="N55" i="39"/>
  <c r="N54" i="39"/>
  <c r="N53" i="39"/>
  <c r="N52" i="39"/>
  <c r="N51" i="39"/>
  <c r="N50" i="39"/>
  <c r="N49" i="39"/>
  <c r="N48" i="39"/>
  <c r="N47" i="39"/>
  <c r="N46" i="39"/>
  <c r="N45" i="39"/>
  <c r="N44" i="39"/>
  <c r="N43" i="39"/>
  <c r="N42" i="39"/>
  <c r="N41" i="39"/>
  <c r="N40" i="39"/>
  <c r="N39" i="39"/>
  <c r="N38" i="39"/>
  <c r="N37" i="39"/>
  <c r="N36" i="39"/>
  <c r="N34" i="39"/>
  <c r="N33" i="39"/>
  <c r="N32" i="39"/>
  <c r="N31" i="39"/>
  <c r="N30" i="39"/>
  <c r="N29" i="39"/>
  <c r="N28" i="39"/>
  <c r="N27" i="39"/>
  <c r="N26" i="39"/>
  <c r="N25" i="39"/>
  <c r="N24" i="39"/>
  <c r="N23" i="39"/>
  <c r="N22" i="39"/>
  <c r="N21" i="39"/>
  <c r="N20" i="39"/>
  <c r="N19" i="39"/>
  <c r="N18" i="39"/>
  <c r="N17" i="39"/>
  <c r="N16" i="39"/>
  <c r="N15" i="39"/>
  <c r="N14" i="39"/>
  <c r="N13" i="39"/>
  <c r="N12" i="39"/>
  <c r="N6" i="39"/>
  <c r="N7" i="39"/>
  <c r="N8" i="39"/>
  <c r="N9" i="39"/>
  <c r="N10" i="39"/>
  <c r="N5" i="39"/>
  <c r="K138" i="39"/>
  <c r="J138" i="39"/>
  <c r="K137" i="39"/>
  <c r="J137" i="39"/>
  <c r="K136" i="39"/>
  <c r="J136" i="39"/>
  <c r="K135" i="39"/>
  <c r="J135" i="39"/>
  <c r="K133" i="39"/>
  <c r="J133" i="39"/>
  <c r="K132" i="39"/>
  <c r="J132" i="39"/>
  <c r="K131" i="39"/>
  <c r="J131" i="39"/>
  <c r="K130" i="39"/>
  <c r="J130" i="39"/>
  <c r="K129" i="39"/>
  <c r="J129" i="39"/>
  <c r="K128" i="39"/>
  <c r="J128" i="39"/>
  <c r="K127" i="39"/>
  <c r="J127" i="39"/>
  <c r="K126" i="39"/>
  <c r="J126" i="39"/>
  <c r="K125" i="39"/>
  <c r="J125" i="39"/>
  <c r="K124" i="39"/>
  <c r="J124" i="39"/>
  <c r="K123" i="39"/>
  <c r="J123" i="39"/>
  <c r="K122" i="39"/>
  <c r="J122" i="39"/>
  <c r="K121" i="39"/>
  <c r="J121" i="39"/>
  <c r="K120" i="39"/>
  <c r="J120" i="39"/>
  <c r="K119" i="39"/>
  <c r="J119" i="39"/>
  <c r="K118" i="39"/>
  <c r="J118" i="39"/>
  <c r="K117" i="39"/>
  <c r="J117" i="39"/>
  <c r="K116" i="39"/>
  <c r="J116" i="39"/>
  <c r="K115" i="39"/>
  <c r="J115" i="39"/>
  <c r="K114" i="39"/>
  <c r="J114" i="39"/>
  <c r="K112" i="39"/>
  <c r="J112" i="39"/>
  <c r="K110" i="39"/>
  <c r="J110" i="39"/>
  <c r="K108" i="39"/>
  <c r="J108" i="39"/>
  <c r="K107" i="39"/>
  <c r="J107" i="39"/>
  <c r="K106" i="39"/>
  <c r="J106" i="39"/>
  <c r="K105" i="39"/>
  <c r="J105" i="39"/>
  <c r="K104" i="39"/>
  <c r="J104" i="39"/>
  <c r="K103" i="39"/>
  <c r="J103" i="39"/>
  <c r="K102" i="39"/>
  <c r="J102" i="39"/>
  <c r="K101" i="39"/>
  <c r="J101" i="39"/>
  <c r="K100" i="39"/>
  <c r="J100" i="39"/>
  <c r="K99" i="39"/>
  <c r="J99" i="39"/>
  <c r="K98" i="39"/>
  <c r="J98" i="39"/>
  <c r="K97" i="39"/>
  <c r="J97" i="39"/>
  <c r="K96" i="39"/>
  <c r="J96" i="39"/>
  <c r="K95" i="39"/>
  <c r="J95" i="39"/>
  <c r="K94" i="39"/>
  <c r="J94" i="39"/>
  <c r="K93" i="39"/>
  <c r="J93" i="39"/>
  <c r="K92" i="39"/>
  <c r="J92" i="39"/>
  <c r="K91" i="39"/>
  <c r="J91" i="39"/>
  <c r="K90" i="39"/>
  <c r="J90" i="39"/>
  <c r="K89" i="39"/>
  <c r="J89" i="39"/>
  <c r="K88" i="39"/>
  <c r="J88" i="39"/>
  <c r="K87" i="39"/>
  <c r="J87" i="39"/>
  <c r="K86" i="39"/>
  <c r="J86" i="39"/>
  <c r="K85" i="39"/>
  <c r="J85" i="39"/>
  <c r="K83" i="39"/>
  <c r="J83" i="39"/>
  <c r="K82" i="39"/>
  <c r="J82" i="39"/>
  <c r="K81" i="39"/>
  <c r="J81" i="39"/>
  <c r="K80" i="39"/>
  <c r="J80" i="39"/>
  <c r="K79" i="39"/>
  <c r="J79" i="39"/>
  <c r="K78" i="39"/>
  <c r="J78" i="39"/>
  <c r="K77" i="39"/>
  <c r="J77" i="39"/>
  <c r="K76" i="39"/>
  <c r="J76" i="39"/>
  <c r="K75" i="39"/>
  <c r="J75" i="39"/>
  <c r="K74" i="39"/>
  <c r="J74" i="39"/>
  <c r="K73" i="39"/>
  <c r="J73" i="39"/>
  <c r="K72" i="39"/>
  <c r="J72" i="39"/>
  <c r="K71" i="39"/>
  <c r="J71" i="39"/>
  <c r="K70" i="39"/>
  <c r="J70" i="39"/>
  <c r="K69" i="39"/>
  <c r="J69" i="39"/>
  <c r="K68" i="39"/>
  <c r="J68" i="39"/>
  <c r="K67" i="39"/>
  <c r="J67" i="39"/>
  <c r="K66" i="39"/>
  <c r="J66" i="39"/>
  <c r="K65" i="39"/>
  <c r="J65" i="39"/>
  <c r="K64" i="39"/>
  <c r="J64" i="39"/>
  <c r="K63" i="39"/>
  <c r="J63" i="39"/>
  <c r="K62" i="39"/>
  <c r="J62" i="39"/>
  <c r="K61" i="39"/>
  <c r="J61" i="39"/>
  <c r="K60" i="39"/>
  <c r="J60" i="39"/>
  <c r="K59" i="39"/>
  <c r="J59" i="39"/>
  <c r="K58" i="39"/>
  <c r="J58" i="39"/>
  <c r="K57" i="39"/>
  <c r="J57" i="39"/>
  <c r="K56" i="39"/>
  <c r="J56" i="39"/>
  <c r="K55" i="39"/>
  <c r="J55" i="39"/>
  <c r="K54" i="39"/>
  <c r="J54" i="39"/>
  <c r="K53" i="39"/>
  <c r="J53" i="39"/>
  <c r="K52" i="39"/>
  <c r="J52" i="39"/>
  <c r="K51" i="39"/>
  <c r="J51" i="39"/>
  <c r="K50" i="39"/>
  <c r="J50" i="39"/>
  <c r="K49" i="39"/>
  <c r="J49" i="39"/>
  <c r="K48" i="39"/>
  <c r="J48" i="39"/>
  <c r="K47" i="39"/>
  <c r="J47" i="39"/>
  <c r="K46" i="39"/>
  <c r="J46" i="39"/>
  <c r="K45" i="39"/>
  <c r="J45" i="39"/>
  <c r="K44" i="39"/>
  <c r="J44" i="39"/>
  <c r="K43" i="39"/>
  <c r="J43" i="39"/>
  <c r="K42" i="39"/>
  <c r="J42" i="39"/>
  <c r="K41" i="39"/>
  <c r="J41" i="39"/>
  <c r="K40" i="39"/>
  <c r="J40" i="39"/>
  <c r="K39" i="39"/>
  <c r="J39" i="39"/>
  <c r="K38" i="39"/>
  <c r="J38" i="39"/>
  <c r="K37" i="39"/>
  <c r="J37" i="39"/>
  <c r="K36" i="39"/>
  <c r="J36" i="39"/>
  <c r="K34" i="39"/>
  <c r="J34" i="39"/>
  <c r="K33" i="39"/>
  <c r="J33" i="39"/>
  <c r="K32" i="39"/>
  <c r="J32" i="39"/>
  <c r="K31" i="39"/>
  <c r="J31" i="39"/>
  <c r="K30" i="39"/>
  <c r="J30" i="39"/>
  <c r="K29" i="39"/>
  <c r="J29" i="39"/>
  <c r="K28" i="39"/>
  <c r="J28" i="39"/>
  <c r="K27" i="39"/>
  <c r="J27" i="39"/>
  <c r="K26" i="39"/>
  <c r="J26" i="39"/>
  <c r="K25" i="39"/>
  <c r="J25" i="39"/>
  <c r="K24" i="39"/>
  <c r="J24" i="39"/>
  <c r="K23" i="39"/>
  <c r="J23" i="39"/>
  <c r="K22" i="39"/>
  <c r="J22" i="39"/>
  <c r="K21" i="39"/>
  <c r="J21" i="39"/>
  <c r="K20" i="39"/>
  <c r="J20" i="39"/>
  <c r="K19" i="39"/>
  <c r="J19" i="39"/>
  <c r="K18" i="39"/>
  <c r="J18" i="39"/>
  <c r="K17" i="39"/>
  <c r="J17" i="39"/>
  <c r="K16" i="39"/>
  <c r="J16" i="39"/>
  <c r="K15" i="39"/>
  <c r="J15" i="39"/>
  <c r="K14" i="39"/>
  <c r="J14" i="39"/>
  <c r="K13" i="39"/>
  <c r="J13" i="39"/>
  <c r="K12" i="39"/>
  <c r="J12" i="39"/>
  <c r="K10" i="39"/>
  <c r="J10" i="39"/>
  <c r="K9" i="39"/>
  <c r="J9" i="39"/>
  <c r="K8" i="39"/>
  <c r="J8" i="39"/>
  <c r="K7" i="39"/>
  <c r="J7" i="39"/>
  <c r="K6" i="39"/>
  <c r="J6" i="39"/>
  <c r="BH85" i="36" l="1"/>
  <c r="BL85" i="36"/>
  <c r="BP85" i="36"/>
  <c r="BO85" i="36"/>
  <c r="AM85" i="36"/>
  <c r="AQ85" i="36"/>
  <c r="AX85" i="36"/>
  <c r="AS85" i="36"/>
  <c r="AP85" i="36"/>
  <c r="BK85" i="36"/>
  <c r="AR85" i="36"/>
  <c r="BE85" i="36"/>
  <c r="BB85" i="36"/>
  <c r="AN85" i="36"/>
  <c r="BM85" i="36"/>
  <c r="BJ85" i="36"/>
  <c r="BD85" i="36"/>
  <c r="AZ85" i="36"/>
  <c r="BA85" i="36"/>
  <c r="BN85" i="36"/>
  <c r="AO85" i="36"/>
  <c r="AL85" i="36"/>
  <c r="BC85" i="36"/>
  <c r="BG85" i="36"/>
  <c r="BI85" i="36"/>
  <c r="BF85" i="36"/>
  <c r="AV85" i="36"/>
  <c r="AW85" i="36"/>
  <c r="AT85" i="36"/>
  <c r="AK85" i="36"/>
  <c r="AU85" i="36"/>
  <c r="AY85" i="36"/>
  <c r="D75" i="46"/>
  <c r="E57" i="46"/>
  <c r="D65" i="46"/>
  <c r="E47" i="46"/>
  <c r="D76" i="46"/>
  <c r="E58" i="46"/>
  <c r="C38" i="34"/>
  <c r="R95" i="34"/>
  <c r="N94" i="34"/>
  <c r="AC95" i="34"/>
  <c r="K94" i="34"/>
  <c r="R94" i="34"/>
  <c r="AA93" i="34"/>
  <c r="AC93" i="34"/>
  <c r="M93" i="34"/>
  <c r="AA110" i="34"/>
  <c r="AB110" i="34"/>
  <c r="AG94" i="34"/>
  <c r="S93" i="34"/>
  <c r="AF95" i="34"/>
  <c r="P93" i="34"/>
  <c r="AC107" i="34"/>
  <c r="AH107" i="34"/>
  <c r="Q91" i="34"/>
  <c r="AI91" i="34"/>
  <c r="S91" i="34"/>
  <c r="AG107" i="34"/>
  <c r="N108" i="34"/>
  <c r="I113" i="34"/>
  <c r="W42" i="45"/>
  <c r="W64" i="45" s="1"/>
  <c r="AC42" i="45"/>
  <c r="AC64" i="45" s="1"/>
  <c r="N42" i="45"/>
  <c r="N64" i="45" s="1"/>
  <c r="AA42" i="45"/>
  <c r="AA64" i="45" s="1"/>
  <c r="H42" i="45"/>
  <c r="H64" i="45" s="1"/>
  <c r="Z42" i="45"/>
  <c r="Z64" i="45" s="1"/>
  <c r="AW87" i="34"/>
  <c r="AR41" i="45"/>
  <c r="AR63" i="45" s="1"/>
  <c r="Q42" i="45"/>
  <c r="Q64" i="45" s="1"/>
  <c r="S41" i="45"/>
  <c r="S63" i="45" s="1"/>
  <c r="Y41" i="45"/>
  <c r="Y63" i="45" s="1"/>
  <c r="AX87" i="34"/>
  <c r="X98" i="34"/>
  <c r="AE114" i="34"/>
  <c r="C6" i="34"/>
  <c r="D20" i="34"/>
  <c r="R111" i="34"/>
  <c r="L111" i="34"/>
  <c r="N110" i="34"/>
  <c r="X109" i="34"/>
  <c r="AB109" i="34"/>
  <c r="J109" i="34"/>
  <c r="AG109" i="34"/>
  <c r="H109" i="34"/>
  <c r="V110" i="34"/>
  <c r="I109" i="34"/>
  <c r="AH111" i="34"/>
  <c r="W95" i="34"/>
  <c r="AC111" i="34"/>
  <c r="AE94" i="34"/>
  <c r="AF110" i="34"/>
  <c r="K110" i="34"/>
  <c r="AI109" i="34"/>
  <c r="T109" i="34"/>
  <c r="Y95" i="34"/>
  <c r="R110" i="34"/>
  <c r="L110" i="34"/>
  <c r="N109" i="34"/>
  <c r="AA109" i="34"/>
  <c r="Z93" i="34"/>
  <c r="AD109" i="34"/>
  <c r="Q111" i="34"/>
  <c r="V109" i="34"/>
  <c r="AH110" i="34"/>
  <c r="W110" i="34"/>
  <c r="AC110" i="34"/>
  <c r="AE93" i="34"/>
  <c r="K93" i="34"/>
  <c r="Y94" i="34"/>
  <c r="L93" i="34"/>
  <c r="AA95" i="34"/>
  <c r="Z95" i="34"/>
  <c r="AB95" i="34"/>
  <c r="AG95" i="34"/>
  <c r="H111" i="34"/>
  <c r="Q94" i="34"/>
  <c r="S94" i="34"/>
  <c r="W93" i="34"/>
  <c r="U109" i="34"/>
  <c r="AF93" i="34"/>
  <c r="Z94" i="34"/>
  <c r="AB94" i="34"/>
  <c r="AD110" i="34"/>
  <c r="J94" i="34"/>
  <c r="AG110" i="34"/>
  <c r="H110" i="34"/>
  <c r="Q109" i="34"/>
  <c r="I94" i="34"/>
  <c r="S109" i="34"/>
  <c r="AH93" i="34"/>
  <c r="AE95" i="34"/>
  <c r="AF111" i="34"/>
  <c r="AI110" i="34"/>
  <c r="P109" i="34"/>
  <c r="T91" i="34"/>
  <c r="H91" i="34"/>
  <c r="M107" i="34"/>
  <c r="AC91" i="34"/>
  <c r="AH91" i="34"/>
  <c r="N91" i="34"/>
  <c r="AB91" i="34"/>
  <c r="P91" i="34"/>
  <c r="J91" i="34"/>
  <c r="AD91" i="34"/>
  <c r="Z91" i="34"/>
  <c r="S107" i="34"/>
  <c r="U91" i="34"/>
  <c r="Y91" i="34"/>
  <c r="AC98" i="34"/>
  <c r="AG114" i="34"/>
  <c r="U113" i="34"/>
  <c r="G42" i="45"/>
  <c r="G64" i="45" s="1"/>
  <c r="W41" i="45"/>
  <c r="W63" i="45" s="1"/>
  <c r="I42" i="45"/>
  <c r="I64" i="45" s="1"/>
  <c r="AC41" i="45"/>
  <c r="AC63" i="45" s="1"/>
  <c r="BB87" i="34"/>
  <c r="N41" i="45"/>
  <c r="N63" i="45" s="1"/>
  <c r="R42" i="45"/>
  <c r="R64" i="45" s="1"/>
  <c r="BE41" i="45"/>
  <c r="BE63" i="45" s="1"/>
  <c r="K42" i="45"/>
  <c r="K64" i="45" s="1"/>
  <c r="AA41" i="45"/>
  <c r="AA63" i="45" s="1"/>
  <c r="M42" i="45"/>
  <c r="M64" i="45" s="1"/>
  <c r="H41" i="45"/>
  <c r="H63" i="45" s="1"/>
  <c r="BF87" i="34"/>
  <c r="Z41" i="45"/>
  <c r="Z63" i="45" s="1"/>
  <c r="AG42" i="45"/>
  <c r="AG64" i="45" s="1"/>
  <c r="BM41" i="45"/>
  <c r="BM63" i="45" s="1"/>
  <c r="AE42" i="45"/>
  <c r="AE64" i="45" s="1"/>
  <c r="AU41" i="45"/>
  <c r="AU63" i="45" s="1"/>
  <c r="L42" i="45"/>
  <c r="L64" i="45" s="1"/>
  <c r="AB41" i="45"/>
  <c r="AB63" i="45" s="1"/>
  <c r="AM87" i="34"/>
  <c r="Q41" i="45"/>
  <c r="Q63" i="45" s="1"/>
  <c r="J42" i="45"/>
  <c r="J64" i="45" s="1"/>
  <c r="AX41" i="45"/>
  <c r="AX63" i="45" s="1"/>
  <c r="BA87" i="34"/>
  <c r="F41" i="45"/>
  <c r="F63" i="45" s="1"/>
  <c r="AF42" i="45"/>
  <c r="AF64" i="45" s="1"/>
  <c r="AV41" i="45"/>
  <c r="AV63" i="45" s="1"/>
  <c r="AD42" i="45"/>
  <c r="AD64" i="45" s="1"/>
  <c r="BJ41" i="45"/>
  <c r="BJ63" i="45" s="1"/>
  <c r="BH87" i="34"/>
  <c r="X113" i="34"/>
  <c r="H98" i="34"/>
  <c r="J114" i="34"/>
  <c r="V114" i="34"/>
  <c r="AF114" i="34"/>
  <c r="R114" i="34"/>
  <c r="W98" i="34"/>
  <c r="AD98" i="34"/>
  <c r="L113" i="34"/>
  <c r="N98" i="34"/>
  <c r="L97" i="34"/>
  <c r="N114" i="34"/>
  <c r="AD113" i="34"/>
  <c r="V113" i="34"/>
  <c r="J93" i="34"/>
  <c r="V94" i="34"/>
  <c r="T93" i="34"/>
  <c r="L94" i="34"/>
  <c r="Z109" i="34"/>
  <c r="X95" i="34"/>
  <c r="J95" i="34"/>
  <c r="AI95" i="34"/>
  <c r="R109" i="34"/>
  <c r="AD94" i="34"/>
  <c r="Q93" i="34"/>
  <c r="AH109" i="34"/>
  <c r="H107" i="34"/>
  <c r="K91" i="34"/>
  <c r="AG98" i="34"/>
  <c r="AP41" i="45"/>
  <c r="AP63" i="45" s="1"/>
  <c r="BL87" i="34"/>
  <c r="AB97" i="34"/>
  <c r="AG113" i="34"/>
  <c r="P98" i="34"/>
  <c r="AD114" i="34"/>
  <c r="P97" i="34"/>
  <c r="AE110" i="34"/>
  <c r="W94" i="34"/>
  <c r="U110" i="34"/>
  <c r="AE109" i="34"/>
  <c r="O110" i="34"/>
  <c r="K109" i="34"/>
  <c r="Y110" i="34"/>
  <c r="M110" i="34"/>
  <c r="L109" i="34"/>
  <c r="AA111" i="34"/>
  <c r="X111" i="34"/>
  <c r="Z111" i="34"/>
  <c r="AB111" i="34"/>
  <c r="AD111" i="34"/>
  <c r="J111" i="34"/>
  <c r="AG111" i="34"/>
  <c r="H95" i="34"/>
  <c r="Q110" i="34"/>
  <c r="S110" i="34"/>
  <c r="W109" i="34"/>
  <c r="AC109" i="34"/>
  <c r="U93" i="34"/>
  <c r="AF109" i="34"/>
  <c r="O93" i="34"/>
  <c r="Y93" i="34"/>
  <c r="R93" i="34"/>
  <c r="N95" i="34"/>
  <c r="AE91" i="34"/>
  <c r="M91" i="34"/>
  <c r="X91" i="34"/>
  <c r="AD92" i="34"/>
  <c r="L91" i="34"/>
  <c r="J107" i="34"/>
  <c r="K107" i="34"/>
  <c r="Z107" i="34"/>
  <c r="V107" i="34"/>
  <c r="I107" i="34"/>
  <c r="AG91" i="34"/>
  <c r="O107" i="34"/>
  <c r="Z92" i="34"/>
  <c r="AC114" i="34"/>
  <c r="AF97" i="34"/>
  <c r="S97" i="34"/>
  <c r="G41" i="45"/>
  <c r="G63" i="45" s="1"/>
  <c r="BE87" i="34"/>
  <c r="I41" i="45"/>
  <c r="I63" i="45" s="1"/>
  <c r="AL87" i="34"/>
  <c r="AZ41" i="45"/>
  <c r="AZ63" i="45" s="1"/>
  <c r="AN87" i="34"/>
  <c r="R41" i="45"/>
  <c r="R63" i="45" s="1"/>
  <c r="BP87" i="34"/>
  <c r="K41" i="45"/>
  <c r="K63" i="45" s="1"/>
  <c r="BI87" i="34"/>
  <c r="M41" i="45"/>
  <c r="M63" i="45" s="1"/>
  <c r="AP87" i="34"/>
  <c r="BD41" i="45"/>
  <c r="BD63" i="45" s="1"/>
  <c r="AV87" i="34"/>
  <c r="AG41" i="45"/>
  <c r="AG63" i="45" s="1"/>
  <c r="O42" i="45"/>
  <c r="O64" i="45" s="1"/>
  <c r="AE41" i="45"/>
  <c r="AE63" i="45" s="1"/>
  <c r="U42" i="45"/>
  <c r="U64" i="45" s="1"/>
  <c r="L41" i="45"/>
  <c r="L63" i="45" s="1"/>
  <c r="BJ87" i="34"/>
  <c r="AK41" i="45"/>
  <c r="AK63" i="45" s="1"/>
  <c r="AQ87" i="34"/>
  <c r="J41" i="45"/>
  <c r="J63" i="45" s="1"/>
  <c r="AK87" i="34"/>
  <c r="AY41" i="45"/>
  <c r="AY63" i="45" s="1"/>
  <c r="P42" i="45"/>
  <c r="P64" i="45" s="1"/>
  <c r="AF41" i="45"/>
  <c r="AF63" i="45" s="1"/>
  <c r="AU87" i="34"/>
  <c r="AD41" i="45"/>
  <c r="AD63" i="45" s="1"/>
  <c r="V42" i="45"/>
  <c r="V64" i="45" s="1"/>
  <c r="BF41" i="45"/>
  <c r="BF63" i="45" s="1"/>
  <c r="T110" i="34"/>
  <c r="AA98" i="34"/>
  <c r="T114" i="34"/>
  <c r="P114" i="34"/>
  <c r="V98" i="34"/>
  <c r="Z98" i="34"/>
  <c r="AC113" i="34"/>
  <c r="O97" i="34"/>
  <c r="Z97" i="34"/>
  <c r="AA113" i="34"/>
  <c r="AE113" i="34"/>
  <c r="L95" i="34"/>
  <c r="AB93" i="34"/>
  <c r="I93" i="34"/>
  <c r="W111" i="34"/>
  <c r="AF94" i="34"/>
  <c r="AI93" i="34"/>
  <c r="Y111" i="34"/>
  <c r="N93" i="34"/>
  <c r="AH94" i="34"/>
  <c r="M94" i="34"/>
  <c r="AD95" i="34"/>
  <c r="P110" i="34"/>
  <c r="Y109" i="34"/>
  <c r="N111" i="34"/>
  <c r="X110" i="34"/>
  <c r="J110" i="34"/>
  <c r="H94" i="34"/>
  <c r="I110" i="34"/>
  <c r="AE111" i="34"/>
  <c r="AI94" i="34"/>
  <c r="L107" i="34"/>
  <c r="W107" i="34"/>
  <c r="AA91" i="34"/>
  <c r="AD107" i="34"/>
  <c r="O91" i="34"/>
  <c r="R107" i="34"/>
  <c r="AM41" i="45"/>
  <c r="AM63" i="45" s="1"/>
  <c r="T41" i="45"/>
  <c r="T63" i="45" s="1"/>
  <c r="BA41" i="45"/>
  <c r="BA63" i="45" s="1"/>
  <c r="BG87" i="34"/>
  <c r="AQ41" i="45"/>
  <c r="AQ63" i="45" s="1"/>
  <c r="X41" i="45"/>
  <c r="X63" i="45" s="1"/>
  <c r="BI41" i="45"/>
  <c r="BI63" i="45" s="1"/>
  <c r="BO87" i="34"/>
  <c r="BK41" i="45"/>
  <c r="BK63" i="45" s="1"/>
  <c r="AB42" i="45"/>
  <c r="AB64" i="45" s="1"/>
  <c r="BB41" i="45"/>
  <c r="BB63" i="45" s="1"/>
  <c r="AZ87" i="34"/>
  <c r="F42" i="45"/>
  <c r="F64" i="45" s="1"/>
  <c r="BL41" i="45"/>
  <c r="BL63" i="45" s="1"/>
  <c r="AW41" i="45"/>
  <c r="AW63" i="45" s="1"/>
  <c r="AF98" i="34"/>
  <c r="Z114" i="34"/>
  <c r="AB98" i="34"/>
  <c r="AF107" i="34"/>
  <c r="R113" i="34"/>
  <c r="D38" i="34"/>
  <c r="D6" i="34"/>
  <c r="X93" i="34"/>
  <c r="AG93" i="34"/>
  <c r="H93" i="34"/>
  <c r="AH95" i="34"/>
  <c r="AD93" i="34"/>
  <c r="Q95" i="34"/>
  <c r="V93" i="34"/>
  <c r="AC94" i="34"/>
  <c r="O94" i="34"/>
  <c r="O109" i="34"/>
  <c r="P94" i="34"/>
  <c r="M109" i="34"/>
  <c r="AA94" i="34"/>
  <c r="X94" i="34"/>
  <c r="T107" i="34"/>
  <c r="AE107" i="34"/>
  <c r="X107" i="34"/>
  <c r="N107" i="34"/>
  <c r="Q107" i="34"/>
  <c r="W91" i="34"/>
  <c r="AI107" i="34"/>
  <c r="AA107" i="34"/>
  <c r="AB107" i="34"/>
  <c r="P107" i="34"/>
  <c r="V91" i="34"/>
  <c r="I91" i="34"/>
  <c r="U107" i="34"/>
  <c r="Y107" i="34"/>
  <c r="W92" i="34"/>
  <c r="V108" i="34"/>
  <c r="AB92" i="34"/>
  <c r="X97" i="34"/>
  <c r="I97" i="34"/>
  <c r="AO87" i="34"/>
  <c r="BC41" i="45"/>
  <c r="BC63" i="45" s="1"/>
  <c r="T42" i="45"/>
  <c r="T64" i="45" s="1"/>
  <c r="AJ41" i="45"/>
  <c r="AJ63" i="45" s="1"/>
  <c r="BC87" i="34"/>
  <c r="AL41" i="45"/>
  <c r="AL63" i="45" s="1"/>
  <c r="BN41" i="45"/>
  <c r="BN63" i="45" s="1"/>
  <c r="AS87" i="34"/>
  <c r="BG41" i="45"/>
  <c r="BG63" i="45" s="1"/>
  <c r="X42" i="45"/>
  <c r="X64" i="45" s="1"/>
  <c r="AN41" i="45"/>
  <c r="AN63" i="45" s="1"/>
  <c r="BK87" i="34"/>
  <c r="AT41" i="45"/>
  <c r="AT63" i="45" s="1"/>
  <c r="AR87" i="34"/>
  <c r="O41" i="45"/>
  <c r="O63" i="45" s="1"/>
  <c r="BM87" i="34"/>
  <c r="U41" i="45"/>
  <c r="U63" i="45" s="1"/>
  <c r="AT87" i="34"/>
  <c r="BH41" i="45"/>
  <c r="BH63" i="45" s="1"/>
  <c r="BD87" i="34"/>
  <c r="AO41" i="45"/>
  <c r="AO63" i="45" s="1"/>
  <c r="S42" i="45"/>
  <c r="S64" i="45" s="1"/>
  <c r="AI41" i="45"/>
  <c r="AI63" i="45" s="1"/>
  <c r="Y42" i="45"/>
  <c r="Y64" i="45" s="1"/>
  <c r="P41" i="45"/>
  <c r="P63" i="45" s="1"/>
  <c r="BN87" i="34"/>
  <c r="AS41" i="45"/>
  <c r="AS63" i="45" s="1"/>
  <c r="AY87" i="34"/>
  <c r="V41" i="45"/>
  <c r="V63" i="45" s="1"/>
  <c r="Q97" i="34"/>
  <c r="U97" i="34"/>
  <c r="S113" i="34"/>
  <c r="AA114" i="34"/>
  <c r="X114" i="34"/>
  <c r="T98" i="34"/>
  <c r="H114" i="34"/>
  <c r="J98" i="34"/>
  <c r="AE98" i="34"/>
  <c r="R98" i="34"/>
  <c r="AB114" i="34"/>
  <c r="K114" i="34"/>
  <c r="AA97" i="34"/>
  <c r="K98" i="34"/>
  <c r="AF113" i="34"/>
  <c r="AD97" i="34"/>
  <c r="P113" i="34"/>
  <c r="K56" i="36"/>
  <c r="K72" i="36"/>
  <c r="U160" i="34"/>
  <c r="Z69" i="36"/>
  <c r="AD67" i="36"/>
  <c r="AF50" i="36"/>
  <c r="W164" i="34"/>
  <c r="T163" i="34"/>
  <c r="U53" i="36"/>
  <c r="Z176" i="34"/>
  <c r="AF157" i="34"/>
  <c r="W73" i="36"/>
  <c r="AF174" i="34"/>
  <c r="T72" i="36"/>
  <c r="T56" i="36"/>
  <c r="AI70" i="36"/>
  <c r="R50" i="36"/>
  <c r="AB67" i="36"/>
  <c r="W72" i="36"/>
  <c r="W56" i="36"/>
  <c r="AB74" i="36"/>
  <c r="AB58" i="36"/>
  <c r="AB165" i="34"/>
  <c r="AB181" i="34"/>
  <c r="K165" i="34"/>
  <c r="K58" i="36"/>
  <c r="K74" i="36"/>
  <c r="K181" i="34"/>
  <c r="P165" i="34"/>
  <c r="P58" i="36"/>
  <c r="P74" i="36"/>
  <c r="P181" i="34"/>
  <c r="Z165" i="34"/>
  <c r="Z181" i="34"/>
  <c r="Z58" i="36"/>
  <c r="Z74" i="36"/>
  <c r="AG74" i="36"/>
  <c r="AG165" i="34"/>
  <c r="AG58" i="36"/>
  <c r="AG181" i="34"/>
  <c r="T58" i="36"/>
  <c r="T74" i="36"/>
  <c r="T165" i="34"/>
  <c r="T181" i="34"/>
  <c r="U58" i="36"/>
  <c r="U181" i="34"/>
  <c r="U165" i="34"/>
  <c r="U74" i="36"/>
  <c r="AE74" i="36"/>
  <c r="AE58" i="36"/>
  <c r="AE165" i="34"/>
  <c r="AE181" i="34"/>
  <c r="L74" i="36"/>
  <c r="L181" i="34"/>
  <c r="L58" i="36"/>
  <c r="L165" i="34"/>
  <c r="AC181" i="34"/>
  <c r="AC74" i="36"/>
  <c r="AC165" i="34"/>
  <c r="AC58" i="36"/>
  <c r="Q58" i="36"/>
  <c r="Q181" i="34"/>
  <c r="Q165" i="34"/>
  <c r="Q74" i="36"/>
  <c r="V181" i="34"/>
  <c r="V58" i="36"/>
  <c r="V74" i="36"/>
  <c r="V165" i="34"/>
  <c r="X165" i="34"/>
  <c r="X58" i="36"/>
  <c r="X74" i="36"/>
  <c r="X181" i="34"/>
  <c r="R181" i="34"/>
  <c r="R165" i="34"/>
  <c r="R58" i="36"/>
  <c r="R74" i="36"/>
  <c r="AI74" i="36"/>
  <c r="AI165" i="34"/>
  <c r="AI58" i="36"/>
  <c r="AI181" i="34"/>
  <c r="J74" i="36"/>
  <c r="J58" i="36"/>
  <c r="J165" i="34"/>
  <c r="J181" i="34"/>
  <c r="N165" i="34"/>
  <c r="N58" i="36"/>
  <c r="N74" i="36"/>
  <c r="N181" i="34"/>
  <c r="Y181" i="34"/>
  <c r="Y58" i="36"/>
  <c r="Y165" i="34"/>
  <c r="Y74" i="36"/>
  <c r="AH165" i="34"/>
  <c r="AH58" i="36"/>
  <c r="AH181" i="34"/>
  <c r="AH74" i="36"/>
  <c r="AF58" i="36"/>
  <c r="AF74" i="36"/>
  <c r="AF181" i="34"/>
  <c r="AF165" i="34"/>
  <c r="W58" i="36"/>
  <c r="W74" i="36"/>
  <c r="W181" i="34"/>
  <c r="W165" i="34"/>
  <c r="AD165" i="34"/>
  <c r="AD181" i="34"/>
  <c r="AD74" i="36"/>
  <c r="AD58" i="36"/>
  <c r="M181" i="34"/>
  <c r="M165" i="34"/>
  <c r="M74" i="36"/>
  <c r="M58" i="36"/>
  <c r="AA58" i="36"/>
  <c r="AA181" i="34"/>
  <c r="AA74" i="36"/>
  <c r="AA165" i="34"/>
  <c r="H181" i="34"/>
  <c r="H74" i="36"/>
  <c r="H58" i="36"/>
  <c r="H165" i="34"/>
  <c r="O181" i="34"/>
  <c r="O165" i="34"/>
  <c r="O74" i="36"/>
  <c r="O58" i="36"/>
  <c r="S165" i="34"/>
  <c r="S74" i="36"/>
  <c r="S58" i="36"/>
  <c r="S181" i="34"/>
  <c r="I181" i="34"/>
  <c r="I58" i="36"/>
  <c r="I74" i="36"/>
  <c r="I165" i="34"/>
  <c r="AC163" i="34"/>
  <c r="AC56" i="36"/>
  <c r="AC179" i="34"/>
  <c r="AG179" i="34"/>
  <c r="AG56" i="36"/>
  <c r="N179" i="34"/>
  <c r="N72" i="36"/>
  <c r="N56" i="36"/>
  <c r="U73" i="36"/>
  <c r="H179" i="34"/>
  <c r="H56" i="36"/>
  <c r="H163" i="34"/>
  <c r="H72" i="36"/>
  <c r="AI163" i="34"/>
  <c r="AI56" i="36"/>
  <c r="AI179" i="34"/>
  <c r="AI72" i="36"/>
  <c r="Y56" i="36"/>
  <c r="Y72" i="36"/>
  <c r="Y179" i="34"/>
  <c r="Y163" i="34"/>
  <c r="Y73" i="36"/>
  <c r="Y164" i="34"/>
  <c r="Y180" i="34"/>
  <c r="Y57" i="36"/>
  <c r="AH56" i="36"/>
  <c r="AH72" i="36"/>
  <c r="AH179" i="34"/>
  <c r="AH163" i="34"/>
  <c r="AI164" i="34"/>
  <c r="AI57" i="36"/>
  <c r="AI180" i="34"/>
  <c r="AI73" i="36"/>
  <c r="M179" i="34"/>
  <c r="M56" i="36"/>
  <c r="M72" i="36"/>
  <c r="M163" i="34"/>
  <c r="AI51" i="36"/>
  <c r="Z158" i="34"/>
  <c r="T53" i="36"/>
  <c r="W174" i="34"/>
  <c r="S51" i="36"/>
  <c r="Q174" i="34"/>
  <c r="T176" i="34"/>
  <c r="T160" i="34"/>
  <c r="L51" i="36"/>
  <c r="L158" i="34"/>
  <c r="AI67" i="36"/>
  <c r="I51" i="36"/>
  <c r="I174" i="34"/>
  <c r="I48" i="36"/>
  <c r="I140" i="34"/>
  <c r="I136" i="34"/>
  <c r="I88" i="34"/>
  <c r="G44" i="45" s="1"/>
  <c r="Y48" i="36"/>
  <c r="Y140" i="34"/>
  <c r="Y136" i="34"/>
  <c r="Y88" i="34"/>
  <c r="W44" i="45" s="1"/>
  <c r="AO48" i="36"/>
  <c r="AO140" i="34"/>
  <c r="AO136" i="34"/>
  <c r="AO88" i="34"/>
  <c r="AM44" i="45" s="1"/>
  <c r="BE48" i="36"/>
  <c r="BE140" i="34"/>
  <c r="BE136" i="34"/>
  <c r="BE88" i="34"/>
  <c r="BC44" i="45" s="1"/>
  <c r="K48" i="36"/>
  <c r="K136" i="34"/>
  <c r="K88" i="34"/>
  <c r="I44" i="45" s="1"/>
  <c r="K140" i="34"/>
  <c r="AE48" i="36"/>
  <c r="AE140" i="34"/>
  <c r="AE136" i="34"/>
  <c r="AE88" i="34"/>
  <c r="AC44" i="45" s="1"/>
  <c r="BC48" i="36"/>
  <c r="BC136" i="34"/>
  <c r="BC88" i="34"/>
  <c r="BA44" i="45" s="1"/>
  <c r="BC140" i="34"/>
  <c r="BG48" i="36"/>
  <c r="BG136" i="34"/>
  <c r="BG88" i="34"/>
  <c r="BE44" i="45" s="1"/>
  <c r="BG140" i="34"/>
  <c r="L78" i="36"/>
  <c r="L185" i="34"/>
  <c r="L62" i="36"/>
  <c r="L169" i="34"/>
  <c r="K62" i="36"/>
  <c r="K185" i="34"/>
  <c r="K169" i="34"/>
  <c r="K78" i="36"/>
  <c r="AI78" i="36"/>
  <c r="AI62" i="36"/>
  <c r="AI169" i="34"/>
  <c r="AI185" i="34"/>
  <c r="M48" i="36"/>
  <c r="M140" i="34"/>
  <c r="M136" i="34"/>
  <c r="M88" i="34"/>
  <c r="K44" i="45" s="1"/>
  <c r="AC48" i="36"/>
  <c r="AC140" i="34"/>
  <c r="AC136" i="34"/>
  <c r="AC88" i="34"/>
  <c r="AA44" i="45" s="1"/>
  <c r="AS48" i="36"/>
  <c r="AS88" i="34"/>
  <c r="AQ44" i="45" s="1"/>
  <c r="AS140" i="34"/>
  <c r="AS136" i="34"/>
  <c r="BI48" i="36"/>
  <c r="BI140" i="34"/>
  <c r="BI136" i="34"/>
  <c r="BI88" i="34"/>
  <c r="BG44" i="45" s="1"/>
  <c r="O48" i="36"/>
  <c r="O140" i="34"/>
  <c r="O136" i="34"/>
  <c r="O88" i="34"/>
  <c r="M44" i="45" s="1"/>
  <c r="BK48" i="36"/>
  <c r="BK136" i="34"/>
  <c r="BK88" i="34"/>
  <c r="BI44" i="45" s="1"/>
  <c r="BK140" i="34"/>
  <c r="AI48" i="36"/>
  <c r="AI136" i="34"/>
  <c r="AI88" i="34"/>
  <c r="AG44" i="45" s="1"/>
  <c r="AI140" i="34"/>
  <c r="BO48" i="36"/>
  <c r="BO136" i="34"/>
  <c r="BO88" i="34"/>
  <c r="BM44" i="45" s="1"/>
  <c r="BO140" i="34"/>
  <c r="AE170" i="34"/>
  <c r="AE63" i="36"/>
  <c r="AE79" i="36"/>
  <c r="AE186" i="34"/>
  <c r="AA185" i="34"/>
  <c r="AA169" i="34"/>
  <c r="AA62" i="36"/>
  <c r="AA78" i="36"/>
  <c r="R79" i="36"/>
  <c r="R186" i="34"/>
  <c r="R170" i="34"/>
  <c r="R63" i="36"/>
  <c r="N48" i="36"/>
  <c r="N88" i="34"/>
  <c r="L44" i="45" s="1"/>
  <c r="N140" i="34"/>
  <c r="N136" i="34"/>
  <c r="AD48" i="36"/>
  <c r="AD136" i="34"/>
  <c r="AD140" i="34"/>
  <c r="AD88" i="34"/>
  <c r="AB44" i="45" s="1"/>
  <c r="AT48" i="36"/>
  <c r="AT136" i="34"/>
  <c r="AT140" i="34"/>
  <c r="AT88" i="34"/>
  <c r="AR44" i="45" s="1"/>
  <c r="BJ48" i="36"/>
  <c r="BJ136" i="34"/>
  <c r="BJ140" i="34"/>
  <c r="BJ88" i="34"/>
  <c r="BH44" i="45" s="1"/>
  <c r="BD48" i="36"/>
  <c r="BD140" i="34"/>
  <c r="BD88" i="34"/>
  <c r="BB44" i="45" s="1"/>
  <c r="BD136" i="34"/>
  <c r="L48" i="36"/>
  <c r="L140" i="34"/>
  <c r="L136" i="34"/>
  <c r="L88" i="34"/>
  <c r="J44" i="45" s="1"/>
  <c r="AZ48" i="36"/>
  <c r="AZ140" i="34"/>
  <c r="AZ136" i="34"/>
  <c r="AZ88" i="34"/>
  <c r="AX44" i="45" s="1"/>
  <c r="Q78" i="36"/>
  <c r="Q169" i="34"/>
  <c r="Q185" i="34"/>
  <c r="Q62" i="36"/>
  <c r="X79" i="36"/>
  <c r="X186" i="34"/>
  <c r="X63" i="36"/>
  <c r="X170" i="34"/>
  <c r="AH62" i="36"/>
  <c r="AH169" i="34"/>
  <c r="AH78" i="36"/>
  <c r="AH185" i="34"/>
  <c r="W63" i="36"/>
  <c r="W186" i="34"/>
  <c r="W170" i="34"/>
  <c r="W79" i="36"/>
  <c r="S62" i="36"/>
  <c r="S78" i="36"/>
  <c r="S169" i="34"/>
  <c r="S185" i="34"/>
  <c r="AF169" i="34"/>
  <c r="AF185" i="34"/>
  <c r="AF62" i="36"/>
  <c r="AF78" i="36"/>
  <c r="Y186" i="34"/>
  <c r="Y63" i="36"/>
  <c r="Y79" i="36"/>
  <c r="Y170" i="34"/>
  <c r="I144" i="34"/>
  <c r="I90" i="34"/>
  <c r="G46" i="45" s="1"/>
  <c r="Y144" i="34"/>
  <c r="Y90" i="34"/>
  <c r="W46" i="45" s="1"/>
  <c r="AO144" i="34"/>
  <c r="AO90" i="34"/>
  <c r="AM46" i="45" s="1"/>
  <c r="K144" i="34"/>
  <c r="K90" i="34"/>
  <c r="I46" i="45" s="1"/>
  <c r="AE144" i="34"/>
  <c r="AE90" i="34"/>
  <c r="AC46" i="45" s="1"/>
  <c r="V144" i="34"/>
  <c r="V90" i="34"/>
  <c r="T46" i="45" s="1"/>
  <c r="BB144" i="34"/>
  <c r="BB90" i="34"/>
  <c r="AZ46" i="45" s="1"/>
  <c r="P144" i="34"/>
  <c r="P90" i="34"/>
  <c r="N46" i="45" s="1"/>
  <c r="AN144" i="34"/>
  <c r="AN90" i="34"/>
  <c r="AL46" i="45" s="1"/>
  <c r="T144" i="34"/>
  <c r="T90" i="34"/>
  <c r="R46" i="45" s="1"/>
  <c r="BP144" i="34"/>
  <c r="P185" i="34"/>
  <c r="P78" i="36"/>
  <c r="P169" i="34"/>
  <c r="P62" i="36"/>
  <c r="L186" i="34"/>
  <c r="L79" i="36"/>
  <c r="L63" i="36"/>
  <c r="L170" i="34"/>
  <c r="AD79" i="36"/>
  <c r="AD186" i="34"/>
  <c r="AD63" i="36"/>
  <c r="AD170" i="34"/>
  <c r="J63" i="36"/>
  <c r="J79" i="36"/>
  <c r="J170" i="34"/>
  <c r="J186" i="34"/>
  <c r="M144" i="34"/>
  <c r="M90" i="34"/>
  <c r="K46" i="45" s="1"/>
  <c r="AC144" i="34"/>
  <c r="AC90" i="34"/>
  <c r="AA46" i="45" s="1"/>
  <c r="BI144" i="34"/>
  <c r="BI90" i="34"/>
  <c r="BG46" i="45" s="1"/>
  <c r="O144" i="34"/>
  <c r="O90" i="34"/>
  <c r="M46" i="45" s="1"/>
  <c r="J144" i="34"/>
  <c r="J90" i="34"/>
  <c r="H46" i="45" s="1"/>
  <c r="Z144" i="34"/>
  <c r="Z90" i="34"/>
  <c r="X46" i="45" s="1"/>
  <c r="AP144" i="34"/>
  <c r="AP90" i="34"/>
  <c r="AN46" i="45" s="1"/>
  <c r="AB144" i="34"/>
  <c r="AB90" i="34"/>
  <c r="Z46" i="45" s="1"/>
  <c r="BK144" i="34"/>
  <c r="BK90" i="34"/>
  <c r="BI46" i="45" s="1"/>
  <c r="AI144" i="34"/>
  <c r="AI90" i="34"/>
  <c r="AG46" i="45" s="1"/>
  <c r="AC79" i="36"/>
  <c r="AC186" i="34"/>
  <c r="AC63" i="36"/>
  <c r="AC170" i="34"/>
  <c r="AE185" i="34"/>
  <c r="AE78" i="36"/>
  <c r="AE169" i="34"/>
  <c r="AE62" i="36"/>
  <c r="T62" i="36"/>
  <c r="T185" i="34"/>
  <c r="T169" i="34"/>
  <c r="T78" i="36"/>
  <c r="R62" i="36"/>
  <c r="R169" i="34"/>
  <c r="R78" i="36"/>
  <c r="R185" i="34"/>
  <c r="Q48" i="36"/>
  <c r="Q140" i="34"/>
  <c r="Q136" i="34"/>
  <c r="Q88" i="34"/>
  <c r="O44" i="45" s="1"/>
  <c r="AG48" i="36"/>
  <c r="AG140" i="34"/>
  <c r="AG88" i="34"/>
  <c r="AE44" i="45" s="1"/>
  <c r="AG136" i="34"/>
  <c r="AW48" i="36"/>
  <c r="AW140" i="34"/>
  <c r="AW136" i="34"/>
  <c r="AW88" i="34"/>
  <c r="AU44" i="45" s="1"/>
  <c r="BM48" i="36"/>
  <c r="BM140" i="34"/>
  <c r="BM88" i="34"/>
  <c r="BK44" i="45" s="1"/>
  <c r="BM136" i="34"/>
  <c r="W48" i="36"/>
  <c r="W140" i="34"/>
  <c r="W136" i="34"/>
  <c r="W88" i="34"/>
  <c r="U44" i="45" s="1"/>
  <c r="AM48" i="36"/>
  <c r="AM136" i="34"/>
  <c r="AM88" i="34"/>
  <c r="AK44" i="45" s="1"/>
  <c r="AM140" i="34"/>
  <c r="S48" i="36"/>
  <c r="S140" i="34"/>
  <c r="S136" i="34"/>
  <c r="S88" i="34"/>
  <c r="Q44" i="45" s="1"/>
  <c r="AQ48" i="36"/>
  <c r="AQ136" i="34"/>
  <c r="AQ88" i="34"/>
  <c r="AO44" i="45" s="1"/>
  <c r="AQ140" i="34"/>
  <c r="Z79" i="36"/>
  <c r="Z170" i="34"/>
  <c r="Z63" i="36"/>
  <c r="Z186" i="34"/>
  <c r="X78" i="36"/>
  <c r="X185" i="34"/>
  <c r="X62" i="36"/>
  <c r="X169" i="34"/>
  <c r="AB186" i="34"/>
  <c r="AB63" i="36"/>
  <c r="AB79" i="36"/>
  <c r="AB170" i="34"/>
  <c r="R48" i="36"/>
  <c r="R88" i="34"/>
  <c r="P44" i="45" s="1"/>
  <c r="R136" i="34"/>
  <c r="R140" i="34"/>
  <c r="AH48" i="36"/>
  <c r="AH136" i="34"/>
  <c r="AH140" i="34"/>
  <c r="AH88" i="34"/>
  <c r="AF44" i="45" s="1"/>
  <c r="AX48" i="36"/>
  <c r="AX136" i="34"/>
  <c r="AX140" i="34"/>
  <c r="AX88" i="34"/>
  <c r="AV44" i="45" s="1"/>
  <c r="BN48" i="36"/>
  <c r="BN136" i="34"/>
  <c r="BN140" i="34"/>
  <c r="BN88" i="34"/>
  <c r="BL44" i="45" s="1"/>
  <c r="AF48" i="36"/>
  <c r="AF140" i="34"/>
  <c r="AF88" i="34"/>
  <c r="AD44" i="45" s="1"/>
  <c r="AF136" i="34"/>
  <c r="BL48" i="36"/>
  <c r="BL136" i="34"/>
  <c r="BL140" i="34"/>
  <c r="BL88" i="34"/>
  <c r="BJ44" i="45" s="1"/>
  <c r="X48" i="36"/>
  <c r="X88" i="34"/>
  <c r="V44" i="45" s="1"/>
  <c r="X136" i="34"/>
  <c r="X140" i="34"/>
  <c r="BH48" i="36"/>
  <c r="BH140" i="34"/>
  <c r="BH136" i="34"/>
  <c r="BH88" i="34"/>
  <c r="BF44" i="45" s="1"/>
  <c r="W169" i="34"/>
  <c r="W62" i="36"/>
  <c r="W185" i="34"/>
  <c r="W78" i="36"/>
  <c r="V169" i="34"/>
  <c r="V185" i="34"/>
  <c r="V78" i="36"/>
  <c r="V62" i="36"/>
  <c r="AF186" i="34"/>
  <c r="AF79" i="36"/>
  <c r="AF63" i="36"/>
  <c r="AF170" i="34"/>
  <c r="H169" i="34"/>
  <c r="H78" i="36"/>
  <c r="H62" i="36"/>
  <c r="H185" i="34"/>
  <c r="AD62" i="36"/>
  <c r="AD169" i="34"/>
  <c r="AD185" i="34"/>
  <c r="AD78" i="36"/>
  <c r="O170" i="34"/>
  <c r="O79" i="36"/>
  <c r="O63" i="36"/>
  <c r="O186" i="34"/>
  <c r="AC169" i="34"/>
  <c r="AC78" i="36"/>
  <c r="AC62" i="36"/>
  <c r="AC185" i="34"/>
  <c r="U169" i="34"/>
  <c r="U62" i="36"/>
  <c r="U78" i="36"/>
  <c r="U185" i="34"/>
  <c r="T186" i="34"/>
  <c r="T79" i="36"/>
  <c r="T170" i="34"/>
  <c r="T63" i="36"/>
  <c r="Q144" i="34"/>
  <c r="Q90" i="34"/>
  <c r="O46" i="45" s="1"/>
  <c r="AG144" i="34"/>
  <c r="AG90" i="34"/>
  <c r="AE46" i="45" s="1"/>
  <c r="W144" i="34"/>
  <c r="W90" i="34"/>
  <c r="U46" i="45" s="1"/>
  <c r="N144" i="34"/>
  <c r="N90" i="34"/>
  <c r="L46" i="45" s="1"/>
  <c r="AD144" i="34"/>
  <c r="AD90" i="34"/>
  <c r="AB46" i="45" s="1"/>
  <c r="AT144" i="34"/>
  <c r="AT90" i="34"/>
  <c r="AR46" i="45" s="1"/>
  <c r="AM144" i="34"/>
  <c r="AM90" i="34"/>
  <c r="AK46" i="45" s="1"/>
  <c r="S144" i="34"/>
  <c r="S90" i="34"/>
  <c r="Q46" i="45" s="1"/>
  <c r="BD144" i="34"/>
  <c r="BD90" i="34"/>
  <c r="BB46" i="45" s="1"/>
  <c r="AQ144" i="34"/>
  <c r="AQ90" i="34"/>
  <c r="AO46" i="45" s="1"/>
  <c r="L144" i="34"/>
  <c r="L90" i="34"/>
  <c r="J46" i="45" s="1"/>
  <c r="N186" i="34"/>
  <c r="N170" i="34"/>
  <c r="N79" i="36"/>
  <c r="N63" i="36"/>
  <c r="Z62" i="36"/>
  <c r="Z185" i="34"/>
  <c r="Z78" i="36"/>
  <c r="Z169" i="34"/>
  <c r="AG62" i="36"/>
  <c r="AG78" i="36"/>
  <c r="AG185" i="34"/>
  <c r="AG169" i="34"/>
  <c r="AB169" i="34"/>
  <c r="AB78" i="36"/>
  <c r="AB62" i="36"/>
  <c r="AB185" i="34"/>
  <c r="U48" i="36"/>
  <c r="U140" i="34"/>
  <c r="U136" i="34"/>
  <c r="U88" i="34"/>
  <c r="S44" i="45" s="1"/>
  <c r="AK48" i="36"/>
  <c r="AK140" i="34"/>
  <c r="AK136" i="34"/>
  <c r="AK88" i="34"/>
  <c r="AI44" i="45" s="1"/>
  <c r="BA48" i="36"/>
  <c r="BA140" i="34"/>
  <c r="BA136" i="34"/>
  <c r="BA88" i="34"/>
  <c r="AY44" i="45" s="1"/>
  <c r="H48" i="36"/>
  <c r="H88" i="34"/>
  <c r="F44" i="45" s="1"/>
  <c r="H140" i="34"/>
  <c r="H136" i="34"/>
  <c r="AA48" i="36"/>
  <c r="AA140" i="34"/>
  <c r="AA136" i="34"/>
  <c r="AA88" i="34"/>
  <c r="Y44" i="45" s="1"/>
  <c r="AU48" i="36"/>
  <c r="AU136" i="34"/>
  <c r="AU88" i="34"/>
  <c r="AS44" i="45" s="1"/>
  <c r="AU140" i="34"/>
  <c r="AY48" i="36"/>
  <c r="AY136" i="34"/>
  <c r="AY88" i="34"/>
  <c r="AW44" i="45" s="1"/>
  <c r="AY140" i="34"/>
  <c r="I79" i="36"/>
  <c r="I186" i="34"/>
  <c r="I63" i="36"/>
  <c r="I170" i="34"/>
  <c r="V186" i="34"/>
  <c r="V63" i="36"/>
  <c r="V79" i="36"/>
  <c r="V170" i="34"/>
  <c r="M63" i="36"/>
  <c r="M170" i="34"/>
  <c r="M79" i="36"/>
  <c r="M186" i="34"/>
  <c r="V48" i="36"/>
  <c r="V136" i="34"/>
  <c r="V140" i="34"/>
  <c r="V88" i="34"/>
  <c r="T44" i="45" s="1"/>
  <c r="AL48" i="36"/>
  <c r="AL136" i="34"/>
  <c r="AL88" i="34"/>
  <c r="AJ44" i="45" s="1"/>
  <c r="AL140" i="34"/>
  <c r="BB48" i="36"/>
  <c r="BB136" i="34"/>
  <c r="BB140" i="34"/>
  <c r="BB88" i="34"/>
  <c r="AZ44" i="45" s="1"/>
  <c r="P48" i="36"/>
  <c r="P140" i="34"/>
  <c r="P88" i="34"/>
  <c r="N44" i="45" s="1"/>
  <c r="P136" i="34"/>
  <c r="AN48" i="36"/>
  <c r="AN136" i="34"/>
  <c r="AN140" i="34"/>
  <c r="AN88" i="34"/>
  <c r="AL44" i="45" s="1"/>
  <c r="T48" i="36"/>
  <c r="T140" i="34"/>
  <c r="T136" i="34"/>
  <c r="T88" i="34"/>
  <c r="R44" i="45" s="1"/>
  <c r="BP48" i="36"/>
  <c r="BP140" i="34"/>
  <c r="BP136" i="34"/>
  <c r="BP88" i="34"/>
  <c r="BN44" i="45" s="1"/>
  <c r="K79" i="36"/>
  <c r="K186" i="34"/>
  <c r="K63" i="36"/>
  <c r="K170" i="34"/>
  <c r="H79" i="36"/>
  <c r="H63" i="36"/>
  <c r="H170" i="34"/>
  <c r="H186" i="34"/>
  <c r="J78" i="36"/>
  <c r="J185" i="34"/>
  <c r="J62" i="36"/>
  <c r="J169" i="34"/>
  <c r="AI79" i="36"/>
  <c r="AI170" i="34"/>
  <c r="AI63" i="36"/>
  <c r="AI186" i="34"/>
  <c r="J48" i="36"/>
  <c r="J136" i="34"/>
  <c r="J140" i="34"/>
  <c r="J88" i="34"/>
  <c r="H44" i="45" s="1"/>
  <c r="Z48" i="36"/>
  <c r="Z140" i="34"/>
  <c r="Z136" i="34"/>
  <c r="Z88" i="34"/>
  <c r="X44" i="45" s="1"/>
  <c r="AP48" i="36"/>
  <c r="AP136" i="34"/>
  <c r="AP140" i="34"/>
  <c r="AP88" i="34"/>
  <c r="AN44" i="45" s="1"/>
  <c r="BF48" i="36"/>
  <c r="BF140" i="34"/>
  <c r="BF88" i="34"/>
  <c r="BD44" i="45" s="1"/>
  <c r="BF136" i="34"/>
  <c r="AB48" i="36"/>
  <c r="AB140" i="34"/>
  <c r="AB136" i="34"/>
  <c r="AB88" i="34"/>
  <c r="Z44" i="45" s="1"/>
  <c r="AV48" i="36"/>
  <c r="AV140" i="34"/>
  <c r="AV88" i="34"/>
  <c r="AT44" i="45" s="1"/>
  <c r="AV136" i="34"/>
  <c r="AR48" i="36"/>
  <c r="AR140" i="34"/>
  <c r="AR136" i="34"/>
  <c r="AR88" i="34"/>
  <c r="AP44" i="45" s="1"/>
  <c r="O78" i="36"/>
  <c r="O62" i="36"/>
  <c r="O169" i="34"/>
  <c r="O185" i="34"/>
  <c r="AA186" i="34"/>
  <c r="AA79" i="36"/>
  <c r="AA63" i="36"/>
  <c r="AA170" i="34"/>
  <c r="U186" i="34"/>
  <c r="U63" i="36"/>
  <c r="U79" i="36"/>
  <c r="U170" i="34"/>
  <c r="Q186" i="34"/>
  <c r="Q63" i="36"/>
  <c r="Q79" i="36"/>
  <c r="Q170" i="34"/>
  <c r="N185" i="34"/>
  <c r="N169" i="34"/>
  <c r="N62" i="36"/>
  <c r="N78" i="36"/>
  <c r="AH79" i="36"/>
  <c r="AH186" i="34"/>
  <c r="AH63" i="36"/>
  <c r="AH170" i="34"/>
  <c r="AG63" i="36"/>
  <c r="AG79" i="36"/>
  <c r="AG186" i="34"/>
  <c r="AG170" i="34"/>
  <c r="U144" i="34"/>
  <c r="U90" i="34"/>
  <c r="S46" i="45" s="1"/>
  <c r="H90" i="34"/>
  <c r="F46" i="45" s="1"/>
  <c r="H144" i="34"/>
  <c r="AA144" i="34"/>
  <c r="AA90" i="34"/>
  <c r="Y46" i="45" s="1"/>
  <c r="R144" i="34"/>
  <c r="R90" i="34"/>
  <c r="P46" i="45" s="1"/>
  <c r="AH144" i="34"/>
  <c r="AH90" i="34"/>
  <c r="AF46" i="45" s="1"/>
  <c r="AF144" i="34"/>
  <c r="AF90" i="34"/>
  <c r="AD46" i="45" s="1"/>
  <c r="BL144" i="34"/>
  <c r="BL90" i="34"/>
  <c r="BJ46" i="45" s="1"/>
  <c r="X144" i="34"/>
  <c r="X90" i="34"/>
  <c r="V46" i="45" s="1"/>
  <c r="BH144" i="34"/>
  <c r="BH90" i="34"/>
  <c r="BF46" i="45" s="1"/>
  <c r="S79" i="36"/>
  <c r="S186" i="34"/>
  <c r="S63" i="36"/>
  <c r="S170" i="34"/>
  <c r="I169" i="34"/>
  <c r="I62" i="36"/>
  <c r="I78" i="36"/>
  <c r="I185" i="34"/>
  <c r="Y62" i="36"/>
  <c r="Y185" i="34"/>
  <c r="Y78" i="36"/>
  <c r="Y169" i="34"/>
  <c r="M78" i="36"/>
  <c r="M185" i="34"/>
  <c r="M62" i="36"/>
  <c r="M169" i="34"/>
  <c r="AD158" i="34"/>
  <c r="L67" i="36"/>
  <c r="AI174" i="34"/>
  <c r="I67" i="36"/>
  <c r="Z67" i="36"/>
  <c r="W67" i="36"/>
  <c r="AB158" i="34"/>
  <c r="S174" i="34"/>
  <c r="Z174" i="34"/>
  <c r="W158" i="34"/>
  <c r="AB174" i="34"/>
  <c r="S67" i="36"/>
  <c r="Q51" i="36"/>
  <c r="O51" i="36"/>
  <c r="O158" i="34"/>
  <c r="AG51" i="36"/>
  <c r="O67" i="36"/>
  <c r="AG67" i="36"/>
  <c r="AA51" i="36"/>
  <c r="AA158" i="34"/>
  <c r="V51" i="36"/>
  <c r="AA67" i="36"/>
  <c r="N174" i="34"/>
  <c r="AA174" i="34"/>
  <c r="V174" i="34"/>
  <c r="AG158" i="34"/>
  <c r="N51" i="36"/>
  <c r="Q67" i="36"/>
  <c r="V158" i="34"/>
  <c r="N158" i="34"/>
  <c r="AG174" i="34"/>
  <c r="P51" i="36"/>
  <c r="P67" i="36"/>
  <c r="P174" i="34"/>
  <c r="P158" i="34"/>
  <c r="J158" i="34"/>
  <c r="J51" i="36"/>
  <c r="J174" i="34"/>
  <c r="J67" i="36"/>
  <c r="AE67" i="36"/>
  <c r="AE174" i="34"/>
  <c r="AE51" i="36"/>
  <c r="AE158" i="34"/>
  <c r="M174" i="34"/>
  <c r="M67" i="36"/>
  <c r="M158" i="34"/>
  <c r="M51" i="36"/>
  <c r="AH174" i="34"/>
  <c r="AH67" i="36"/>
  <c r="AH158" i="34"/>
  <c r="AH51" i="36"/>
  <c r="K67" i="36"/>
  <c r="K51" i="36"/>
  <c r="K158" i="34"/>
  <c r="K174" i="34"/>
  <c r="R174" i="34"/>
  <c r="R158" i="34"/>
  <c r="R51" i="36"/>
  <c r="R67" i="36"/>
  <c r="U158" i="34"/>
  <c r="U51" i="36"/>
  <c r="U174" i="34"/>
  <c r="U67" i="36"/>
  <c r="Y174" i="34"/>
  <c r="Y67" i="36"/>
  <c r="Y51" i="36"/>
  <c r="Y158" i="34"/>
  <c r="AF51" i="36"/>
  <c r="AF67" i="36"/>
  <c r="AF158" i="34"/>
  <c r="T174" i="34"/>
  <c r="T67" i="36"/>
  <c r="T51" i="36"/>
  <c r="T158" i="34"/>
  <c r="H174" i="34"/>
  <c r="H67" i="36"/>
  <c r="H158" i="34"/>
  <c r="H51" i="36"/>
  <c r="AC174" i="34"/>
  <c r="AC158" i="34"/>
  <c r="AC67" i="36"/>
  <c r="AC51" i="36"/>
  <c r="X67" i="36"/>
  <c r="X51" i="36"/>
  <c r="X158" i="34"/>
  <c r="X174" i="34"/>
  <c r="S70" i="36"/>
  <c r="S54" i="36"/>
  <c r="S177" i="34"/>
  <c r="S161" i="34"/>
  <c r="I70" i="36"/>
  <c r="I54" i="36"/>
  <c r="I161" i="34"/>
  <c r="I177" i="34"/>
  <c r="U70" i="36"/>
  <c r="U54" i="36"/>
  <c r="U177" i="34"/>
  <c r="U161" i="34"/>
  <c r="O54" i="36"/>
  <c r="O70" i="36"/>
  <c r="O161" i="34"/>
  <c r="O177" i="34"/>
  <c r="M70" i="36"/>
  <c r="M54" i="36"/>
  <c r="M177" i="34"/>
  <c r="M161" i="34"/>
  <c r="T70" i="36"/>
  <c r="T54" i="36"/>
  <c r="T177" i="34"/>
  <c r="T161" i="34"/>
  <c r="V70" i="36"/>
  <c r="V161" i="34"/>
  <c r="V177" i="34"/>
  <c r="V54" i="36"/>
  <c r="P70" i="36"/>
  <c r="P161" i="34"/>
  <c r="P177" i="34"/>
  <c r="P54" i="36"/>
  <c r="K70" i="36"/>
  <c r="K54" i="36"/>
  <c r="K161" i="34"/>
  <c r="K177" i="34"/>
  <c r="D38" i="33"/>
  <c r="D4" i="45"/>
  <c r="D58" i="45" s="1"/>
  <c r="D23" i="45"/>
  <c r="D12" i="45"/>
  <c r="D13" i="45" s="1"/>
  <c r="E23" i="45"/>
  <c r="B15" i="45"/>
  <c r="C23" i="45"/>
  <c r="E10" i="45"/>
  <c r="E4" i="45" s="1"/>
  <c r="C38" i="33"/>
  <c r="C20" i="34"/>
  <c r="G86" i="39"/>
  <c r="G87" i="39"/>
  <c r="G88" i="39"/>
  <c r="G89" i="39"/>
  <c r="H89" i="39" s="1"/>
  <c r="G90" i="39"/>
  <c r="G91" i="39"/>
  <c r="G92" i="39"/>
  <c r="G93" i="39"/>
  <c r="H93" i="39" s="1"/>
  <c r="G94" i="39"/>
  <c r="H94" i="39" s="1"/>
  <c r="G95" i="39"/>
  <c r="G96" i="39"/>
  <c r="G97" i="39"/>
  <c r="H97" i="39" s="1"/>
  <c r="G98" i="39"/>
  <c r="H98" i="39" s="1"/>
  <c r="G99" i="39"/>
  <c r="G100" i="39"/>
  <c r="G101" i="39"/>
  <c r="H101" i="39" s="1"/>
  <c r="G102" i="39"/>
  <c r="G85" i="39"/>
  <c r="H37" i="39"/>
  <c r="H39" i="39"/>
  <c r="H41" i="39"/>
  <c r="H43" i="39"/>
  <c r="H45" i="39"/>
  <c r="H49" i="39"/>
  <c r="H51" i="39"/>
  <c r="H53" i="39"/>
  <c r="H55" i="39"/>
  <c r="H57" i="39"/>
  <c r="H59" i="39"/>
  <c r="G37" i="39"/>
  <c r="G38" i="39"/>
  <c r="H38" i="39" s="1"/>
  <c r="G39" i="39"/>
  <c r="G40" i="39"/>
  <c r="H40" i="39" s="1"/>
  <c r="G41" i="39"/>
  <c r="G42" i="39"/>
  <c r="H42" i="39" s="1"/>
  <c r="G43" i="39"/>
  <c r="G44" i="39"/>
  <c r="H44" i="39" s="1"/>
  <c r="G45" i="39"/>
  <c r="G46" i="39"/>
  <c r="H46" i="39" s="1"/>
  <c r="G47" i="39"/>
  <c r="H47" i="39" s="1"/>
  <c r="G48" i="39"/>
  <c r="H48" i="39" s="1"/>
  <c r="G49" i="39"/>
  <c r="G50" i="39"/>
  <c r="H50" i="39" s="1"/>
  <c r="G51" i="39"/>
  <c r="G52" i="39"/>
  <c r="H52" i="39" s="1"/>
  <c r="G53" i="39"/>
  <c r="G54" i="39"/>
  <c r="H54" i="39" s="1"/>
  <c r="G55" i="39"/>
  <c r="G56" i="39"/>
  <c r="H56" i="39" s="1"/>
  <c r="G57" i="39"/>
  <c r="G58" i="39"/>
  <c r="H58" i="39" s="1"/>
  <c r="G59" i="39"/>
  <c r="G36" i="39"/>
  <c r="D13" i="36"/>
  <c r="D35" i="46" s="1"/>
  <c r="C12" i="36"/>
  <c r="D11" i="36"/>
  <c r="D33" i="46" s="1"/>
  <c r="G9" i="39"/>
  <c r="G10" i="39"/>
  <c r="G8" i="39"/>
  <c r="H8" i="39" s="1"/>
  <c r="G6" i="39"/>
  <c r="G7" i="39"/>
  <c r="G5" i="39"/>
  <c r="H133" i="39"/>
  <c r="H130" i="39"/>
  <c r="H129" i="39"/>
  <c r="H124" i="39"/>
  <c r="H121" i="39"/>
  <c r="H120" i="39"/>
  <c r="H117" i="39"/>
  <c r="H114" i="39"/>
  <c r="H132" i="39"/>
  <c r="H131" i="39"/>
  <c r="H126" i="39"/>
  <c r="H127" i="39"/>
  <c r="H128" i="39"/>
  <c r="H125" i="39"/>
  <c r="H123" i="39"/>
  <c r="H122" i="39"/>
  <c r="H116" i="39"/>
  <c r="H118" i="39"/>
  <c r="H119" i="39"/>
  <c r="H115" i="39"/>
  <c r="H112" i="39"/>
  <c r="H15" i="33" s="1"/>
  <c r="H110" i="39"/>
  <c r="H14" i="33" s="1"/>
  <c r="H105" i="39"/>
  <c r="H102" i="39"/>
  <c r="H100" i="39"/>
  <c r="H99" i="39"/>
  <c r="H96" i="39"/>
  <c r="H95" i="39"/>
  <c r="H92" i="39"/>
  <c r="H91" i="39"/>
  <c r="H90" i="39"/>
  <c r="H88" i="39"/>
  <c r="H87" i="39"/>
  <c r="H86" i="39"/>
  <c r="H85" i="39"/>
  <c r="G104" i="39"/>
  <c r="H104" i="39" s="1"/>
  <c r="G105" i="39"/>
  <c r="G106" i="39"/>
  <c r="H106" i="39" s="1"/>
  <c r="G107" i="39"/>
  <c r="H107" i="39" s="1"/>
  <c r="G108" i="39"/>
  <c r="H108" i="39" s="1"/>
  <c r="G103" i="39"/>
  <c r="H103" i="39" s="1"/>
  <c r="H83" i="39"/>
  <c r="H82" i="39"/>
  <c r="H79" i="39"/>
  <c r="H78" i="39"/>
  <c r="H75" i="39"/>
  <c r="H74" i="39"/>
  <c r="H71" i="39"/>
  <c r="H70" i="39"/>
  <c r="H67" i="39"/>
  <c r="H66" i="39"/>
  <c r="H63" i="39"/>
  <c r="H62" i="39"/>
  <c r="H36" i="39"/>
  <c r="G61" i="39"/>
  <c r="H61" i="39" s="1"/>
  <c r="G62" i="39"/>
  <c r="G63" i="39"/>
  <c r="G64" i="39"/>
  <c r="H64" i="39" s="1"/>
  <c r="G65" i="39"/>
  <c r="H65" i="39" s="1"/>
  <c r="G66" i="39"/>
  <c r="G67" i="39"/>
  <c r="G68" i="39"/>
  <c r="H68" i="39" s="1"/>
  <c r="G69" i="39"/>
  <c r="H69" i="39" s="1"/>
  <c r="G70" i="39"/>
  <c r="G71" i="39"/>
  <c r="G72" i="39"/>
  <c r="H72" i="39" s="1"/>
  <c r="G73" i="39"/>
  <c r="H73" i="39" s="1"/>
  <c r="G74" i="39"/>
  <c r="G75" i="39"/>
  <c r="G76" i="39"/>
  <c r="H76" i="39" s="1"/>
  <c r="G77" i="39"/>
  <c r="H77" i="39" s="1"/>
  <c r="G78" i="39"/>
  <c r="G79" i="39"/>
  <c r="G80" i="39"/>
  <c r="H80" i="39" s="1"/>
  <c r="G81" i="39"/>
  <c r="H81" i="39" s="1"/>
  <c r="G82" i="39"/>
  <c r="G83" i="39"/>
  <c r="G60" i="39"/>
  <c r="H60" i="39" s="1"/>
  <c r="H28" i="39"/>
  <c r="H31" i="39"/>
  <c r="H32" i="39"/>
  <c r="H25" i="39"/>
  <c r="H9" i="33" s="1"/>
  <c r="H26" i="39"/>
  <c r="H23" i="39"/>
  <c r="H24" i="39"/>
  <c r="H15" i="39"/>
  <c r="H16" i="39"/>
  <c r="H19" i="39"/>
  <c r="H20" i="39"/>
  <c r="H6" i="39"/>
  <c r="H7" i="39"/>
  <c r="H9" i="39"/>
  <c r="H10" i="39"/>
  <c r="H5" i="39"/>
  <c r="G30" i="39"/>
  <c r="H30" i="39" s="1"/>
  <c r="G31" i="39"/>
  <c r="G32" i="39"/>
  <c r="G33" i="39"/>
  <c r="H33" i="39" s="1"/>
  <c r="G34" i="39"/>
  <c r="H34" i="39" s="1"/>
  <c r="G29" i="39"/>
  <c r="H29" i="39" s="1"/>
  <c r="H13" i="39"/>
  <c r="H14" i="39"/>
  <c r="H17" i="39"/>
  <c r="H18" i="39"/>
  <c r="H21" i="39"/>
  <c r="H22" i="39"/>
  <c r="H27" i="39"/>
  <c r="H12" i="39"/>
  <c r="C133" i="39"/>
  <c r="B133" i="39"/>
  <c r="C132" i="39"/>
  <c r="B132" i="39"/>
  <c r="C131" i="39"/>
  <c r="B131" i="39"/>
  <c r="C130" i="39"/>
  <c r="B130" i="39"/>
  <c r="C129" i="39"/>
  <c r="B129" i="39"/>
  <c r="C128" i="39"/>
  <c r="B128" i="39"/>
  <c r="C127" i="39"/>
  <c r="B127" i="39"/>
  <c r="C126" i="39"/>
  <c r="B126" i="39"/>
  <c r="C125" i="39"/>
  <c r="B125" i="39"/>
  <c r="C124" i="39"/>
  <c r="B124" i="39"/>
  <c r="C123" i="39"/>
  <c r="B123" i="39"/>
  <c r="C122" i="39"/>
  <c r="B122" i="39"/>
  <c r="C121" i="39"/>
  <c r="B121" i="39"/>
  <c r="C120" i="39"/>
  <c r="B120" i="39"/>
  <c r="C119" i="39"/>
  <c r="B119" i="39"/>
  <c r="C118" i="39"/>
  <c r="B118" i="39"/>
  <c r="C117" i="39"/>
  <c r="B117" i="39"/>
  <c r="C116" i="39"/>
  <c r="B116" i="39"/>
  <c r="C115" i="39"/>
  <c r="B115" i="39"/>
  <c r="C114" i="39"/>
  <c r="B114" i="39"/>
  <c r="C112" i="39"/>
  <c r="B112" i="39"/>
  <c r="C110" i="39"/>
  <c r="B110" i="39"/>
  <c r="C108" i="39"/>
  <c r="B108" i="39"/>
  <c r="C107" i="39"/>
  <c r="B107" i="39"/>
  <c r="C106" i="39"/>
  <c r="B106" i="39"/>
  <c r="C105" i="39"/>
  <c r="B105" i="39"/>
  <c r="C104" i="39"/>
  <c r="B104" i="39"/>
  <c r="C103" i="39"/>
  <c r="B103" i="39"/>
  <c r="C102" i="39"/>
  <c r="B102" i="39"/>
  <c r="C101" i="39"/>
  <c r="B101" i="39"/>
  <c r="C100" i="39"/>
  <c r="B100" i="39"/>
  <c r="C99" i="39"/>
  <c r="B99" i="39"/>
  <c r="C98" i="39"/>
  <c r="B98" i="39"/>
  <c r="C97" i="39"/>
  <c r="B97" i="39"/>
  <c r="C96" i="39"/>
  <c r="B96" i="39"/>
  <c r="C95" i="39"/>
  <c r="B95" i="39"/>
  <c r="C94" i="39"/>
  <c r="B94" i="39"/>
  <c r="C93" i="39"/>
  <c r="B93" i="39"/>
  <c r="C92" i="39"/>
  <c r="B92" i="39"/>
  <c r="C91" i="39"/>
  <c r="B91" i="39"/>
  <c r="C90" i="39"/>
  <c r="B90" i="39"/>
  <c r="C89" i="39"/>
  <c r="B89" i="39"/>
  <c r="C88" i="39"/>
  <c r="B88" i="39"/>
  <c r="C87" i="39"/>
  <c r="B87" i="39"/>
  <c r="C86" i="39"/>
  <c r="B86" i="39"/>
  <c r="C85" i="39"/>
  <c r="B85" i="39"/>
  <c r="C83" i="39"/>
  <c r="B83" i="39"/>
  <c r="C82" i="39"/>
  <c r="B82" i="39"/>
  <c r="C81" i="39"/>
  <c r="B81" i="39"/>
  <c r="C80" i="39"/>
  <c r="B80" i="39"/>
  <c r="C79" i="39"/>
  <c r="B79" i="39"/>
  <c r="C78" i="39"/>
  <c r="B78" i="39"/>
  <c r="C77" i="39"/>
  <c r="B77" i="39"/>
  <c r="C76" i="39"/>
  <c r="B76" i="39"/>
  <c r="C75" i="39"/>
  <c r="B75" i="39"/>
  <c r="C74" i="39"/>
  <c r="B74" i="39"/>
  <c r="C73" i="39"/>
  <c r="B73" i="39"/>
  <c r="C72" i="39"/>
  <c r="B72" i="39"/>
  <c r="C71" i="39"/>
  <c r="B71" i="39"/>
  <c r="C70" i="39"/>
  <c r="B70" i="39"/>
  <c r="C69" i="39"/>
  <c r="B69" i="39"/>
  <c r="C68" i="39"/>
  <c r="B68" i="39"/>
  <c r="C67" i="39"/>
  <c r="B67" i="39"/>
  <c r="C66" i="39"/>
  <c r="B66" i="39"/>
  <c r="C65" i="39"/>
  <c r="B65" i="39"/>
  <c r="C64" i="39"/>
  <c r="B64" i="39"/>
  <c r="C63" i="39"/>
  <c r="B63" i="39"/>
  <c r="C62" i="39"/>
  <c r="B62" i="39"/>
  <c r="C61" i="39"/>
  <c r="B61" i="39"/>
  <c r="C60" i="39"/>
  <c r="B60" i="39"/>
  <c r="C59" i="39"/>
  <c r="B59" i="39"/>
  <c r="C58" i="39"/>
  <c r="B58" i="39"/>
  <c r="C57" i="39"/>
  <c r="B57" i="39"/>
  <c r="C56" i="39"/>
  <c r="B56" i="39"/>
  <c r="C55" i="39"/>
  <c r="B55" i="39"/>
  <c r="C54" i="39"/>
  <c r="B54" i="39"/>
  <c r="C53" i="39"/>
  <c r="B53" i="39"/>
  <c r="C52" i="39"/>
  <c r="B52" i="39"/>
  <c r="C51" i="39"/>
  <c r="B51" i="39"/>
  <c r="C50" i="39"/>
  <c r="B50" i="39"/>
  <c r="C49" i="39"/>
  <c r="B49" i="39"/>
  <c r="C48" i="39"/>
  <c r="B48" i="39"/>
  <c r="C47" i="39"/>
  <c r="B47" i="39"/>
  <c r="C46" i="39"/>
  <c r="B46" i="39"/>
  <c r="C45" i="39"/>
  <c r="B45" i="39"/>
  <c r="C44" i="39"/>
  <c r="B44" i="39"/>
  <c r="C43" i="39"/>
  <c r="B43" i="39"/>
  <c r="C42" i="39"/>
  <c r="B42" i="39"/>
  <c r="C41" i="39"/>
  <c r="B41" i="39"/>
  <c r="C40" i="39"/>
  <c r="B40" i="39"/>
  <c r="C39" i="39"/>
  <c r="B39" i="39"/>
  <c r="C38" i="39"/>
  <c r="B38" i="39"/>
  <c r="C37" i="39"/>
  <c r="B37" i="39"/>
  <c r="C36" i="39"/>
  <c r="B36" i="39"/>
  <c r="C34" i="39"/>
  <c r="B34" i="39"/>
  <c r="C33" i="39"/>
  <c r="B33" i="39"/>
  <c r="C32" i="39"/>
  <c r="B32" i="39"/>
  <c r="C31" i="39"/>
  <c r="B31" i="39"/>
  <c r="C30" i="39"/>
  <c r="B30" i="39"/>
  <c r="C29" i="39"/>
  <c r="B29" i="39"/>
  <c r="C28" i="39"/>
  <c r="B28" i="39"/>
  <c r="C27" i="39"/>
  <c r="B27" i="39"/>
  <c r="C26" i="39"/>
  <c r="B26" i="39"/>
  <c r="C25" i="39"/>
  <c r="B25" i="39"/>
  <c r="C24" i="39"/>
  <c r="B24" i="39"/>
  <c r="C23" i="39"/>
  <c r="B23" i="39"/>
  <c r="C22" i="39"/>
  <c r="B22" i="39"/>
  <c r="C21" i="39"/>
  <c r="B21" i="39"/>
  <c r="C20" i="39"/>
  <c r="B20" i="39"/>
  <c r="C19" i="39"/>
  <c r="B19" i="39"/>
  <c r="C18" i="39"/>
  <c r="B18" i="39"/>
  <c r="C17" i="39"/>
  <c r="B17" i="39"/>
  <c r="C16" i="39"/>
  <c r="B16" i="39"/>
  <c r="C15" i="39"/>
  <c r="B15" i="39"/>
  <c r="C14" i="39"/>
  <c r="B14" i="39"/>
  <c r="C13" i="39"/>
  <c r="B13" i="39"/>
  <c r="C12" i="39"/>
  <c r="B12" i="39"/>
  <c r="C10" i="39"/>
  <c r="B10" i="39"/>
  <c r="C9" i="39"/>
  <c r="B9" i="39"/>
  <c r="C8" i="39"/>
  <c r="B8" i="39"/>
  <c r="C7" i="39"/>
  <c r="B7" i="39"/>
  <c r="C6" i="39"/>
  <c r="B6" i="39"/>
  <c r="AY90" i="34" l="1"/>
  <c r="AW46" i="45" s="1"/>
  <c r="BJ90" i="34"/>
  <c r="BH46" i="45" s="1"/>
  <c r="BG90" i="34"/>
  <c r="BE46" i="45" s="1"/>
  <c r="BN144" i="34"/>
  <c r="BG144" i="34"/>
  <c r="AY144" i="34"/>
  <c r="BJ144" i="34"/>
  <c r="AW90" i="34"/>
  <c r="AU46" i="45" s="1"/>
  <c r="BN90" i="34"/>
  <c r="BL46" i="45" s="1"/>
  <c r="AW144" i="34"/>
  <c r="AZ144" i="34"/>
  <c r="AK144" i="34"/>
  <c r="BF144" i="34"/>
  <c r="AR144" i="34"/>
  <c r="AK90" i="34"/>
  <c r="AI46" i="45" s="1"/>
  <c r="AZ90" i="34"/>
  <c r="AX46" i="45" s="1"/>
  <c r="AR90" i="34"/>
  <c r="AP46" i="45" s="1"/>
  <c r="BF90" i="34"/>
  <c r="BD46" i="45" s="1"/>
  <c r="BP90" i="34"/>
  <c r="BN46" i="45" s="1"/>
  <c r="AX90" i="34"/>
  <c r="AV46" i="45" s="1"/>
  <c r="AL90" i="34"/>
  <c r="AJ46" i="45" s="1"/>
  <c r="AX144" i="34"/>
  <c r="AL144" i="34"/>
  <c r="AU90" i="34"/>
  <c r="AS46" i="45" s="1"/>
  <c r="BE90" i="34"/>
  <c r="BC46" i="45" s="1"/>
  <c r="AV90" i="34"/>
  <c r="AT46" i="45" s="1"/>
  <c r="BO90" i="34"/>
  <c r="BM46" i="45" s="1"/>
  <c r="BO144" i="34"/>
  <c r="AV144" i="34"/>
  <c r="BE144" i="34"/>
  <c r="AU144" i="34"/>
  <c r="BA90" i="34"/>
  <c r="AY46" i="45" s="1"/>
  <c r="BM90" i="34"/>
  <c r="BK46" i="45" s="1"/>
  <c r="AS90" i="34"/>
  <c r="AQ46" i="45" s="1"/>
  <c r="BC90" i="34"/>
  <c r="BA46" i="45" s="1"/>
  <c r="BA144" i="34"/>
  <c r="BM144" i="34"/>
  <c r="AS144" i="34"/>
  <c r="BC144" i="34"/>
  <c r="K15" i="34"/>
  <c r="O15" i="34"/>
  <c r="S15" i="34"/>
  <c r="W15" i="34"/>
  <c r="AA15" i="34"/>
  <c r="AE15" i="34"/>
  <c r="AI15" i="34"/>
  <c r="AM15" i="34"/>
  <c r="L15" i="34"/>
  <c r="P15" i="34"/>
  <c r="T15" i="34"/>
  <c r="X15" i="34"/>
  <c r="AB15" i="34"/>
  <c r="AF15" i="34"/>
  <c r="AJ15" i="34"/>
  <c r="AN15" i="34"/>
  <c r="M15" i="34"/>
  <c r="U15" i="34"/>
  <c r="AC15" i="34"/>
  <c r="AK15" i="34"/>
  <c r="AQ15" i="34"/>
  <c r="AU15" i="34"/>
  <c r="AY15" i="34"/>
  <c r="BC15" i="34"/>
  <c r="BG15" i="34"/>
  <c r="BK15" i="34"/>
  <c r="BO15" i="34"/>
  <c r="N15" i="34"/>
  <c r="V15" i="34"/>
  <c r="AD15" i="34"/>
  <c r="AL15" i="34"/>
  <c r="AR15" i="34"/>
  <c r="AV15" i="34"/>
  <c r="AZ15" i="34"/>
  <c r="BD15" i="34"/>
  <c r="BH15" i="34"/>
  <c r="BL15" i="34"/>
  <c r="BP15" i="34"/>
  <c r="Q15" i="34"/>
  <c r="Y15" i="34"/>
  <c r="AG15" i="34"/>
  <c r="AO15" i="34"/>
  <c r="AS15" i="34"/>
  <c r="AW15" i="34"/>
  <c r="BA15" i="34"/>
  <c r="BE15" i="34"/>
  <c r="BI15" i="34"/>
  <c r="BM15" i="34"/>
  <c r="J15" i="34"/>
  <c r="R15" i="34"/>
  <c r="Z15" i="34"/>
  <c r="AH15" i="34"/>
  <c r="AP15" i="34"/>
  <c r="AT15" i="34"/>
  <c r="AX15" i="34"/>
  <c r="BB15" i="34"/>
  <c r="BF15" i="34"/>
  <c r="BJ15" i="34"/>
  <c r="BN15" i="34"/>
  <c r="I15" i="34"/>
  <c r="H15" i="34"/>
  <c r="K9" i="34"/>
  <c r="O9" i="34"/>
  <c r="S9" i="34"/>
  <c r="W9" i="34"/>
  <c r="AA9" i="34"/>
  <c r="AE9" i="34"/>
  <c r="AI9" i="34"/>
  <c r="AM9" i="34"/>
  <c r="AQ9" i="34"/>
  <c r="AU9" i="34"/>
  <c r="AY9" i="34"/>
  <c r="L9" i="34"/>
  <c r="P9" i="34"/>
  <c r="T9" i="34"/>
  <c r="X9" i="34"/>
  <c r="AB9" i="34"/>
  <c r="AF9" i="34"/>
  <c r="AJ9" i="34"/>
  <c r="AN9" i="34"/>
  <c r="AR9" i="34"/>
  <c r="AV9" i="34"/>
  <c r="AZ9" i="34"/>
  <c r="M9" i="34"/>
  <c r="Q9" i="34"/>
  <c r="U9" i="34"/>
  <c r="Y9" i="34"/>
  <c r="AC9" i="34"/>
  <c r="AG9" i="34"/>
  <c r="AK9" i="34"/>
  <c r="AO9" i="34"/>
  <c r="AS9" i="34"/>
  <c r="AW9" i="34"/>
  <c r="BA9" i="34"/>
  <c r="J9" i="34"/>
  <c r="N9" i="34"/>
  <c r="R9" i="34"/>
  <c r="V9" i="34"/>
  <c r="Z9" i="34"/>
  <c r="AD9" i="34"/>
  <c r="AH9" i="34"/>
  <c r="AL9" i="34"/>
  <c r="AP9" i="34"/>
  <c r="AT9" i="34"/>
  <c r="AX9" i="34"/>
  <c r="BB9" i="34"/>
  <c r="BC9" i="34"/>
  <c r="BG9" i="34"/>
  <c r="BK9" i="34"/>
  <c r="BO9" i="34"/>
  <c r="BD9" i="34"/>
  <c r="BH9" i="34"/>
  <c r="BL9" i="34"/>
  <c r="BP9" i="34"/>
  <c r="BE9" i="34"/>
  <c r="BI9" i="34"/>
  <c r="BM9" i="34"/>
  <c r="BF9" i="34"/>
  <c r="BJ9" i="34"/>
  <c r="BN9" i="34"/>
  <c r="I9" i="34"/>
  <c r="H9" i="34"/>
  <c r="L14" i="34"/>
  <c r="P14" i="34"/>
  <c r="T14" i="34"/>
  <c r="X14" i="34"/>
  <c r="AB14" i="34"/>
  <c r="AF14" i="34"/>
  <c r="AJ14" i="34"/>
  <c r="AN14" i="34"/>
  <c r="AR14" i="34"/>
  <c r="AV14" i="34"/>
  <c r="AZ14" i="34"/>
  <c r="BD14" i="34"/>
  <c r="BH14" i="34"/>
  <c r="BL14" i="34"/>
  <c r="M14" i="34"/>
  <c r="Q14" i="34"/>
  <c r="U14" i="34"/>
  <c r="Y14" i="34"/>
  <c r="AC14" i="34"/>
  <c r="AG14" i="34"/>
  <c r="AK14" i="34"/>
  <c r="AO14" i="34"/>
  <c r="AS14" i="34"/>
  <c r="AW14" i="34"/>
  <c r="BA14" i="34"/>
  <c r="BE14" i="34"/>
  <c r="J14" i="34"/>
  <c r="N14" i="34"/>
  <c r="R14" i="34"/>
  <c r="V14" i="34"/>
  <c r="Z14" i="34"/>
  <c r="AD14" i="34"/>
  <c r="AH14" i="34"/>
  <c r="AL14" i="34"/>
  <c r="AP14" i="34"/>
  <c r="AT14" i="34"/>
  <c r="AX14" i="34"/>
  <c r="BB14" i="34"/>
  <c r="BF14" i="34"/>
  <c r="BJ14" i="34"/>
  <c r="BN14" i="34"/>
  <c r="K14" i="34"/>
  <c r="O14" i="34"/>
  <c r="S14" i="34"/>
  <c r="W14" i="34"/>
  <c r="AA14" i="34"/>
  <c r="AE14" i="34"/>
  <c r="AI14" i="34"/>
  <c r="AM14" i="34"/>
  <c r="AQ14" i="34"/>
  <c r="AU14" i="34"/>
  <c r="AY14" i="34"/>
  <c r="BC14" i="34"/>
  <c r="BG14" i="34"/>
  <c r="BK14" i="34"/>
  <c r="BO14" i="34"/>
  <c r="BI14" i="34"/>
  <c r="BM14" i="34"/>
  <c r="BP14" i="34"/>
  <c r="I14" i="34"/>
  <c r="H14" i="34"/>
  <c r="D81" i="46"/>
  <c r="E81" i="46" s="1"/>
  <c r="E65" i="46"/>
  <c r="D53" i="46"/>
  <c r="E35" i="46"/>
  <c r="D51" i="46"/>
  <c r="E33" i="46"/>
  <c r="E76" i="46"/>
  <c r="D92" i="46"/>
  <c r="E92" i="46" s="1"/>
  <c r="D91" i="46"/>
  <c r="E91" i="46" s="1"/>
  <c r="E75" i="46"/>
  <c r="K95" i="34"/>
  <c r="T95" i="34"/>
  <c r="O111" i="34"/>
  <c r="S95" i="34"/>
  <c r="H108" i="34"/>
  <c r="P92" i="34"/>
  <c r="Q108" i="34"/>
  <c r="AG92" i="34"/>
  <c r="I108" i="34"/>
  <c r="H104" i="34"/>
  <c r="V104" i="34"/>
  <c r="W119" i="34"/>
  <c r="J120" i="34"/>
  <c r="L120" i="34"/>
  <c r="S119" i="34"/>
  <c r="AE104" i="34"/>
  <c r="AI103" i="34"/>
  <c r="U115" i="34"/>
  <c r="AI111" i="34"/>
  <c r="BI42" i="45"/>
  <c r="BI64" i="45" s="1"/>
  <c r="V111" i="34"/>
  <c r="I111" i="34"/>
  <c r="M92" i="34"/>
  <c r="J108" i="34"/>
  <c r="N92" i="34"/>
  <c r="I119" i="34"/>
  <c r="AG104" i="34"/>
  <c r="O119" i="34"/>
  <c r="AI120" i="34"/>
  <c r="J119" i="34"/>
  <c r="H120" i="34"/>
  <c r="K120" i="34"/>
  <c r="M104" i="34"/>
  <c r="I120" i="34"/>
  <c r="AG103" i="34"/>
  <c r="Z103" i="34"/>
  <c r="U119" i="34"/>
  <c r="AC103" i="34"/>
  <c r="O104" i="34"/>
  <c r="H103" i="34"/>
  <c r="AF104" i="34"/>
  <c r="V119" i="34"/>
  <c r="AB120" i="34"/>
  <c r="X103" i="34"/>
  <c r="Z104" i="34"/>
  <c r="R119" i="34"/>
  <c r="AC104" i="34"/>
  <c r="J104" i="34"/>
  <c r="AD120" i="34"/>
  <c r="S103" i="34"/>
  <c r="W104" i="34"/>
  <c r="AH103" i="34"/>
  <c r="X120" i="34"/>
  <c r="Q119" i="34"/>
  <c r="R120" i="34"/>
  <c r="AI119" i="34"/>
  <c r="K103" i="34"/>
  <c r="L119" i="34"/>
  <c r="M97" i="34"/>
  <c r="AI98" i="34"/>
  <c r="AH113" i="34"/>
  <c r="Y113" i="34"/>
  <c r="AI97" i="34"/>
  <c r="H97" i="34"/>
  <c r="N113" i="34"/>
  <c r="I115" i="34"/>
  <c r="S99" i="34"/>
  <c r="O115" i="34"/>
  <c r="H99" i="34"/>
  <c r="AA115" i="34"/>
  <c r="M115" i="34"/>
  <c r="AD115" i="34"/>
  <c r="N115" i="34"/>
  <c r="AI99" i="34"/>
  <c r="R99" i="34"/>
  <c r="X115" i="34"/>
  <c r="V115" i="34"/>
  <c r="L99" i="34"/>
  <c r="AG99" i="34"/>
  <c r="Z99" i="34"/>
  <c r="P115" i="34"/>
  <c r="K115" i="34"/>
  <c r="W113" i="34"/>
  <c r="T97" i="34"/>
  <c r="BL42" i="45"/>
  <c r="BL64" i="45" s="1"/>
  <c r="AP42" i="45"/>
  <c r="AP64" i="45" s="1"/>
  <c r="AQ42" i="45"/>
  <c r="AQ64" i="45" s="1"/>
  <c r="BM42" i="45"/>
  <c r="BM64" i="45" s="1"/>
  <c r="AT42" i="45"/>
  <c r="AT64" i="45" s="1"/>
  <c r="AL42" i="45"/>
  <c r="AL64" i="45" s="1"/>
  <c r="AZ42" i="45"/>
  <c r="AZ64" i="45" s="1"/>
  <c r="AU42" i="45"/>
  <c r="AU64" i="45" s="1"/>
  <c r="M95" i="34"/>
  <c r="I95" i="34"/>
  <c r="X92" i="34"/>
  <c r="T108" i="34"/>
  <c r="AE108" i="34"/>
  <c r="U104" i="34"/>
  <c r="AA120" i="34"/>
  <c r="AB119" i="34"/>
  <c r="AG119" i="34"/>
  <c r="T119" i="34"/>
  <c r="AE103" i="34"/>
  <c r="Y104" i="34"/>
  <c r="N97" i="34"/>
  <c r="O99" i="34"/>
  <c r="M99" i="34"/>
  <c r="AD99" i="34"/>
  <c r="AH115" i="34"/>
  <c r="AC99" i="34"/>
  <c r="Z115" i="34"/>
  <c r="AN42" i="45"/>
  <c r="AN64" i="45" s="1"/>
  <c r="AJ42" i="45"/>
  <c r="AJ64" i="45" s="1"/>
  <c r="BD42" i="45"/>
  <c r="BD64" i="45" s="1"/>
  <c r="P111" i="34"/>
  <c r="M111" i="34"/>
  <c r="U111" i="34"/>
  <c r="R108" i="34"/>
  <c r="Y119" i="34"/>
  <c r="AH120" i="34"/>
  <c r="P95" i="34"/>
  <c r="AC92" i="34"/>
  <c r="H92" i="34"/>
  <c r="Y92" i="34"/>
  <c r="R92" i="34"/>
  <c r="AE92" i="34"/>
  <c r="AA108" i="34"/>
  <c r="AG108" i="34"/>
  <c r="O92" i="34"/>
  <c r="W108" i="34"/>
  <c r="L108" i="34"/>
  <c r="I103" i="34"/>
  <c r="N119" i="34"/>
  <c r="N104" i="34"/>
  <c r="T120" i="34"/>
  <c r="U103" i="34"/>
  <c r="AC119" i="34"/>
  <c r="O120" i="34"/>
  <c r="H119" i="34"/>
  <c r="AF120" i="34"/>
  <c r="W103" i="34"/>
  <c r="AB104" i="34"/>
  <c r="AE119" i="34"/>
  <c r="P103" i="34"/>
  <c r="AF119" i="34"/>
  <c r="W120" i="34"/>
  <c r="Q103" i="34"/>
  <c r="R104" i="34"/>
  <c r="AA119" i="34"/>
  <c r="K119" i="34"/>
  <c r="L92" i="34"/>
  <c r="S92" i="34"/>
  <c r="AI92" i="34"/>
  <c r="AH97" i="34"/>
  <c r="Y114" i="34"/>
  <c r="Y97" i="34"/>
  <c r="AC97" i="34"/>
  <c r="I99" i="34"/>
  <c r="S115" i="34"/>
  <c r="H115" i="34"/>
  <c r="W115" i="34"/>
  <c r="AF115" i="34"/>
  <c r="AH99" i="34"/>
  <c r="Y99" i="34"/>
  <c r="N99" i="34"/>
  <c r="J99" i="34"/>
  <c r="X99" i="34"/>
  <c r="V99" i="34"/>
  <c r="AC115" i="34"/>
  <c r="AE99" i="34"/>
  <c r="T115" i="34"/>
  <c r="P99" i="34"/>
  <c r="K99" i="34"/>
  <c r="AB99" i="34"/>
  <c r="AB108" i="34"/>
  <c r="T113" i="34"/>
  <c r="AF91" i="34"/>
  <c r="K113" i="34"/>
  <c r="AW42" i="45"/>
  <c r="AW64" i="45" s="1"/>
  <c r="BK42" i="45"/>
  <c r="BK64" i="45" s="1"/>
  <c r="BE42" i="45"/>
  <c r="BE64" i="45" s="1"/>
  <c r="BH42" i="45"/>
  <c r="BH64" i="45" s="1"/>
  <c r="BN42" i="45"/>
  <c r="BN64" i="45" s="1"/>
  <c r="AY42" i="45"/>
  <c r="AY64" i="45" s="1"/>
  <c r="AV42" i="45"/>
  <c r="AV64" i="45" s="1"/>
  <c r="U95" i="34"/>
  <c r="AF92" i="34"/>
  <c r="K108" i="34"/>
  <c r="S108" i="34"/>
  <c r="AG120" i="34"/>
  <c r="Q104" i="34"/>
  <c r="O103" i="34"/>
  <c r="T104" i="34"/>
  <c r="AD119" i="34"/>
  <c r="V103" i="34"/>
  <c r="P119" i="34"/>
  <c r="AI108" i="34"/>
  <c r="T94" i="34"/>
  <c r="M113" i="34"/>
  <c r="Y115" i="34"/>
  <c r="R115" i="34"/>
  <c r="Q115" i="34"/>
  <c r="W97" i="34"/>
  <c r="W114" i="34"/>
  <c r="Z110" i="34"/>
  <c r="BB42" i="45"/>
  <c r="BB64" i="45" s="1"/>
  <c r="AM42" i="45"/>
  <c r="AM64" i="45" s="1"/>
  <c r="AX42" i="45"/>
  <c r="AX64" i="45" s="1"/>
  <c r="AI42" i="45"/>
  <c r="AI64" i="45" s="1"/>
  <c r="BJ42" i="45"/>
  <c r="BJ64" i="45" s="1"/>
  <c r="K111" i="34"/>
  <c r="T111" i="34"/>
  <c r="O95" i="34"/>
  <c r="S111" i="34"/>
  <c r="X108" i="34"/>
  <c r="U108" i="34"/>
  <c r="AH92" i="34"/>
  <c r="AA92" i="34"/>
  <c r="M103" i="34"/>
  <c r="S104" i="34"/>
  <c r="V95" i="34"/>
  <c r="AC108" i="34"/>
  <c r="T92" i="34"/>
  <c r="AF108" i="34"/>
  <c r="Y108" i="34"/>
  <c r="U92" i="34"/>
  <c r="K92" i="34"/>
  <c r="AH108" i="34"/>
  <c r="M108" i="34"/>
  <c r="J92" i="34"/>
  <c r="P108" i="34"/>
  <c r="V92" i="34"/>
  <c r="O108" i="34"/>
  <c r="Q92" i="34"/>
  <c r="Z108" i="34"/>
  <c r="M119" i="34"/>
  <c r="Y103" i="34"/>
  <c r="S120" i="34"/>
  <c r="AH104" i="34"/>
  <c r="N103" i="34"/>
  <c r="Q120" i="34"/>
  <c r="U120" i="34"/>
  <c r="AA104" i="34"/>
  <c r="AI104" i="34"/>
  <c r="J103" i="34"/>
  <c r="K104" i="34"/>
  <c r="M120" i="34"/>
  <c r="V120" i="34"/>
  <c r="I104" i="34"/>
  <c r="AB103" i="34"/>
  <c r="Z119" i="34"/>
  <c r="N120" i="34"/>
  <c r="AD103" i="34"/>
  <c r="X119" i="34"/>
  <c r="Z120" i="34"/>
  <c r="R103" i="34"/>
  <c r="T103" i="34"/>
  <c r="AC120" i="34"/>
  <c r="AD104" i="34"/>
  <c r="L104" i="34"/>
  <c r="Y120" i="34"/>
  <c r="AF103" i="34"/>
  <c r="AH119" i="34"/>
  <c r="X104" i="34"/>
  <c r="AA103" i="34"/>
  <c r="AE120" i="34"/>
  <c r="L103" i="34"/>
  <c r="I92" i="34"/>
  <c r="AI114" i="34"/>
  <c r="Y98" i="34"/>
  <c r="AI113" i="34"/>
  <c r="H113" i="34"/>
  <c r="U114" i="34"/>
  <c r="AG97" i="34"/>
  <c r="AA99" i="34"/>
  <c r="W99" i="34"/>
  <c r="AF99" i="34"/>
  <c r="J115" i="34"/>
  <c r="AI115" i="34"/>
  <c r="Q99" i="34"/>
  <c r="L115" i="34"/>
  <c r="AE115" i="34"/>
  <c r="U99" i="34"/>
  <c r="T99" i="34"/>
  <c r="AG115" i="34"/>
  <c r="AB115" i="34"/>
  <c r="R91" i="34"/>
  <c r="U94" i="34"/>
  <c r="AD108" i="34"/>
  <c r="K97" i="34"/>
  <c r="AR42" i="45"/>
  <c r="AR64" i="45" s="1"/>
  <c r="BA42" i="45"/>
  <c r="BA64" i="45" s="1"/>
  <c r="AS42" i="45"/>
  <c r="AS64" i="45" s="1"/>
  <c r="AO42" i="45"/>
  <c r="AO64" i="45" s="1"/>
  <c r="BG42" i="45"/>
  <c r="BG64" i="45" s="1"/>
  <c r="BC42" i="45"/>
  <c r="BC64" i="45" s="1"/>
  <c r="BF42" i="45"/>
  <c r="BF64" i="45" s="1"/>
  <c r="AK42" i="45"/>
  <c r="AK64" i="45" s="1"/>
  <c r="H182" i="34"/>
  <c r="H75" i="36"/>
  <c r="H166" i="34"/>
  <c r="H59" i="36"/>
  <c r="M182" i="34"/>
  <c r="M166" i="34"/>
  <c r="M75" i="36"/>
  <c r="M59" i="36"/>
  <c r="W182" i="34"/>
  <c r="W75" i="36"/>
  <c r="W166" i="34"/>
  <c r="W59" i="36"/>
  <c r="AH182" i="34"/>
  <c r="AH59" i="36"/>
  <c r="AH75" i="36"/>
  <c r="AH166" i="34"/>
  <c r="N182" i="34"/>
  <c r="N75" i="36"/>
  <c r="N59" i="36"/>
  <c r="N166" i="34"/>
  <c r="AI182" i="34"/>
  <c r="AI75" i="36"/>
  <c r="AI166" i="34"/>
  <c r="AI59" i="36"/>
  <c r="S75" i="36"/>
  <c r="S182" i="34"/>
  <c r="S59" i="36"/>
  <c r="S166" i="34"/>
  <c r="T166" i="34"/>
  <c r="T59" i="36"/>
  <c r="T182" i="34"/>
  <c r="T75" i="36"/>
  <c r="Z182" i="34"/>
  <c r="Z59" i="36"/>
  <c r="Z166" i="34"/>
  <c r="Z75" i="36"/>
  <c r="K59" i="36"/>
  <c r="K182" i="34"/>
  <c r="K75" i="36"/>
  <c r="K166" i="34"/>
  <c r="R182" i="34"/>
  <c r="R75" i="36"/>
  <c r="R59" i="36"/>
  <c r="R166" i="34"/>
  <c r="V75" i="36"/>
  <c r="V182" i="34"/>
  <c r="V59" i="36"/>
  <c r="V166" i="34"/>
  <c r="AC59" i="36"/>
  <c r="AC75" i="36"/>
  <c r="AC166" i="34"/>
  <c r="AC182" i="34"/>
  <c r="AE59" i="36"/>
  <c r="AE182" i="34"/>
  <c r="AE75" i="36"/>
  <c r="AE166" i="34"/>
  <c r="AA166" i="34"/>
  <c r="AA59" i="36"/>
  <c r="AA182" i="34"/>
  <c r="AA75" i="36"/>
  <c r="AD59" i="36"/>
  <c r="AD75" i="36"/>
  <c r="AD166" i="34"/>
  <c r="AD182" i="34"/>
  <c r="AF59" i="36"/>
  <c r="AF182" i="34"/>
  <c r="AF166" i="34"/>
  <c r="AF75" i="36"/>
  <c r="Y182" i="34"/>
  <c r="Y59" i="36"/>
  <c r="Y166" i="34"/>
  <c r="Y75" i="36"/>
  <c r="J75" i="36"/>
  <c r="J59" i="36"/>
  <c r="J182" i="34"/>
  <c r="J166" i="34"/>
  <c r="I182" i="34"/>
  <c r="I166" i="34"/>
  <c r="I75" i="36"/>
  <c r="I59" i="36"/>
  <c r="O75" i="36"/>
  <c r="O166" i="34"/>
  <c r="O59" i="36"/>
  <c r="O182" i="34"/>
  <c r="AG182" i="34"/>
  <c r="AG75" i="36"/>
  <c r="AG166" i="34"/>
  <c r="AG59" i="36"/>
  <c r="P75" i="36"/>
  <c r="P59" i="36"/>
  <c r="P166" i="34"/>
  <c r="P182" i="34"/>
  <c r="AB182" i="34"/>
  <c r="AB166" i="34"/>
  <c r="AB75" i="36"/>
  <c r="AB59" i="36"/>
  <c r="X166" i="34"/>
  <c r="X59" i="36"/>
  <c r="X182" i="34"/>
  <c r="X75" i="36"/>
  <c r="Q75" i="36"/>
  <c r="Q182" i="34"/>
  <c r="Q166" i="34"/>
  <c r="Q59" i="36"/>
  <c r="L166" i="34"/>
  <c r="L75" i="36"/>
  <c r="L59" i="36"/>
  <c r="L182" i="34"/>
  <c r="U166" i="34"/>
  <c r="U75" i="36"/>
  <c r="U59" i="36"/>
  <c r="U182" i="34"/>
  <c r="U164" i="34"/>
  <c r="U180" i="34"/>
  <c r="U57" i="36"/>
  <c r="S180" i="34"/>
  <c r="S57" i="36"/>
  <c r="S73" i="36"/>
  <c r="S164" i="34"/>
  <c r="O180" i="34"/>
  <c r="O57" i="36"/>
  <c r="O73" i="36"/>
  <c r="O164" i="34"/>
  <c r="I57" i="36"/>
  <c r="I164" i="34"/>
  <c r="I73" i="36"/>
  <c r="I180" i="34"/>
  <c r="L164" i="34"/>
  <c r="L73" i="36"/>
  <c r="L180" i="34"/>
  <c r="L57" i="36"/>
  <c r="Q57" i="36"/>
  <c r="Q180" i="34"/>
  <c r="Q164" i="34"/>
  <c r="Q73" i="36"/>
  <c r="AH73" i="36"/>
  <c r="AH57" i="36"/>
  <c r="AH164" i="34"/>
  <c r="AH180" i="34"/>
  <c r="M164" i="34"/>
  <c r="M180" i="34"/>
  <c r="M73" i="36"/>
  <c r="M57" i="36"/>
  <c r="AV89" i="34"/>
  <c r="AV141" i="34"/>
  <c r="AV137" i="34"/>
  <c r="BP137" i="34"/>
  <c r="BP141" i="34"/>
  <c r="BP89" i="34"/>
  <c r="BF137" i="34"/>
  <c r="BF141" i="34"/>
  <c r="BF89" i="34"/>
  <c r="AN89" i="34"/>
  <c r="AN141" i="34"/>
  <c r="AN137" i="34"/>
  <c r="P137" i="34"/>
  <c r="P89" i="34"/>
  <c r="P141" i="34"/>
  <c r="AL137" i="34"/>
  <c r="AL141" i="34"/>
  <c r="AL89" i="34"/>
  <c r="V137" i="34"/>
  <c r="V141" i="34"/>
  <c r="V89" i="34"/>
  <c r="AA89" i="34"/>
  <c r="AA141" i="34"/>
  <c r="AA137" i="34"/>
  <c r="BH141" i="34"/>
  <c r="BH89" i="34"/>
  <c r="BH137" i="34"/>
  <c r="X89" i="34"/>
  <c r="X141" i="34"/>
  <c r="X137" i="34"/>
  <c r="BL141" i="34"/>
  <c r="BL137" i="34"/>
  <c r="BL89" i="34"/>
  <c r="AF137" i="34"/>
  <c r="AF89" i="34"/>
  <c r="AF141" i="34"/>
  <c r="BN141" i="34"/>
  <c r="BN89" i="34"/>
  <c r="BN137" i="34"/>
  <c r="AX89" i="34"/>
  <c r="AX137" i="34"/>
  <c r="AX141" i="34"/>
  <c r="AH141" i="34"/>
  <c r="AH89" i="34"/>
  <c r="AH137" i="34"/>
  <c r="R89" i="34"/>
  <c r="R137" i="34"/>
  <c r="R141" i="34"/>
  <c r="AB141" i="34"/>
  <c r="AB89" i="34"/>
  <c r="AB137" i="34"/>
  <c r="Z141" i="34"/>
  <c r="Z89" i="34"/>
  <c r="Z137" i="34"/>
  <c r="J137" i="34"/>
  <c r="J141" i="34"/>
  <c r="J89" i="34"/>
  <c r="T141" i="34"/>
  <c r="T89" i="34"/>
  <c r="T137" i="34"/>
  <c r="BB89" i="34"/>
  <c r="BB137" i="34"/>
  <c r="BB141" i="34"/>
  <c r="AY137" i="34"/>
  <c r="AY89" i="34"/>
  <c r="AY141" i="34"/>
  <c r="H141" i="34"/>
  <c r="H137" i="34"/>
  <c r="H89" i="34"/>
  <c r="AK141" i="34"/>
  <c r="AK89" i="34"/>
  <c r="AK137" i="34"/>
  <c r="U89" i="34"/>
  <c r="U141" i="34"/>
  <c r="U137" i="34"/>
  <c r="P63" i="36"/>
  <c r="P79" i="36"/>
  <c r="P186" i="34"/>
  <c r="P170" i="34"/>
  <c r="AQ141" i="34"/>
  <c r="AQ137" i="34"/>
  <c r="AQ89" i="34"/>
  <c r="S89" i="34"/>
  <c r="S141" i="34"/>
  <c r="S137" i="34"/>
  <c r="AM89" i="34"/>
  <c r="AM141" i="34"/>
  <c r="AM137" i="34"/>
  <c r="W137" i="34"/>
  <c r="W89" i="34"/>
  <c r="W141" i="34"/>
  <c r="BM137" i="34"/>
  <c r="BM89" i="34"/>
  <c r="BM141" i="34"/>
  <c r="AW137" i="34"/>
  <c r="AW89" i="34"/>
  <c r="AW141" i="34"/>
  <c r="AG141" i="34"/>
  <c r="AG137" i="34"/>
  <c r="AG89" i="34"/>
  <c r="Q141" i="34"/>
  <c r="Q137" i="34"/>
  <c r="Q89" i="34"/>
  <c r="AR137" i="34"/>
  <c r="AR89" i="34"/>
  <c r="AR141" i="34"/>
  <c r="AP137" i="34"/>
  <c r="AP141" i="34"/>
  <c r="AP89" i="34"/>
  <c r="AU141" i="34"/>
  <c r="AU137" i="34"/>
  <c r="AU89" i="34"/>
  <c r="BA141" i="34"/>
  <c r="BA137" i="34"/>
  <c r="BA89" i="34"/>
  <c r="AZ141" i="34"/>
  <c r="AZ89" i="34"/>
  <c r="AZ137" i="34"/>
  <c r="L141" i="34"/>
  <c r="L89" i="34"/>
  <c r="L137" i="34"/>
  <c r="BD141" i="34"/>
  <c r="BD137" i="34"/>
  <c r="BD89" i="34"/>
  <c r="BJ141" i="34"/>
  <c r="BJ89" i="34"/>
  <c r="BJ137" i="34"/>
  <c r="AT89" i="34"/>
  <c r="AT137" i="34"/>
  <c r="AT141" i="34"/>
  <c r="AD137" i="34"/>
  <c r="AD141" i="34"/>
  <c r="AD89" i="34"/>
  <c r="N141" i="34"/>
  <c r="N89" i="34"/>
  <c r="N137" i="34"/>
  <c r="BO137" i="34"/>
  <c r="BO89" i="34"/>
  <c r="BO141" i="34"/>
  <c r="AI137" i="34"/>
  <c r="AI89" i="34"/>
  <c r="AI141" i="34"/>
  <c r="BK89" i="34"/>
  <c r="BK141" i="34"/>
  <c r="BK137" i="34"/>
  <c r="O141" i="34"/>
  <c r="O137" i="34"/>
  <c r="O89" i="34"/>
  <c r="BI141" i="34"/>
  <c r="BI137" i="34"/>
  <c r="BI89" i="34"/>
  <c r="AS137" i="34"/>
  <c r="AS89" i="34"/>
  <c r="AS141" i="34"/>
  <c r="AC137" i="34"/>
  <c r="AC89" i="34"/>
  <c r="AC141" i="34"/>
  <c r="M141" i="34"/>
  <c r="M137" i="34"/>
  <c r="M89" i="34"/>
  <c r="BG137" i="34"/>
  <c r="BG89" i="34"/>
  <c r="BG141" i="34"/>
  <c r="BC137" i="34"/>
  <c r="BC89" i="34"/>
  <c r="BC141" i="34"/>
  <c r="AE137" i="34"/>
  <c r="AE89" i="34"/>
  <c r="AE141" i="34"/>
  <c r="K141" i="34"/>
  <c r="K137" i="34"/>
  <c r="K89" i="34"/>
  <c r="BE141" i="34"/>
  <c r="BE137" i="34"/>
  <c r="BE89" i="34"/>
  <c r="AO89" i="34"/>
  <c r="AO141" i="34"/>
  <c r="AO137" i="34"/>
  <c r="Y141" i="34"/>
  <c r="Y137" i="34"/>
  <c r="Y89" i="34"/>
  <c r="I89" i="34"/>
  <c r="I141" i="34"/>
  <c r="I137" i="34"/>
  <c r="D24" i="45"/>
  <c r="E24" i="45"/>
  <c r="D14" i="45"/>
  <c r="E12" i="45"/>
  <c r="B16" i="45"/>
  <c r="D71" i="46" l="1"/>
  <c r="E53" i="46"/>
  <c r="E51" i="46"/>
  <c r="D69" i="46"/>
  <c r="M98" i="34"/>
  <c r="L98" i="34"/>
  <c r="AB116" i="34"/>
  <c r="V100" i="34"/>
  <c r="K116" i="34"/>
  <c r="S100" i="34"/>
  <c r="M114" i="34"/>
  <c r="I114" i="34"/>
  <c r="O114" i="34"/>
  <c r="S114" i="34"/>
  <c r="U116" i="34"/>
  <c r="L116" i="34"/>
  <c r="X100" i="34"/>
  <c r="P100" i="34"/>
  <c r="AG116" i="34"/>
  <c r="J100" i="34"/>
  <c r="Y100" i="34"/>
  <c r="AD116" i="34"/>
  <c r="AA100" i="34"/>
  <c r="AC116" i="34"/>
  <c r="R116" i="34"/>
  <c r="Z100" i="34"/>
  <c r="T100" i="34"/>
  <c r="AI116" i="34"/>
  <c r="N116" i="34"/>
  <c r="AH100" i="34"/>
  <c r="W116" i="34"/>
  <c r="H116" i="34"/>
  <c r="U98" i="34"/>
  <c r="AE116" i="34"/>
  <c r="R100" i="34"/>
  <c r="N100" i="34"/>
  <c r="AH116" i="34"/>
  <c r="M116" i="34"/>
  <c r="AH98" i="34"/>
  <c r="L114" i="34"/>
  <c r="O98" i="34"/>
  <c r="S98" i="34"/>
  <c r="Q116" i="34"/>
  <c r="P116" i="34"/>
  <c r="O116" i="34"/>
  <c r="J116" i="34"/>
  <c r="AF100" i="34"/>
  <c r="AD100" i="34"/>
  <c r="AE100" i="34"/>
  <c r="AC100" i="34"/>
  <c r="V116" i="34"/>
  <c r="K100" i="34"/>
  <c r="S116" i="34"/>
  <c r="P104" i="34"/>
  <c r="Q114" i="34"/>
  <c r="U100" i="34"/>
  <c r="L100" i="34"/>
  <c r="O100" i="34"/>
  <c r="I116" i="34"/>
  <c r="P120" i="34"/>
  <c r="AH114" i="34"/>
  <c r="Q98" i="34"/>
  <c r="I98" i="34"/>
  <c r="Q100" i="34"/>
  <c r="X116" i="34"/>
  <c r="AB100" i="34"/>
  <c r="AG100" i="34"/>
  <c r="I100" i="34"/>
  <c r="Y116" i="34"/>
  <c r="AF116" i="34"/>
  <c r="AA116" i="34"/>
  <c r="Z116" i="34"/>
  <c r="T116" i="34"/>
  <c r="AI100" i="34"/>
  <c r="W100" i="34"/>
  <c r="M100" i="34"/>
  <c r="H100" i="34"/>
  <c r="E25" i="45"/>
  <c r="D25" i="45"/>
  <c r="B17" i="45"/>
  <c r="D15" i="45"/>
  <c r="E13" i="45"/>
  <c r="D85" i="46" l="1"/>
  <c r="E85" i="46" s="1"/>
  <c r="E69" i="46"/>
  <c r="D87" i="46"/>
  <c r="E87" i="46" s="1"/>
  <c r="E71" i="46"/>
  <c r="D63" i="36"/>
  <c r="D52" i="36"/>
  <c r="D62" i="36"/>
  <c r="D26" i="45"/>
  <c r="E26" i="45"/>
  <c r="E14" i="45"/>
  <c r="B18" i="45"/>
  <c r="D16" i="45"/>
  <c r="E52" i="36" l="1"/>
  <c r="D93" i="34"/>
  <c r="D68" i="36"/>
  <c r="E63" i="36"/>
  <c r="D104" i="34"/>
  <c r="D79" i="36"/>
  <c r="D78" i="36"/>
  <c r="E62" i="36"/>
  <c r="D103" i="34"/>
  <c r="E19" i="45"/>
  <c r="D19" i="45"/>
  <c r="D60" i="45" s="1"/>
  <c r="B11" i="45"/>
  <c r="B59" i="45" s="1"/>
  <c r="D17" i="45"/>
  <c r="E15" i="45"/>
  <c r="E78" i="36" l="1"/>
  <c r="D218" i="33"/>
  <c r="E218" i="33" s="1"/>
  <c r="D169" i="34"/>
  <c r="E68" i="36"/>
  <c r="D159" i="34"/>
  <c r="D208" i="33"/>
  <c r="E208" i="33" s="1"/>
  <c r="E79" i="36"/>
  <c r="D170" i="34"/>
  <c r="D219" i="33"/>
  <c r="E219" i="33" s="1"/>
  <c r="D58" i="36"/>
  <c r="D109" i="34"/>
  <c r="E109" i="34" s="1"/>
  <c r="E93" i="34"/>
  <c r="D56" i="36"/>
  <c r="D119" i="34"/>
  <c r="E119" i="34" s="1"/>
  <c r="E103" i="34"/>
  <c r="D120" i="34"/>
  <c r="E120" i="34" s="1"/>
  <c r="E104" i="34"/>
  <c r="D18" i="45"/>
  <c r="E16" i="45"/>
  <c r="D186" i="34" l="1"/>
  <c r="E186" i="34" s="1"/>
  <c r="E170" i="34"/>
  <c r="E169" i="34"/>
  <c r="D185" i="34"/>
  <c r="E185" i="34" s="1"/>
  <c r="E159" i="34"/>
  <c r="D175" i="34"/>
  <c r="E175" i="34" s="1"/>
  <c r="E56" i="36"/>
  <c r="D97" i="34"/>
  <c r="D72" i="36"/>
  <c r="E58" i="36"/>
  <c r="D99" i="34"/>
  <c r="D74" i="36"/>
  <c r="D11" i="45"/>
  <c r="D59" i="45" s="1"/>
  <c r="E17" i="45"/>
  <c r="E74" i="36" l="1"/>
  <c r="D214" i="33"/>
  <c r="E214" i="33" s="1"/>
  <c r="D165" i="34"/>
  <c r="E72" i="36"/>
  <c r="D212" i="33"/>
  <c r="E212" i="33" s="1"/>
  <c r="D163" i="34"/>
  <c r="E97" i="34"/>
  <c r="D113" i="34"/>
  <c r="E113" i="34" s="1"/>
  <c r="D115" i="34"/>
  <c r="E115" i="34" s="1"/>
  <c r="E99" i="34"/>
  <c r="E18" i="45"/>
  <c r="E165" i="34" l="1"/>
  <c r="D181" i="34"/>
  <c r="E181" i="34" s="1"/>
  <c r="D179" i="34"/>
  <c r="E179" i="34" s="1"/>
  <c r="E163" i="34"/>
  <c r="E11" i="45"/>
  <c r="E18" i="34" l="1"/>
  <c r="E19" i="34" s="1"/>
  <c r="E4" i="34"/>
  <c r="E5" i="34" s="1"/>
  <c r="E18" i="33"/>
  <c r="E36" i="33" s="1"/>
  <c r="E4" i="33"/>
  <c r="E21" i="34" l="1"/>
  <c r="E22" i="34" s="1"/>
  <c r="E23" i="34" s="1"/>
  <c r="E24" i="34" s="1"/>
  <c r="E25" i="34" s="1"/>
  <c r="E26" i="34" s="1"/>
  <c r="E27" i="34" s="1"/>
  <c r="E28" i="34" s="1"/>
  <c r="E29" i="34" s="1"/>
  <c r="E30" i="34" s="1"/>
  <c r="E20" i="34"/>
  <c r="E7" i="34"/>
  <c r="E8" i="34" s="1"/>
  <c r="E9" i="34" s="1"/>
  <c r="E10" i="34" s="1"/>
  <c r="E11" i="34" s="1"/>
  <c r="E12" i="34" s="1"/>
  <c r="E13" i="34" s="1"/>
  <c r="E14" i="34" s="1"/>
  <c r="E15" i="34" s="1"/>
  <c r="E16" i="34" s="1"/>
  <c r="E17" i="34" s="1"/>
  <c r="E6" i="34"/>
  <c r="H77" i="36" l="1"/>
  <c r="H61" i="36"/>
  <c r="H168" i="34"/>
  <c r="H184" i="34"/>
  <c r="E31" i="34"/>
  <c r="E32" i="34" s="1"/>
  <c r="E33" i="34" s="1"/>
  <c r="E34" i="34" s="1"/>
  <c r="E35" i="34" s="1"/>
  <c r="E36" i="34" s="1"/>
  <c r="E37" i="34" s="1"/>
  <c r="F9" i="45" l="1"/>
  <c r="F16" i="45"/>
  <c r="H102" i="34"/>
  <c r="F24" i="45"/>
  <c r="H118" i="34"/>
  <c r="I61" i="36"/>
  <c r="I77" i="36"/>
  <c r="I168" i="34"/>
  <c r="I184" i="34"/>
  <c r="E39" i="34"/>
  <c r="E40" i="34" s="1"/>
  <c r="E41" i="34" s="1"/>
  <c r="E42" i="34" s="1"/>
  <c r="E43" i="34" s="1"/>
  <c r="E44" i="34" s="1"/>
  <c r="E45" i="34" s="1"/>
  <c r="E46" i="34" s="1"/>
  <c r="E47" i="34" s="1"/>
  <c r="E48" i="34" s="1"/>
  <c r="E49" i="34" s="1"/>
  <c r="E50" i="34" s="1"/>
  <c r="E51" i="34" s="1"/>
  <c r="E52" i="34" s="1"/>
  <c r="E53" i="34" s="1"/>
  <c r="E38" i="34"/>
  <c r="G16" i="45" l="1"/>
  <c r="I102" i="34"/>
  <c r="G24" i="45"/>
  <c r="G9" i="45"/>
  <c r="I118" i="34"/>
  <c r="K61" i="36" l="1"/>
  <c r="K77" i="36"/>
  <c r="K168" i="34"/>
  <c r="K184" i="34"/>
  <c r="J77" i="36"/>
  <c r="J61" i="36"/>
  <c r="J168" i="34"/>
  <c r="J184" i="34"/>
  <c r="I24" i="45" l="1"/>
  <c r="J102" i="34"/>
  <c r="H16" i="45"/>
  <c r="H9" i="45"/>
  <c r="J118" i="34"/>
  <c r="K118" i="34"/>
  <c r="I9" i="45"/>
  <c r="I16" i="45"/>
  <c r="H24" i="45"/>
  <c r="K102" i="34"/>
  <c r="L77" i="36"/>
  <c r="L61" i="36"/>
  <c r="L168" i="34"/>
  <c r="L184" i="34"/>
  <c r="J16" i="45" l="1"/>
  <c r="J9" i="45"/>
  <c r="L102" i="34"/>
  <c r="J24" i="45"/>
  <c r="L118" i="34"/>
  <c r="M77" i="36"/>
  <c r="M61" i="36"/>
  <c r="M184" i="34"/>
  <c r="M168" i="34"/>
  <c r="K9" i="45" l="1"/>
  <c r="K24" i="45"/>
  <c r="M102" i="34"/>
  <c r="M118" i="34"/>
  <c r="K16" i="45"/>
  <c r="N77" i="36"/>
  <c r="N61" i="36"/>
  <c r="N184" i="34"/>
  <c r="N168" i="34"/>
  <c r="L16" i="45" l="1"/>
  <c r="L9" i="45"/>
  <c r="N102" i="34"/>
  <c r="L24" i="45"/>
  <c r="N118" i="34"/>
  <c r="O61" i="36"/>
  <c r="O77" i="36"/>
  <c r="O168" i="34"/>
  <c r="O184" i="34"/>
  <c r="M9" i="45" l="1"/>
  <c r="O102" i="34"/>
  <c r="M24" i="45"/>
  <c r="M16" i="45"/>
  <c r="O118" i="34"/>
  <c r="P77" i="36"/>
  <c r="P61" i="36"/>
  <c r="P168" i="34"/>
  <c r="P184" i="34"/>
  <c r="N16" i="45" l="1"/>
  <c r="P102" i="34"/>
  <c r="P118" i="34"/>
  <c r="N24" i="45"/>
  <c r="N9" i="45"/>
  <c r="Q77" i="36"/>
  <c r="Q61" i="36"/>
  <c r="Q168" i="34"/>
  <c r="Q184" i="34"/>
  <c r="O24" i="45" l="1"/>
  <c r="O9" i="45"/>
  <c r="Q118" i="34"/>
  <c r="Q102" i="34"/>
  <c r="O16" i="45"/>
  <c r="R77" i="36"/>
  <c r="R61" i="36"/>
  <c r="R184" i="34"/>
  <c r="R168" i="34"/>
  <c r="R102" i="34" l="1"/>
  <c r="R118" i="34"/>
  <c r="P16" i="45"/>
  <c r="P24" i="45"/>
  <c r="P9" i="45"/>
  <c r="S61" i="36"/>
  <c r="S77" i="36"/>
  <c r="S184" i="34"/>
  <c r="S168" i="34"/>
  <c r="Q24" i="45" l="1"/>
  <c r="Q16" i="45"/>
  <c r="S102" i="34"/>
  <c r="Q9" i="45"/>
  <c r="S118" i="34"/>
  <c r="T77" i="36"/>
  <c r="T61" i="36"/>
  <c r="T184" i="34"/>
  <c r="T168" i="34"/>
  <c r="R9" i="45" l="1"/>
  <c r="T102" i="34"/>
  <c r="R16" i="45"/>
  <c r="T118" i="34"/>
  <c r="R24" i="45"/>
  <c r="U77" i="36"/>
  <c r="U61" i="36"/>
  <c r="U168" i="34"/>
  <c r="U184" i="34"/>
  <c r="U102" i="34" l="1"/>
  <c r="U118" i="34"/>
  <c r="S9" i="45"/>
  <c r="S24" i="45"/>
  <c r="S16" i="45"/>
  <c r="V77" i="36"/>
  <c r="V61" i="36"/>
  <c r="V168" i="34"/>
  <c r="V184" i="34"/>
  <c r="T9" i="45" l="1"/>
  <c r="T24" i="45"/>
  <c r="V118" i="34"/>
  <c r="V102" i="34"/>
  <c r="T16" i="45"/>
  <c r="W77" i="36"/>
  <c r="W61" i="36"/>
  <c r="W168" i="34"/>
  <c r="W184" i="34"/>
  <c r="U24" i="45" l="1"/>
  <c r="W118" i="34"/>
  <c r="U9" i="45"/>
  <c r="U16" i="45"/>
  <c r="W102" i="34"/>
  <c r="X61" i="36"/>
  <c r="X77" i="36"/>
  <c r="X168" i="34"/>
  <c r="X184" i="34"/>
  <c r="X102" i="34" l="1"/>
  <c r="V9" i="45"/>
  <c r="V24" i="45"/>
  <c r="X118" i="34"/>
  <c r="V16" i="45"/>
  <c r="Y61" i="36"/>
  <c r="Y77" i="36"/>
  <c r="Y184" i="34"/>
  <c r="Y168" i="34"/>
  <c r="W9" i="45" l="1"/>
  <c r="Y102" i="34"/>
  <c r="Y118" i="34"/>
  <c r="W24" i="45"/>
  <c r="W16" i="45"/>
  <c r="Z77" i="36"/>
  <c r="Z61" i="36"/>
  <c r="Z168" i="34"/>
  <c r="Z184" i="34"/>
  <c r="Z102" i="34" l="1"/>
  <c r="X24" i="45"/>
  <c r="Z118" i="34"/>
  <c r="X16" i="45"/>
  <c r="X9" i="45"/>
  <c r="AA77" i="36"/>
  <c r="AA61" i="36"/>
  <c r="AA168" i="34"/>
  <c r="AA184" i="34"/>
  <c r="Y9" i="45" l="1"/>
  <c r="Y16" i="45"/>
  <c r="AA102" i="34"/>
  <c r="Y24" i="45"/>
  <c r="AA118" i="34"/>
  <c r="AB77" i="36"/>
  <c r="AB61" i="36"/>
  <c r="AB168" i="34"/>
  <c r="AB184" i="34"/>
  <c r="Z9" i="45" l="1"/>
  <c r="Z24" i="45"/>
  <c r="AB118" i="34"/>
  <c r="AB102" i="34"/>
  <c r="Z16" i="45"/>
  <c r="AC77" i="36"/>
  <c r="AC61" i="36"/>
  <c r="AC168" i="34"/>
  <c r="AC184" i="34"/>
  <c r="AA9" i="45" l="1"/>
  <c r="AC118" i="34"/>
  <c r="AC102" i="34"/>
  <c r="AA24" i="45"/>
  <c r="AA16" i="45"/>
  <c r="AD77" i="36"/>
  <c r="AD61" i="36"/>
  <c r="AD184" i="34"/>
  <c r="AD168" i="34"/>
  <c r="AD118" i="34" l="1"/>
  <c r="AB24" i="45"/>
  <c r="AB9" i="45"/>
  <c r="AD102" i="34"/>
  <c r="AB16" i="45"/>
  <c r="AE61" i="36"/>
  <c r="AE77" i="36"/>
  <c r="AE168" i="34"/>
  <c r="AE184" i="34"/>
  <c r="AE118" i="34" l="1"/>
  <c r="AC9" i="45"/>
  <c r="AE102" i="34"/>
  <c r="AC24" i="45"/>
  <c r="AC16" i="45"/>
  <c r="AF61" i="36"/>
  <c r="AF77" i="36"/>
  <c r="AF168" i="34"/>
  <c r="AF184" i="34"/>
  <c r="AF118" i="34" l="1"/>
  <c r="AD9" i="45"/>
  <c r="AD16" i="45"/>
  <c r="AD24" i="45"/>
  <c r="AF102" i="34"/>
  <c r="AG77" i="36"/>
  <c r="AG61" i="36"/>
  <c r="AG168" i="34"/>
  <c r="AG184" i="34"/>
  <c r="AE16" i="45" l="1"/>
  <c r="AE24" i="45"/>
  <c r="AE9" i="45"/>
  <c r="AG102" i="34"/>
  <c r="AG118" i="34"/>
  <c r="AH77" i="36"/>
  <c r="AH61" i="36"/>
  <c r="AH184" i="34"/>
  <c r="AH168" i="34"/>
  <c r="AF16" i="45" l="1"/>
  <c r="AF24" i="45"/>
  <c r="AF9" i="45"/>
  <c r="AH102" i="34"/>
  <c r="AH118" i="34"/>
  <c r="AI77" i="36"/>
  <c r="AI61" i="36"/>
  <c r="AI184" i="34"/>
  <c r="AI168" i="34"/>
  <c r="AG24" i="45" l="1"/>
  <c r="AI118" i="34"/>
  <c r="AG9" i="45"/>
  <c r="AG16" i="45"/>
  <c r="AI102" i="34"/>
  <c r="AJ77" i="36" l="1"/>
  <c r="AJ168" i="34"/>
  <c r="AJ184" i="34"/>
  <c r="AJ61" i="36"/>
  <c r="AH16" i="45" l="1"/>
  <c r="AH9" i="45"/>
  <c r="AH24" i="45"/>
  <c r="AJ102" i="34"/>
  <c r="AJ118" i="34"/>
  <c r="AK77" i="36"/>
  <c r="AK168" i="34"/>
  <c r="AK184" i="34"/>
  <c r="AK61" i="36"/>
  <c r="AK102" i="34" l="1"/>
  <c r="AI24" i="45"/>
  <c r="AI16" i="45"/>
  <c r="AK118" i="34"/>
  <c r="AI9" i="45"/>
  <c r="AL77" i="36"/>
  <c r="AL168" i="34"/>
  <c r="AL184" i="34"/>
  <c r="AL61" i="36"/>
  <c r="AL102" i="34" l="1"/>
  <c r="AJ9" i="45"/>
  <c r="AJ24" i="45"/>
  <c r="AJ16" i="45"/>
  <c r="AL118" i="34"/>
  <c r="AM77" i="36"/>
  <c r="AM168" i="34"/>
  <c r="AM184" i="34"/>
  <c r="AM61" i="36"/>
  <c r="AM102" i="34" l="1"/>
  <c r="AK24" i="45"/>
  <c r="AK9" i="45"/>
  <c r="AM118" i="34"/>
  <c r="AK16" i="45"/>
  <c r="AN77" i="36"/>
  <c r="AN168" i="34"/>
  <c r="AN184" i="34"/>
  <c r="AN61" i="36"/>
  <c r="AL9" i="45" l="1"/>
  <c r="AN102" i="34"/>
  <c r="AN118" i="34"/>
  <c r="AL24" i="45"/>
  <c r="AL16" i="45"/>
  <c r="AO77" i="36"/>
  <c r="AO168" i="34"/>
  <c r="AO184" i="34"/>
  <c r="AO61" i="36"/>
  <c r="AM16" i="45" l="1"/>
  <c r="AO118" i="34"/>
  <c r="AM9" i="45"/>
  <c r="AO102" i="34"/>
  <c r="AM24" i="45"/>
  <c r="AP77" i="36"/>
  <c r="AP168" i="34"/>
  <c r="AP184" i="34"/>
  <c r="AP61" i="36"/>
  <c r="AP102" i="34" l="1"/>
  <c r="AP118" i="34"/>
  <c r="AN9" i="45"/>
  <c r="AN24" i="45"/>
  <c r="AN16" i="45"/>
  <c r="AQ77" i="36"/>
  <c r="AQ168" i="34"/>
  <c r="AQ184" i="34"/>
  <c r="AQ61" i="36"/>
  <c r="AO9" i="45" l="1"/>
  <c r="AQ118" i="34"/>
  <c r="AO24" i="45"/>
  <c r="AQ102" i="34"/>
  <c r="AO16" i="45"/>
  <c r="AR77" i="36"/>
  <c r="AR168" i="34"/>
  <c r="AR184" i="34"/>
  <c r="AR61" i="36"/>
  <c r="AP16" i="45" l="1"/>
  <c r="AR118" i="34"/>
  <c r="AP24" i="45"/>
  <c r="AR102" i="34"/>
  <c r="AP9" i="45"/>
  <c r="AS77" i="36"/>
  <c r="AS168" i="34"/>
  <c r="AS184" i="34"/>
  <c r="AS61" i="36"/>
  <c r="AQ16" i="45" l="1"/>
  <c r="AS102" i="34"/>
  <c r="AS118" i="34"/>
  <c r="AQ9" i="45"/>
  <c r="AQ24" i="45"/>
  <c r="AT77" i="36"/>
  <c r="AT168" i="34"/>
  <c r="AT184" i="34"/>
  <c r="AT61" i="36"/>
  <c r="AR16" i="45" l="1"/>
  <c r="AT102" i="34"/>
  <c r="AT118" i="34"/>
  <c r="AR9" i="45"/>
  <c r="AR24" i="45"/>
  <c r="AU77" i="36"/>
  <c r="AU168" i="34"/>
  <c r="AU184" i="34"/>
  <c r="AU61" i="36"/>
  <c r="AU102" i="34" l="1"/>
  <c r="AU118" i="34"/>
  <c r="AS16" i="45"/>
  <c r="AS9" i="45"/>
  <c r="AS24" i="45"/>
  <c r="AV77" i="36"/>
  <c r="AV168" i="34"/>
  <c r="AV184" i="34"/>
  <c r="AV61" i="36"/>
  <c r="AV102" i="34" l="1"/>
  <c r="AV118" i="34"/>
  <c r="AT16" i="45"/>
  <c r="AT24" i="45"/>
  <c r="AT9" i="45"/>
  <c r="AW77" i="36"/>
  <c r="AW168" i="34"/>
  <c r="AW184" i="34"/>
  <c r="AW61" i="36"/>
  <c r="AU9" i="45" l="1"/>
  <c r="AW118" i="34"/>
  <c r="AW102" i="34"/>
  <c r="AU24" i="45"/>
  <c r="AU16" i="45"/>
  <c r="AX77" i="36"/>
  <c r="AX168" i="34"/>
  <c r="AX184" i="34"/>
  <c r="AX61" i="36"/>
  <c r="AV9" i="45" l="1"/>
  <c r="AX102" i="34"/>
  <c r="AX118" i="34"/>
  <c r="AV24" i="45"/>
  <c r="AV16" i="45"/>
  <c r="AY77" i="36"/>
  <c r="AY168" i="34"/>
  <c r="AY184" i="34"/>
  <c r="AY61" i="36"/>
  <c r="AY102" i="34" l="1"/>
  <c r="AW9" i="45"/>
  <c r="AW24" i="45"/>
  <c r="AW16" i="45"/>
  <c r="AY118" i="34"/>
  <c r="AZ77" i="36"/>
  <c r="AZ168" i="34"/>
  <c r="AZ184" i="34"/>
  <c r="AZ61" i="36"/>
  <c r="AZ102" i="34" l="1"/>
  <c r="AZ118" i="34"/>
  <c r="AX16" i="45"/>
  <c r="AX24" i="45"/>
  <c r="AX9" i="45"/>
  <c r="BA77" i="36"/>
  <c r="BA168" i="34"/>
  <c r="BA184" i="34"/>
  <c r="BA61" i="36"/>
  <c r="AY9" i="45" l="1"/>
  <c r="BA102" i="34"/>
  <c r="BA118" i="34"/>
  <c r="AY24" i="45"/>
  <c r="AY16" i="45"/>
  <c r="BB77" i="36"/>
  <c r="BB168" i="34"/>
  <c r="BB184" i="34"/>
  <c r="BB61" i="36"/>
  <c r="AZ9" i="45" l="1"/>
  <c r="BB102" i="34"/>
  <c r="BB118" i="34"/>
  <c r="AZ24" i="45"/>
  <c r="AZ16" i="45"/>
  <c r="BC77" i="36"/>
  <c r="BC168" i="34"/>
  <c r="BC184" i="34"/>
  <c r="BC61" i="36"/>
  <c r="BA16" i="45" l="1"/>
  <c r="BC118" i="34"/>
  <c r="BA9" i="45"/>
  <c r="BA24" i="45"/>
  <c r="BC102" i="34"/>
  <c r="BD77" i="36"/>
  <c r="BD168" i="34"/>
  <c r="BD184" i="34"/>
  <c r="BD61" i="36"/>
  <c r="BB16" i="45" l="1"/>
  <c r="BD102" i="34"/>
  <c r="BD118" i="34"/>
  <c r="BB9" i="45"/>
  <c r="BB24" i="45"/>
  <c r="BE77" i="36"/>
  <c r="BE168" i="34"/>
  <c r="BE184" i="34"/>
  <c r="BE61" i="36"/>
  <c r="BC9" i="45" l="1"/>
  <c r="BE102" i="34"/>
  <c r="BE118" i="34"/>
  <c r="BC24" i="45"/>
  <c r="BC16" i="45"/>
  <c r="BF77" i="36"/>
  <c r="BF168" i="34"/>
  <c r="BF184" i="34"/>
  <c r="BF61" i="36"/>
  <c r="BD9" i="45" l="1"/>
  <c r="BF102" i="34"/>
  <c r="BF118" i="34"/>
  <c r="BD16" i="45"/>
  <c r="BD24" i="45"/>
  <c r="BG77" i="36"/>
  <c r="BG168" i="34"/>
  <c r="BG184" i="34"/>
  <c r="BG61" i="36"/>
  <c r="BE9" i="45" l="1"/>
  <c r="BG102" i="34"/>
  <c r="BG118" i="34"/>
  <c r="BE24" i="45"/>
  <c r="BE16" i="45"/>
  <c r="BH77" i="36"/>
  <c r="BH184" i="34"/>
  <c r="BH168" i="34"/>
  <c r="BH61" i="36"/>
  <c r="BH118" i="34" l="1"/>
  <c r="BF24" i="45"/>
  <c r="BF9" i="45"/>
  <c r="BH102" i="34"/>
  <c r="BF16" i="45"/>
  <c r="BI77" i="36"/>
  <c r="BI168" i="34"/>
  <c r="BI184" i="34"/>
  <c r="BI61" i="36"/>
  <c r="BG16" i="45" l="1"/>
  <c r="BI102" i="34"/>
  <c r="BI118" i="34"/>
  <c r="BG9" i="45"/>
  <c r="BG24" i="45"/>
  <c r="BJ77" i="36"/>
  <c r="BJ168" i="34"/>
  <c r="BJ184" i="34"/>
  <c r="BJ61" i="36"/>
  <c r="BH9" i="45" l="1"/>
  <c r="BH16" i="45"/>
  <c r="BJ102" i="34"/>
  <c r="BJ118" i="34"/>
  <c r="BH24" i="45"/>
  <c r="BK77" i="36"/>
  <c r="BK168" i="34"/>
  <c r="BK184" i="34"/>
  <c r="BK61" i="36"/>
  <c r="BI16" i="45" l="1"/>
  <c r="BK102" i="34"/>
  <c r="BK118" i="34"/>
  <c r="BI9" i="45"/>
  <c r="BI24" i="45"/>
  <c r="BL77" i="36"/>
  <c r="BL168" i="34"/>
  <c r="BL184" i="34"/>
  <c r="BL61" i="36"/>
  <c r="BL102" i="34" l="1"/>
  <c r="BJ9" i="45"/>
  <c r="BL118" i="34"/>
  <c r="BJ24" i="45"/>
  <c r="BJ16" i="45"/>
  <c r="BM77" i="36"/>
  <c r="BM168" i="34"/>
  <c r="BM184" i="34"/>
  <c r="BM61" i="36"/>
  <c r="BK16" i="45" l="1"/>
  <c r="BM102" i="34"/>
  <c r="BM118" i="34"/>
  <c r="BK9" i="45"/>
  <c r="BK24" i="45"/>
  <c r="BN77" i="36"/>
  <c r="BN168" i="34"/>
  <c r="BN184" i="34"/>
  <c r="BN61" i="36"/>
  <c r="BL9" i="45" l="1"/>
  <c r="BN102" i="34"/>
  <c r="BN118" i="34"/>
  <c r="BL24" i="45"/>
  <c r="BL16" i="45"/>
  <c r="BP77" i="36"/>
  <c r="BP168" i="34"/>
  <c r="BP184" i="34"/>
  <c r="BO77" i="36"/>
  <c r="BO168" i="34"/>
  <c r="BO184" i="34"/>
  <c r="BP61" i="36"/>
  <c r="BO61" i="36"/>
  <c r="BN16" i="45" l="1"/>
  <c r="BO102" i="34"/>
  <c r="BM24" i="45"/>
  <c r="BP118" i="34"/>
  <c r="BM9" i="45"/>
  <c r="BN9" i="45"/>
  <c r="BM16" i="45"/>
  <c r="BP102" i="34"/>
  <c r="BO118" i="34"/>
  <c r="BN24" i="45"/>
  <c r="G55" i="33"/>
  <c r="F55" i="33"/>
  <c r="F5" i="33"/>
  <c r="E19" i="33"/>
  <c r="E5" i="33"/>
  <c r="E6" i="33" s="1"/>
  <c r="G5" i="33"/>
  <c r="D20" i="36"/>
  <c r="D42" i="46" s="1"/>
  <c r="D21" i="36"/>
  <c r="D43" i="46" s="1"/>
  <c r="D22" i="36"/>
  <c r="D44" i="46" s="1"/>
  <c r="D19" i="36"/>
  <c r="D41" i="46" s="1"/>
  <c r="C19" i="36"/>
  <c r="C17" i="36"/>
  <c r="D16" i="36"/>
  <c r="D38" i="46" s="1"/>
  <c r="C16" i="36"/>
  <c r="D15" i="36"/>
  <c r="D37" i="46" s="1"/>
  <c r="C15" i="36"/>
  <c r="C13" i="36"/>
  <c r="D12" i="36"/>
  <c r="D34" i="46" s="1"/>
  <c r="C11" i="36"/>
  <c r="D10" i="36"/>
  <c r="D32" i="46" s="1"/>
  <c r="D9" i="36"/>
  <c r="D31" i="46" s="1"/>
  <c r="D8" i="36"/>
  <c r="D30" i="46" s="1"/>
  <c r="F6" i="36"/>
  <c r="F5" i="34"/>
  <c r="D6" i="36"/>
  <c r="D28" i="46" s="1"/>
  <c r="D5" i="36"/>
  <c r="D27" i="46" s="1"/>
  <c r="E5" i="36"/>
  <c r="E6" i="36" s="1"/>
  <c r="C5" i="36"/>
  <c r="G5" i="34"/>
  <c r="D55" i="46" l="1"/>
  <c r="E37" i="46"/>
  <c r="D45" i="46"/>
  <c r="E27" i="46"/>
  <c r="D48" i="46"/>
  <c r="E30" i="46"/>
  <c r="D52" i="46"/>
  <c r="E34" i="46"/>
  <c r="D59" i="46"/>
  <c r="E41" i="46"/>
  <c r="D49" i="46"/>
  <c r="E31" i="46"/>
  <c r="D56" i="46"/>
  <c r="E38" i="46"/>
  <c r="D62" i="46"/>
  <c r="E62" i="46" s="1"/>
  <c r="E44" i="46"/>
  <c r="D60" i="46"/>
  <c r="E42" i="46"/>
  <c r="E28" i="46"/>
  <c r="D46" i="46"/>
  <c r="D50" i="46"/>
  <c r="E32" i="46"/>
  <c r="D61" i="46"/>
  <c r="E61" i="46" s="1"/>
  <c r="E43" i="46"/>
  <c r="E20" i="33"/>
  <c r="E38" i="33" s="1"/>
  <c r="E37" i="33"/>
  <c r="G7" i="34"/>
  <c r="G8" i="34" s="1"/>
  <c r="G9" i="34" s="1"/>
  <c r="G10" i="34" s="1"/>
  <c r="G11" i="34" s="1"/>
  <c r="G12" i="34" s="1"/>
  <c r="G13" i="34" s="1"/>
  <c r="G14" i="34" s="1"/>
  <c r="G15" i="34" s="1"/>
  <c r="G16" i="34" s="1"/>
  <c r="G6" i="34"/>
  <c r="F7" i="34"/>
  <c r="F8" i="34" s="1"/>
  <c r="F9" i="34" s="1"/>
  <c r="F10" i="34" s="1"/>
  <c r="F11" i="34" s="1"/>
  <c r="F12" i="34" s="1"/>
  <c r="F13" i="34" s="1"/>
  <c r="F14" i="34" s="1"/>
  <c r="F15" i="34" s="1"/>
  <c r="F16" i="34" s="1"/>
  <c r="F6" i="34"/>
  <c r="C18" i="36"/>
  <c r="F57" i="33"/>
  <c r="F58" i="33" s="1"/>
  <c r="F59" i="33" s="1"/>
  <c r="F60" i="33" s="1"/>
  <c r="F61" i="33" s="1"/>
  <c r="F62" i="33" s="1"/>
  <c r="F63" i="33" s="1"/>
  <c r="F64" i="33" s="1"/>
  <c r="F65" i="33" s="1"/>
  <c r="F66" i="33" s="1"/>
  <c r="F67" i="33" s="1"/>
  <c r="F68" i="33" s="1"/>
  <c r="F69" i="33" s="1"/>
  <c r="F70" i="33" s="1"/>
  <c r="F71" i="33" s="1"/>
  <c r="F56" i="33"/>
  <c r="G57" i="33"/>
  <c r="G58" i="33" s="1"/>
  <c r="G59" i="33" s="1"/>
  <c r="G60" i="33" s="1"/>
  <c r="G61" i="33" s="1"/>
  <c r="G62" i="33" s="1"/>
  <c r="G63" i="33" s="1"/>
  <c r="G64" i="33" s="1"/>
  <c r="G65" i="33" s="1"/>
  <c r="G66" i="33" s="1"/>
  <c r="G67" i="33" s="1"/>
  <c r="G68" i="33" s="1"/>
  <c r="G69" i="33" s="1"/>
  <c r="G70" i="33" s="1"/>
  <c r="G71" i="33" s="1"/>
  <c r="G56" i="33"/>
  <c r="G7" i="33"/>
  <c r="G8" i="33" s="1"/>
  <c r="G9" i="33" s="1"/>
  <c r="G10" i="33" s="1"/>
  <c r="G11" i="33" s="1"/>
  <c r="G12" i="33" s="1"/>
  <c r="G13" i="33" s="1"/>
  <c r="G14" i="33" s="1"/>
  <c r="G15" i="33" s="1"/>
  <c r="G16" i="33" s="1"/>
  <c r="G17" i="33" s="1"/>
  <c r="G6" i="33"/>
  <c r="F7" i="33"/>
  <c r="F8" i="33" s="1"/>
  <c r="F9" i="33" s="1"/>
  <c r="F10" i="33" s="1"/>
  <c r="F11" i="33" s="1"/>
  <c r="F12" i="33" s="1"/>
  <c r="F13" i="33" s="1"/>
  <c r="F14" i="33" s="1"/>
  <c r="F15" i="33" s="1"/>
  <c r="F16" i="33" s="1"/>
  <c r="F17" i="33" s="1"/>
  <c r="F18" i="33" s="1"/>
  <c r="F19" i="33" s="1"/>
  <c r="F6" i="33"/>
  <c r="E8" i="36"/>
  <c r="E9" i="36" s="1"/>
  <c r="E10" i="36" s="1"/>
  <c r="E11" i="36" s="1"/>
  <c r="E12" i="36" s="1"/>
  <c r="E13" i="36" s="1"/>
  <c r="E14" i="36" s="1"/>
  <c r="E15" i="36" s="1"/>
  <c r="E16" i="36" s="1"/>
  <c r="E17" i="36" s="1"/>
  <c r="E18" i="36" s="1"/>
  <c r="E19" i="36" s="1"/>
  <c r="E20" i="36" s="1"/>
  <c r="E21" i="36" s="1"/>
  <c r="E22" i="36" s="1"/>
  <c r="E7" i="36"/>
  <c r="F8" i="36"/>
  <c r="F9" i="36" s="1"/>
  <c r="F10" i="36" s="1"/>
  <c r="F11" i="36" s="1"/>
  <c r="F12" i="36" s="1"/>
  <c r="F13" i="36" s="1"/>
  <c r="F14" i="36" s="1"/>
  <c r="F15" i="36" s="1"/>
  <c r="F16" i="36" s="1"/>
  <c r="F17" i="36" s="1"/>
  <c r="F18" i="36" s="1"/>
  <c r="F19" i="36" s="1"/>
  <c r="F20" i="36" s="1"/>
  <c r="F21" i="36" s="1"/>
  <c r="F22" i="36" s="1"/>
  <c r="F7" i="36"/>
  <c r="C14" i="36"/>
  <c r="E21" i="33"/>
  <c r="E39" i="33" s="1"/>
  <c r="E7" i="33"/>
  <c r="D18" i="33"/>
  <c r="D54" i="33"/>
  <c r="D4" i="33"/>
  <c r="C24" i="33"/>
  <c r="C60" i="33"/>
  <c r="C10" i="33"/>
  <c r="D16" i="33"/>
  <c r="D30" i="33"/>
  <c r="D66" i="33"/>
  <c r="D33" i="33"/>
  <c r="D69" i="33"/>
  <c r="D55" i="33"/>
  <c r="D19" i="33"/>
  <c r="D5" i="33"/>
  <c r="D57" i="33"/>
  <c r="D7" i="33"/>
  <c r="D21" i="33"/>
  <c r="D10" i="33"/>
  <c r="D24" i="33"/>
  <c r="D60" i="33"/>
  <c r="D26" i="33"/>
  <c r="D62" i="33"/>
  <c r="D12" i="33"/>
  <c r="C15" i="33"/>
  <c r="C29" i="33"/>
  <c r="C65" i="33"/>
  <c r="D68" i="33"/>
  <c r="D32" i="33"/>
  <c r="D28" i="33"/>
  <c r="D64" i="33"/>
  <c r="D14" i="33"/>
  <c r="C6" i="36"/>
  <c r="C54" i="33"/>
  <c r="C4" i="33"/>
  <c r="C18" i="33"/>
  <c r="D71" i="33"/>
  <c r="D35" i="33"/>
  <c r="C9" i="36"/>
  <c r="C57" i="33"/>
  <c r="C21" i="33"/>
  <c r="C7" i="33"/>
  <c r="C12" i="33"/>
  <c r="C62" i="33"/>
  <c r="C26" i="33"/>
  <c r="D58" i="33"/>
  <c r="D8" i="33"/>
  <c r="D22" i="33"/>
  <c r="D29" i="33"/>
  <c r="D65" i="33"/>
  <c r="D15" i="33"/>
  <c r="C68" i="33"/>
  <c r="C32" i="33"/>
  <c r="D23" i="33"/>
  <c r="D59" i="33"/>
  <c r="D9" i="33"/>
  <c r="D14" i="36"/>
  <c r="D36" i="46" s="1"/>
  <c r="D61" i="33"/>
  <c r="D11" i="33"/>
  <c r="D25" i="33"/>
  <c r="C64" i="33"/>
  <c r="C14" i="33"/>
  <c r="C28" i="33"/>
  <c r="C30" i="33"/>
  <c r="C66" i="33"/>
  <c r="C16" i="33"/>
  <c r="D31" i="33"/>
  <c r="D67" i="33"/>
  <c r="D17" i="33"/>
  <c r="C20" i="36"/>
  <c r="D34" i="33"/>
  <c r="D70" i="33"/>
  <c r="D67" i="46" l="1"/>
  <c r="E49" i="46"/>
  <c r="D70" i="46"/>
  <c r="E52" i="46"/>
  <c r="E45" i="46"/>
  <c r="D63" i="46"/>
  <c r="E46" i="46"/>
  <c r="D64" i="46"/>
  <c r="D54" i="46"/>
  <c r="E36" i="46"/>
  <c r="D68" i="46"/>
  <c r="E50" i="46"/>
  <c r="D78" i="46"/>
  <c r="E60" i="46"/>
  <c r="D74" i="46"/>
  <c r="E56" i="46"/>
  <c r="D77" i="46"/>
  <c r="E59" i="46"/>
  <c r="E48" i="46"/>
  <c r="D66" i="46"/>
  <c r="D73" i="46"/>
  <c r="E55" i="46"/>
  <c r="D11" i="34"/>
  <c r="D41" i="34"/>
  <c r="D15" i="34"/>
  <c r="D8" i="34"/>
  <c r="C12" i="34"/>
  <c r="C4" i="34"/>
  <c r="D46" i="34"/>
  <c r="C47" i="34"/>
  <c r="D44" i="34"/>
  <c r="D10" i="34"/>
  <c r="D5" i="34"/>
  <c r="C10" i="34"/>
  <c r="D36" i="34"/>
  <c r="C16" i="34"/>
  <c r="C14" i="34"/>
  <c r="D43" i="34"/>
  <c r="D47" i="34"/>
  <c r="D40" i="34"/>
  <c r="C7" i="34"/>
  <c r="C36" i="34"/>
  <c r="D48" i="34"/>
  <c r="C42" i="34"/>
  <c r="D17" i="34"/>
  <c r="C48" i="34"/>
  <c r="C46" i="34"/>
  <c r="D53" i="34"/>
  <c r="C15" i="34"/>
  <c r="D42" i="34"/>
  <c r="D7" i="34"/>
  <c r="D37" i="34"/>
  <c r="D52" i="34"/>
  <c r="D49" i="34"/>
  <c r="D9" i="34"/>
  <c r="C50" i="34"/>
  <c r="C44" i="34"/>
  <c r="C39" i="34"/>
  <c r="D14" i="34"/>
  <c r="D50" i="34"/>
  <c r="D12" i="34"/>
  <c r="D39" i="34"/>
  <c r="D51" i="34"/>
  <c r="D16" i="34"/>
  <c r="D4" i="34"/>
  <c r="D34" i="34"/>
  <c r="D52" i="33"/>
  <c r="D31" i="34"/>
  <c r="D49" i="33"/>
  <c r="C28" i="34"/>
  <c r="C46" i="33"/>
  <c r="D33" i="34"/>
  <c r="D51" i="33"/>
  <c r="D23" i="34"/>
  <c r="D41" i="33"/>
  <c r="D35" i="34"/>
  <c r="D53" i="33"/>
  <c r="D28" i="34"/>
  <c r="D46" i="33"/>
  <c r="C29" i="34"/>
  <c r="C47" i="33"/>
  <c r="D26" i="34"/>
  <c r="D44" i="33"/>
  <c r="D21" i="34"/>
  <c r="D39" i="33"/>
  <c r="D19" i="34"/>
  <c r="D37" i="33"/>
  <c r="D18" i="34"/>
  <c r="D36" i="33"/>
  <c r="C32" i="34"/>
  <c r="C50" i="33"/>
  <c r="D29" i="34"/>
  <c r="D47" i="33"/>
  <c r="C26" i="34"/>
  <c r="C44" i="33"/>
  <c r="C21" i="34"/>
  <c r="C39" i="33"/>
  <c r="D32" i="34"/>
  <c r="D50" i="33"/>
  <c r="D30" i="34"/>
  <c r="D48" i="33"/>
  <c r="C24" i="34"/>
  <c r="C42" i="33"/>
  <c r="C30" i="34"/>
  <c r="C48" i="33"/>
  <c r="D25" i="34"/>
  <c r="D43" i="33"/>
  <c r="D22" i="34"/>
  <c r="D40" i="33"/>
  <c r="C18" i="34"/>
  <c r="C36" i="33"/>
  <c r="D24" i="34"/>
  <c r="D42" i="33"/>
  <c r="F17" i="34"/>
  <c r="F18" i="34" s="1"/>
  <c r="F19" i="34" s="1"/>
  <c r="G17" i="34"/>
  <c r="G18" i="34" s="1"/>
  <c r="G19" i="34" s="1"/>
  <c r="F21" i="33"/>
  <c r="F22" i="33" s="1"/>
  <c r="F23" i="33" s="1"/>
  <c r="F24" i="33" s="1"/>
  <c r="F25" i="33" s="1"/>
  <c r="F26" i="33" s="1"/>
  <c r="F27" i="33" s="1"/>
  <c r="F28" i="33" s="1"/>
  <c r="F29" i="33" s="1"/>
  <c r="F30" i="33" s="1"/>
  <c r="F31" i="33" s="1"/>
  <c r="F32" i="33" s="1"/>
  <c r="F33" i="33" s="1"/>
  <c r="F34" i="33" s="1"/>
  <c r="F35" i="33" s="1"/>
  <c r="F20" i="33"/>
  <c r="C10" i="36"/>
  <c r="G37" i="34"/>
  <c r="E22" i="33"/>
  <c r="E40" i="33" s="1"/>
  <c r="E8" i="33"/>
  <c r="C61" i="33"/>
  <c r="C11" i="33"/>
  <c r="C25" i="33"/>
  <c r="C69" i="33"/>
  <c r="C33" i="33"/>
  <c r="C21" i="36"/>
  <c r="C19" i="33"/>
  <c r="C55" i="33"/>
  <c r="C5" i="33"/>
  <c r="C58" i="33"/>
  <c r="C8" i="33"/>
  <c r="C22" i="33"/>
  <c r="D63" i="33"/>
  <c r="D13" i="33"/>
  <c r="D27" i="33"/>
  <c r="E64" i="46" l="1"/>
  <c r="D80" i="46"/>
  <c r="E80" i="46" s="1"/>
  <c r="D90" i="46"/>
  <c r="E90" i="46" s="1"/>
  <c r="E74" i="46"/>
  <c r="D84" i="46"/>
  <c r="E84" i="46" s="1"/>
  <c r="E68" i="46"/>
  <c r="D86" i="46"/>
  <c r="E86" i="46" s="1"/>
  <c r="E70" i="46"/>
  <c r="D82" i="46"/>
  <c r="E82" i="46" s="1"/>
  <c r="E66" i="46"/>
  <c r="D79" i="46"/>
  <c r="E79" i="46" s="1"/>
  <c r="E63" i="46"/>
  <c r="D89" i="46"/>
  <c r="E89" i="46" s="1"/>
  <c r="E73" i="46"/>
  <c r="D93" i="46"/>
  <c r="E93" i="46" s="1"/>
  <c r="E77" i="46"/>
  <c r="D94" i="46"/>
  <c r="E94" i="46" s="1"/>
  <c r="E78" i="46"/>
  <c r="D72" i="46"/>
  <c r="E54" i="46"/>
  <c r="D83" i="46"/>
  <c r="E83" i="46" s="1"/>
  <c r="E67" i="46"/>
  <c r="C8" i="34"/>
  <c r="C40" i="34"/>
  <c r="C11" i="34"/>
  <c r="D13" i="34"/>
  <c r="D45" i="34"/>
  <c r="C5" i="34"/>
  <c r="C43" i="34"/>
  <c r="C37" i="34"/>
  <c r="C51" i="34"/>
  <c r="C23" i="33"/>
  <c r="C41" i="33" s="1"/>
  <c r="C22" i="34"/>
  <c r="C40" i="33"/>
  <c r="C33" i="34"/>
  <c r="C51" i="33"/>
  <c r="D27" i="34"/>
  <c r="D45" i="33"/>
  <c r="C19" i="34"/>
  <c r="C37" i="33"/>
  <c r="C25" i="34"/>
  <c r="C43" i="33"/>
  <c r="G39" i="34"/>
  <c r="G40" i="34" s="1"/>
  <c r="G41" i="34" s="1"/>
  <c r="G42" i="34" s="1"/>
  <c r="G43" i="34" s="1"/>
  <c r="G44" i="34" s="1"/>
  <c r="G45" i="34" s="1"/>
  <c r="G46" i="34" s="1"/>
  <c r="G47" i="34" s="1"/>
  <c r="G48" i="34" s="1"/>
  <c r="G49" i="34" s="1"/>
  <c r="G50" i="34" s="1"/>
  <c r="G51" i="34" s="1"/>
  <c r="G52" i="34" s="1"/>
  <c r="G53" i="34" s="1"/>
  <c r="G38" i="34"/>
  <c r="G21" i="34"/>
  <c r="G22" i="34" s="1"/>
  <c r="G23" i="34" s="1"/>
  <c r="G24" i="34" s="1"/>
  <c r="G25" i="34" s="1"/>
  <c r="G26" i="34" s="1"/>
  <c r="G27" i="34" s="1"/>
  <c r="G28" i="34" s="1"/>
  <c r="G29" i="34" s="1"/>
  <c r="G30" i="34" s="1"/>
  <c r="G31" i="34" s="1"/>
  <c r="G32" i="34" s="1"/>
  <c r="G33" i="34" s="1"/>
  <c r="G34" i="34" s="1"/>
  <c r="G35" i="34" s="1"/>
  <c r="G20" i="34"/>
  <c r="F21" i="34"/>
  <c r="F22" i="34" s="1"/>
  <c r="F23" i="34" s="1"/>
  <c r="F24" i="34" s="1"/>
  <c r="F25" i="34" s="1"/>
  <c r="F26" i="34" s="1"/>
  <c r="F27" i="34" s="1"/>
  <c r="F28" i="34" s="1"/>
  <c r="F29" i="34" s="1"/>
  <c r="F30" i="34" s="1"/>
  <c r="F31" i="34" s="1"/>
  <c r="F32" i="34" s="1"/>
  <c r="F33" i="34" s="1"/>
  <c r="F34" i="34" s="1"/>
  <c r="F35" i="34" s="1"/>
  <c r="F20" i="34"/>
  <c r="C9" i="33"/>
  <c r="C59" i="33"/>
  <c r="E23" i="33"/>
  <c r="E41" i="33" s="1"/>
  <c r="E9" i="33"/>
  <c r="C63" i="33"/>
  <c r="C27" i="33"/>
  <c r="C13" i="33"/>
  <c r="C67" i="33"/>
  <c r="C17" i="33"/>
  <c r="C31" i="33"/>
  <c r="C22" i="36"/>
  <c r="C34" i="33"/>
  <c r="C70" i="33"/>
  <c r="E72" i="46" l="1"/>
  <c r="D88" i="46"/>
  <c r="E88" i="46" s="1"/>
  <c r="C52" i="34"/>
  <c r="C9" i="34"/>
  <c r="C49" i="34"/>
  <c r="C13" i="34"/>
  <c r="C23" i="34"/>
  <c r="C45" i="34"/>
  <c r="C41" i="34"/>
  <c r="C17" i="34"/>
  <c r="C31" i="34"/>
  <c r="C49" i="33"/>
  <c r="C27" i="34"/>
  <c r="C45" i="33"/>
  <c r="C34" i="34"/>
  <c r="C52" i="33"/>
  <c r="E24" i="33"/>
  <c r="E10" i="33"/>
  <c r="E11" i="33" s="1"/>
  <c r="E12" i="33" s="1"/>
  <c r="E13" i="33" s="1"/>
  <c r="E14" i="33" s="1"/>
  <c r="E15" i="33" s="1"/>
  <c r="E16" i="33" s="1"/>
  <c r="E17" i="33" s="1"/>
  <c r="C71" i="33"/>
  <c r="C35" i="33"/>
  <c r="C53" i="34" l="1"/>
  <c r="D57" i="36"/>
  <c r="D61" i="36"/>
  <c r="D54" i="36"/>
  <c r="D55" i="36"/>
  <c r="D64" i="36"/>
  <c r="D50" i="36"/>
  <c r="D65" i="36"/>
  <c r="D53" i="36"/>
  <c r="D51" i="36"/>
  <c r="D60" i="36"/>
  <c r="E25" i="33"/>
  <c r="E42" i="33"/>
  <c r="C35" i="34"/>
  <c r="C53" i="33"/>
  <c r="E51" i="36" l="1"/>
  <c r="D67" i="36"/>
  <c r="D92" i="34"/>
  <c r="D94" i="34"/>
  <c r="D69" i="36"/>
  <c r="E53" i="36"/>
  <c r="E61" i="36"/>
  <c r="D102" i="34"/>
  <c r="D77" i="36"/>
  <c r="E50" i="36"/>
  <c r="D66" i="36"/>
  <c r="D91" i="34"/>
  <c r="E60" i="36"/>
  <c r="D101" i="34"/>
  <c r="D76" i="36"/>
  <c r="D59" i="36"/>
  <c r="E65" i="36"/>
  <c r="D106" i="34"/>
  <c r="D81" i="36"/>
  <c r="E64" i="36"/>
  <c r="D80" i="36"/>
  <c r="D105" i="34"/>
  <c r="D95" i="34"/>
  <c r="E54" i="36"/>
  <c r="D70" i="36"/>
  <c r="E57" i="36"/>
  <c r="D98" i="34"/>
  <c r="D73" i="36"/>
  <c r="E55" i="36"/>
  <c r="D96" i="34"/>
  <c r="D71" i="36"/>
  <c r="E26" i="33"/>
  <c r="E43" i="33"/>
  <c r="E71" i="36" l="1"/>
  <c r="D162" i="34"/>
  <c r="D211" i="33"/>
  <c r="E211" i="33" s="1"/>
  <c r="E76" i="36"/>
  <c r="D167" i="34"/>
  <c r="D216" i="33"/>
  <c r="E216" i="33" s="1"/>
  <c r="E66" i="36"/>
  <c r="D206" i="33"/>
  <c r="E206" i="33" s="1"/>
  <c r="D157" i="34"/>
  <c r="H71" i="36"/>
  <c r="H55" i="36"/>
  <c r="H178" i="34"/>
  <c r="F54" i="45" s="1"/>
  <c r="H162" i="34"/>
  <c r="F53" i="45" s="1"/>
  <c r="E70" i="36"/>
  <c r="D210" i="33"/>
  <c r="E210" i="33" s="1"/>
  <c r="D161" i="34"/>
  <c r="E80" i="36"/>
  <c r="D171" i="34"/>
  <c r="D220" i="33"/>
  <c r="E220" i="33" s="1"/>
  <c r="E67" i="36"/>
  <c r="D158" i="34"/>
  <c r="D207" i="33"/>
  <c r="E207" i="33" s="1"/>
  <c r="E81" i="36"/>
  <c r="D172" i="34"/>
  <c r="D221" i="33"/>
  <c r="E221" i="33" s="1"/>
  <c r="E73" i="36"/>
  <c r="D164" i="34"/>
  <c r="D213" i="33"/>
  <c r="E213" i="33" s="1"/>
  <c r="E77" i="36"/>
  <c r="D168" i="34"/>
  <c r="D217" i="33"/>
  <c r="E217" i="33" s="1"/>
  <c r="E69" i="36"/>
  <c r="D160" i="34"/>
  <c r="D209" i="33"/>
  <c r="E209" i="33" s="1"/>
  <c r="D111" i="34"/>
  <c r="E111" i="34" s="1"/>
  <c r="E95" i="34"/>
  <c r="D107" i="34"/>
  <c r="E107" i="34" s="1"/>
  <c r="E91" i="34"/>
  <c r="D118" i="34"/>
  <c r="E118" i="34" s="1"/>
  <c r="E102" i="34"/>
  <c r="E94" i="34"/>
  <c r="D110" i="34"/>
  <c r="E110" i="34" s="1"/>
  <c r="D112" i="34"/>
  <c r="E112" i="34" s="1"/>
  <c r="E96" i="34"/>
  <c r="E105" i="34"/>
  <c r="D121" i="34"/>
  <c r="E121" i="34" s="1"/>
  <c r="D122" i="34"/>
  <c r="E122" i="34" s="1"/>
  <c r="E106" i="34"/>
  <c r="D108" i="34"/>
  <c r="E108" i="34" s="1"/>
  <c r="E92" i="34"/>
  <c r="D75" i="36"/>
  <c r="E59" i="36"/>
  <c r="D100" i="34"/>
  <c r="D114" i="34"/>
  <c r="E114" i="34" s="1"/>
  <c r="E98" i="34"/>
  <c r="E101" i="34"/>
  <c r="D117" i="34"/>
  <c r="E117" i="34" s="1"/>
  <c r="E27" i="33"/>
  <c r="E44" i="33"/>
  <c r="F17" i="45" l="1"/>
  <c r="H14" i="45"/>
  <c r="G22" i="45"/>
  <c r="F13" i="45"/>
  <c r="F23" i="45"/>
  <c r="F25" i="45"/>
  <c r="H22" i="45"/>
  <c r="F14" i="45"/>
  <c r="F8" i="45"/>
  <c r="F21" i="45"/>
  <c r="H7" i="45"/>
  <c r="F22" i="45"/>
  <c r="G7" i="45"/>
  <c r="F10" i="45"/>
  <c r="F7" i="45"/>
  <c r="G14" i="45"/>
  <c r="F15" i="45"/>
  <c r="F6" i="45"/>
  <c r="F52" i="45"/>
  <c r="F67" i="45" s="1"/>
  <c r="F18" i="45"/>
  <c r="F26" i="45"/>
  <c r="E172" i="34"/>
  <c r="D188" i="34"/>
  <c r="E188" i="34" s="1"/>
  <c r="D177" i="34"/>
  <c r="E177" i="34" s="1"/>
  <c r="E161" i="34"/>
  <c r="E75" i="36"/>
  <c r="D166" i="34"/>
  <c r="D215" i="33"/>
  <c r="E215" i="33" s="1"/>
  <c r="D180" i="34"/>
  <c r="E180" i="34" s="1"/>
  <c r="E164" i="34"/>
  <c r="H96" i="34"/>
  <c r="F45" i="45" s="1"/>
  <c r="H138" i="34"/>
  <c r="H142" i="34"/>
  <c r="I71" i="36"/>
  <c r="I55" i="36"/>
  <c r="I162" i="34"/>
  <c r="G53" i="45" s="1"/>
  <c r="I178" i="34"/>
  <c r="G54" i="45" s="1"/>
  <c r="D184" i="34"/>
  <c r="E184" i="34" s="1"/>
  <c r="E168" i="34"/>
  <c r="E171" i="34"/>
  <c r="D187" i="34"/>
  <c r="E187" i="34" s="1"/>
  <c r="H112" i="34"/>
  <c r="F47" i="45" s="1"/>
  <c r="H139" i="34"/>
  <c r="H143" i="34"/>
  <c r="D178" i="34"/>
  <c r="E178" i="34" s="1"/>
  <c r="E162" i="34"/>
  <c r="D176" i="34"/>
  <c r="E176" i="34" s="1"/>
  <c r="E160" i="34"/>
  <c r="E158" i="34"/>
  <c r="D174" i="34"/>
  <c r="E174" i="34" s="1"/>
  <c r="D173" i="34"/>
  <c r="E173" i="34" s="1"/>
  <c r="E157" i="34"/>
  <c r="E167" i="34"/>
  <c r="D183" i="34"/>
  <c r="E183" i="34" s="1"/>
  <c r="D116" i="34"/>
  <c r="E116" i="34" s="1"/>
  <c r="E100" i="34"/>
  <c r="E28" i="33"/>
  <c r="E45" i="33"/>
  <c r="F51" i="45" l="1"/>
  <c r="G25" i="45"/>
  <c r="I22" i="45"/>
  <c r="G8" i="45"/>
  <c r="G13" i="45"/>
  <c r="G18" i="45"/>
  <c r="G17" i="45"/>
  <c r="G6" i="45"/>
  <c r="I14" i="45"/>
  <c r="G15" i="45"/>
  <c r="G23" i="45"/>
  <c r="G26" i="45"/>
  <c r="G10" i="45"/>
  <c r="G21" i="45"/>
  <c r="I7" i="45"/>
  <c r="G52" i="45"/>
  <c r="G67" i="45" s="1"/>
  <c r="F50" i="45"/>
  <c r="F43" i="45"/>
  <c r="F65" i="45" s="1"/>
  <c r="I96" i="34"/>
  <c r="G45" i="45" s="1"/>
  <c r="I142" i="34"/>
  <c r="I138" i="34"/>
  <c r="D182" i="34"/>
  <c r="E182" i="34" s="1"/>
  <c r="E166" i="34"/>
  <c r="J71" i="36"/>
  <c r="J55" i="36"/>
  <c r="J162" i="34"/>
  <c r="H53" i="45" s="1"/>
  <c r="J178" i="34"/>
  <c r="H54" i="45" s="1"/>
  <c r="I112" i="34"/>
  <c r="G47" i="45" s="1"/>
  <c r="I139" i="34"/>
  <c r="I143" i="34"/>
  <c r="E29" i="33"/>
  <c r="E46" i="33"/>
  <c r="G51" i="45" l="1"/>
  <c r="H26" i="45"/>
  <c r="H17" i="45"/>
  <c r="H15" i="45"/>
  <c r="H13" i="45"/>
  <c r="H18" i="45"/>
  <c r="H6" i="45"/>
  <c r="H10" i="45"/>
  <c r="H8" i="45"/>
  <c r="J14" i="45"/>
  <c r="H21" i="45"/>
  <c r="J22" i="45"/>
  <c r="H25" i="45"/>
  <c r="H23" i="45"/>
  <c r="J7" i="45"/>
  <c r="F49" i="45"/>
  <c r="F66" i="45" s="1"/>
  <c r="F72" i="45" s="1"/>
  <c r="G43" i="45"/>
  <c r="G65" i="45" s="1"/>
  <c r="H52" i="45"/>
  <c r="H67" i="45" s="1"/>
  <c r="G50" i="45"/>
  <c r="J96" i="34"/>
  <c r="H45" i="45" s="1"/>
  <c r="J138" i="34"/>
  <c r="J142" i="34"/>
  <c r="J112" i="34"/>
  <c r="H47" i="45" s="1"/>
  <c r="J143" i="34"/>
  <c r="J139" i="34"/>
  <c r="K71" i="36"/>
  <c r="K55" i="36"/>
  <c r="K178" i="34"/>
  <c r="I54" i="45" s="1"/>
  <c r="K162" i="34"/>
  <c r="I53" i="45" s="1"/>
  <c r="E30" i="33"/>
  <c r="E47" i="33"/>
  <c r="H51" i="45" l="1"/>
  <c r="H43" i="45"/>
  <c r="H65" i="45" s="1"/>
  <c r="G49" i="45"/>
  <c r="G66" i="45" s="1"/>
  <c r="G72" i="45" s="1"/>
  <c r="I26" i="45"/>
  <c r="I21" i="45"/>
  <c r="I6" i="45"/>
  <c r="K7" i="45"/>
  <c r="I8" i="45"/>
  <c r="I10" i="45"/>
  <c r="I23" i="45"/>
  <c r="I25" i="45"/>
  <c r="I15" i="45"/>
  <c r="I17" i="45"/>
  <c r="K22" i="45"/>
  <c r="I13" i="45"/>
  <c r="K14" i="45"/>
  <c r="I18" i="45"/>
  <c r="I52" i="45"/>
  <c r="I67" i="45" s="1"/>
  <c r="H50" i="45"/>
  <c r="L71" i="36"/>
  <c r="L55" i="36"/>
  <c r="L178" i="34"/>
  <c r="J54" i="45" s="1"/>
  <c r="L162" i="34"/>
  <c r="J53" i="45" s="1"/>
  <c r="K112" i="34"/>
  <c r="I47" i="45" s="1"/>
  <c r="K143" i="34"/>
  <c r="K139" i="34"/>
  <c r="K96" i="34"/>
  <c r="I45" i="45" s="1"/>
  <c r="K142" i="34"/>
  <c r="K138" i="34"/>
  <c r="E31" i="33"/>
  <c r="E48" i="33"/>
  <c r="I51" i="45" l="1"/>
  <c r="J15" i="45"/>
  <c r="J13" i="45"/>
  <c r="L22" i="45"/>
  <c r="J8" i="45"/>
  <c r="I50" i="45"/>
  <c r="J26" i="45"/>
  <c r="J6" i="45"/>
  <c r="J10" i="45"/>
  <c r="J23" i="45"/>
  <c r="L7" i="45"/>
  <c r="J17" i="45"/>
  <c r="J18" i="45"/>
  <c r="J25" i="45"/>
  <c r="L14" i="45"/>
  <c r="J21" i="45"/>
  <c r="H49" i="45"/>
  <c r="H66" i="45" s="1"/>
  <c r="H72" i="45" s="1"/>
  <c r="I43" i="45"/>
  <c r="I65" i="45" s="1"/>
  <c r="J52" i="45"/>
  <c r="J67" i="45" s="1"/>
  <c r="M71" i="36"/>
  <c r="M55" i="36"/>
  <c r="M178" i="34"/>
  <c r="K54" i="45" s="1"/>
  <c r="M162" i="34"/>
  <c r="K53" i="45" s="1"/>
  <c r="L96" i="34"/>
  <c r="J45" i="45" s="1"/>
  <c r="L138" i="34"/>
  <c r="L142" i="34"/>
  <c r="L112" i="34"/>
  <c r="J47" i="45" s="1"/>
  <c r="L139" i="34"/>
  <c r="L143" i="34"/>
  <c r="E32" i="33"/>
  <c r="E49" i="33"/>
  <c r="J51" i="45" l="1"/>
  <c r="I49" i="45"/>
  <c r="I66" i="45" s="1"/>
  <c r="I72" i="45" s="1"/>
  <c r="K10" i="45"/>
  <c r="K26" i="45"/>
  <c r="K21" i="45"/>
  <c r="K8" i="45"/>
  <c r="M7" i="45"/>
  <c r="K6" i="45"/>
  <c r="M14" i="45"/>
  <c r="K17" i="45"/>
  <c r="K15" i="45"/>
  <c r="M22" i="45"/>
  <c r="K25" i="45"/>
  <c r="K23" i="45"/>
  <c r="K18" i="45"/>
  <c r="K13" i="45"/>
  <c r="J50" i="45"/>
  <c r="J43" i="45"/>
  <c r="J65" i="45" s="1"/>
  <c r="K52" i="45"/>
  <c r="K67" i="45" s="1"/>
  <c r="M96" i="34"/>
  <c r="K45" i="45" s="1"/>
  <c r="M138" i="34"/>
  <c r="M142" i="34"/>
  <c r="N55" i="36"/>
  <c r="N71" i="36"/>
  <c r="N178" i="34"/>
  <c r="L54" i="45" s="1"/>
  <c r="N162" i="34"/>
  <c r="L53" i="45" s="1"/>
  <c r="M112" i="34"/>
  <c r="K47" i="45" s="1"/>
  <c r="M143" i="34"/>
  <c r="M139" i="34"/>
  <c r="E33" i="33"/>
  <c r="E50" i="33"/>
  <c r="K51" i="45" l="1"/>
  <c r="L10" i="45"/>
  <c r="L8" i="45"/>
  <c r="N14" i="45"/>
  <c r="L26" i="45"/>
  <c r="L23" i="45"/>
  <c r="N22" i="45"/>
  <c r="L21" i="45"/>
  <c r="L17" i="45"/>
  <c r="L25" i="45"/>
  <c r="L6" i="45"/>
  <c r="L15" i="45"/>
  <c r="N7" i="45"/>
  <c r="L13" i="45"/>
  <c r="L18" i="45"/>
  <c r="L52" i="45"/>
  <c r="L67" i="45" s="1"/>
  <c r="J49" i="45"/>
  <c r="J66" i="45" s="1"/>
  <c r="J72" i="45" s="1"/>
  <c r="K43" i="45"/>
  <c r="K65" i="45" s="1"/>
  <c r="K50" i="45"/>
  <c r="O71" i="36"/>
  <c r="O55" i="36"/>
  <c r="O162" i="34"/>
  <c r="M53" i="45" s="1"/>
  <c r="O178" i="34"/>
  <c r="M54" i="45" s="1"/>
  <c r="N112" i="34"/>
  <c r="L47" i="45" s="1"/>
  <c r="N139" i="34"/>
  <c r="N143" i="34"/>
  <c r="N96" i="34"/>
  <c r="L45" i="45" s="1"/>
  <c r="N138" i="34"/>
  <c r="N142" i="34"/>
  <c r="E34" i="33"/>
  <c r="E51" i="33"/>
  <c r="L51" i="45" l="1"/>
  <c r="L50" i="45"/>
  <c r="M21" i="45"/>
  <c r="M23" i="45"/>
  <c r="M26" i="45"/>
  <c r="O22" i="45"/>
  <c r="L43" i="45"/>
  <c r="L65" i="45" s="1"/>
  <c r="M15" i="45"/>
  <c r="M18" i="45"/>
  <c r="M25" i="45"/>
  <c r="O7" i="45"/>
  <c r="M13" i="45"/>
  <c r="M10" i="45"/>
  <c r="M8" i="45"/>
  <c r="M6" i="45"/>
  <c r="M17" i="45"/>
  <c r="O14" i="45"/>
  <c r="M52" i="45"/>
  <c r="M67" i="45" s="1"/>
  <c r="K49" i="45"/>
  <c r="K66" i="45" s="1"/>
  <c r="K72" i="45" s="1"/>
  <c r="O96" i="34"/>
  <c r="M45" i="45" s="1"/>
  <c r="O142" i="34"/>
  <c r="O138" i="34"/>
  <c r="O112" i="34"/>
  <c r="M47" i="45" s="1"/>
  <c r="O139" i="34"/>
  <c r="O143" i="34"/>
  <c r="P71" i="36"/>
  <c r="P55" i="36"/>
  <c r="P178" i="34"/>
  <c r="N54" i="45" s="1"/>
  <c r="P162" i="34"/>
  <c r="N53" i="45" s="1"/>
  <c r="E35" i="33"/>
  <c r="E52" i="33"/>
  <c r="M51" i="45" l="1"/>
  <c r="L49" i="45"/>
  <c r="L66" i="45" s="1"/>
  <c r="L72" i="45" s="1"/>
  <c r="N13" i="45"/>
  <c r="P14" i="45"/>
  <c r="N6" i="45"/>
  <c r="N17" i="45"/>
  <c r="N8" i="45"/>
  <c r="N15" i="45"/>
  <c r="P7" i="45"/>
  <c r="N21" i="45"/>
  <c r="N25" i="45"/>
  <c r="N23" i="45"/>
  <c r="N18" i="45"/>
  <c r="P22" i="45"/>
  <c r="N26" i="45"/>
  <c r="N10" i="45"/>
  <c r="M50" i="45"/>
  <c r="N52" i="45"/>
  <c r="N67" i="45" s="1"/>
  <c r="M43" i="45"/>
  <c r="M65" i="45" s="1"/>
  <c r="Q71" i="36"/>
  <c r="Q55" i="36"/>
  <c r="Q162" i="34"/>
  <c r="O53" i="45" s="1"/>
  <c r="Q178" i="34"/>
  <c r="O54" i="45" s="1"/>
  <c r="P96" i="34"/>
  <c r="N45" i="45" s="1"/>
  <c r="P138" i="34"/>
  <c r="P142" i="34"/>
  <c r="P112" i="34"/>
  <c r="N47" i="45" s="1"/>
  <c r="P139" i="34"/>
  <c r="P143" i="34"/>
  <c r="E54" i="33"/>
  <c r="E55" i="33" s="1"/>
  <c r="E56" i="33" s="1"/>
  <c r="E53" i="33"/>
  <c r="N51" i="45" l="1"/>
  <c r="O15" i="45"/>
  <c r="O18" i="45"/>
  <c r="O8" i="45"/>
  <c r="O26" i="45"/>
  <c r="Q7" i="45"/>
  <c r="O25" i="45"/>
  <c r="O23" i="45"/>
  <c r="O13" i="45"/>
  <c r="Q14" i="45"/>
  <c r="O17" i="45"/>
  <c r="O21" i="45"/>
  <c r="Q22" i="45"/>
  <c r="O10" i="45"/>
  <c r="O6" i="45"/>
  <c r="M49" i="45"/>
  <c r="M66" i="45" s="1"/>
  <c r="M72" i="45" s="1"/>
  <c r="O52" i="45"/>
  <c r="O67" i="45" s="1"/>
  <c r="N50" i="45"/>
  <c r="N43" i="45"/>
  <c r="N65" i="45" s="1"/>
  <c r="Q96" i="34"/>
  <c r="O45" i="45" s="1"/>
  <c r="Q142" i="34"/>
  <c r="Q138" i="34"/>
  <c r="R71" i="36"/>
  <c r="R55" i="36"/>
  <c r="R178" i="34"/>
  <c r="P54" i="45" s="1"/>
  <c r="R162" i="34"/>
  <c r="P53" i="45" s="1"/>
  <c r="Q112" i="34"/>
  <c r="O47" i="45" s="1"/>
  <c r="Q143" i="34"/>
  <c r="Q139" i="34"/>
  <c r="O51" i="45" l="1"/>
  <c r="N49" i="45"/>
  <c r="N66" i="45" s="1"/>
  <c r="N72" i="45" s="1"/>
  <c r="P13" i="45"/>
  <c r="R14" i="45"/>
  <c r="P8" i="45"/>
  <c r="P6" i="45"/>
  <c r="P18" i="45"/>
  <c r="P17" i="45"/>
  <c r="R22" i="45"/>
  <c r="P23" i="45"/>
  <c r="P10" i="45"/>
  <c r="P21" i="45"/>
  <c r="P26" i="45"/>
  <c r="R7" i="45"/>
  <c r="P15" i="45"/>
  <c r="P25" i="45"/>
  <c r="O43" i="45"/>
  <c r="O65" i="45" s="1"/>
  <c r="P52" i="45"/>
  <c r="P67" i="45" s="1"/>
  <c r="O50" i="45"/>
  <c r="R112" i="34"/>
  <c r="P47" i="45" s="1"/>
  <c r="R143" i="34"/>
  <c r="R139" i="34"/>
  <c r="S71" i="36"/>
  <c r="S55" i="36"/>
  <c r="S178" i="34"/>
  <c r="Q54" i="45" s="1"/>
  <c r="S162" i="34"/>
  <c r="Q53" i="45" s="1"/>
  <c r="R96" i="34"/>
  <c r="P45" i="45" s="1"/>
  <c r="R138" i="34"/>
  <c r="R142" i="34"/>
  <c r="P51" i="45" l="1"/>
  <c r="S22" i="45"/>
  <c r="S7" i="45"/>
  <c r="Q18" i="45"/>
  <c r="Q6" i="45"/>
  <c r="Q10" i="45"/>
  <c r="Q26" i="45"/>
  <c r="Q21" i="45"/>
  <c r="Q17" i="45"/>
  <c r="Q8" i="45"/>
  <c r="O49" i="45"/>
  <c r="O66" i="45" s="1"/>
  <c r="O72" i="45" s="1"/>
  <c r="Q13" i="45"/>
  <c r="Q15" i="45"/>
  <c r="S14" i="45"/>
  <c r="Q25" i="45"/>
  <c r="Q23" i="45"/>
  <c r="P50" i="45"/>
  <c r="P43" i="45"/>
  <c r="P65" i="45" s="1"/>
  <c r="Q52" i="45"/>
  <c r="Q67" i="45" s="1"/>
  <c r="T55" i="36"/>
  <c r="T71" i="36"/>
  <c r="T162" i="34"/>
  <c r="R53" i="45" s="1"/>
  <c r="T178" i="34"/>
  <c r="R54" i="45" s="1"/>
  <c r="S96" i="34"/>
  <c r="Q45" i="45" s="1"/>
  <c r="S142" i="34"/>
  <c r="S138" i="34"/>
  <c r="S112" i="34"/>
  <c r="Q47" i="45" s="1"/>
  <c r="S139" i="34"/>
  <c r="S143" i="34"/>
  <c r="P49" i="45" l="1"/>
  <c r="P66" i="45" s="1"/>
  <c r="P72" i="45" s="1"/>
  <c r="Q51" i="45"/>
  <c r="R8" i="45"/>
  <c r="R23" i="45"/>
  <c r="T7" i="45"/>
  <c r="R21" i="45"/>
  <c r="R18" i="45"/>
  <c r="T22" i="45"/>
  <c r="R17" i="45"/>
  <c r="R15" i="45"/>
  <c r="R26" i="45"/>
  <c r="R10" i="45"/>
  <c r="R13" i="45"/>
  <c r="T14" i="45"/>
  <c r="R25" i="45"/>
  <c r="R6" i="45"/>
  <c r="Q50" i="45"/>
  <c r="R52" i="45"/>
  <c r="R67" i="45" s="1"/>
  <c r="Q43" i="45"/>
  <c r="Q65" i="45" s="1"/>
  <c r="T112" i="34"/>
  <c r="R47" i="45" s="1"/>
  <c r="T143" i="34"/>
  <c r="T139" i="34"/>
  <c r="U71" i="36"/>
  <c r="U55" i="36"/>
  <c r="U162" i="34"/>
  <c r="S53" i="45" s="1"/>
  <c r="U178" i="34"/>
  <c r="S54" i="45" s="1"/>
  <c r="T96" i="34"/>
  <c r="R45" i="45" s="1"/>
  <c r="T142" i="34"/>
  <c r="T138" i="34"/>
  <c r="R51" i="45" l="1"/>
  <c r="Q49" i="45"/>
  <c r="Q66" i="45" s="1"/>
  <c r="Q72" i="45" s="1"/>
  <c r="S13" i="45"/>
  <c r="S15" i="45"/>
  <c r="S26" i="45"/>
  <c r="S10" i="45"/>
  <c r="S23" i="45"/>
  <c r="U14" i="45"/>
  <c r="S8" i="45"/>
  <c r="S17" i="45"/>
  <c r="S21" i="45"/>
  <c r="S25" i="45"/>
  <c r="S6" i="45"/>
  <c r="U22" i="45"/>
  <c r="S18" i="45"/>
  <c r="U7" i="45"/>
  <c r="R43" i="45"/>
  <c r="R65" i="45" s="1"/>
  <c r="R50" i="45"/>
  <c r="S52" i="45"/>
  <c r="S67" i="45" s="1"/>
  <c r="U96" i="34"/>
  <c r="S45" i="45" s="1"/>
  <c r="U138" i="34"/>
  <c r="U142" i="34"/>
  <c r="V71" i="36"/>
  <c r="V55" i="36"/>
  <c r="V162" i="34"/>
  <c r="T53" i="45" s="1"/>
  <c r="V178" i="34"/>
  <c r="T54" i="45" s="1"/>
  <c r="U112" i="34"/>
  <c r="S47" i="45" s="1"/>
  <c r="U139" i="34"/>
  <c r="U143" i="34"/>
  <c r="S51" i="45" l="1"/>
  <c r="R49" i="45"/>
  <c r="R66" i="45" s="1"/>
  <c r="R72" i="45" s="1"/>
  <c r="T26" i="45"/>
  <c r="T6" i="45"/>
  <c r="T10" i="45"/>
  <c r="V22" i="45"/>
  <c r="T8" i="45"/>
  <c r="T18" i="45"/>
  <c r="T17" i="45"/>
  <c r="V14" i="45"/>
  <c r="T15" i="45"/>
  <c r="T13" i="45"/>
  <c r="T25" i="45"/>
  <c r="T23" i="45"/>
  <c r="T21" i="45"/>
  <c r="V7" i="45"/>
  <c r="S43" i="45"/>
  <c r="S65" i="45" s="1"/>
  <c r="T52" i="45"/>
  <c r="T67" i="45" s="1"/>
  <c r="S50" i="45"/>
  <c r="W71" i="36"/>
  <c r="W55" i="36"/>
  <c r="W178" i="34"/>
  <c r="U54" i="45" s="1"/>
  <c r="W162" i="34"/>
  <c r="U53" i="45" s="1"/>
  <c r="V112" i="34"/>
  <c r="T47" i="45" s="1"/>
  <c r="V143" i="34"/>
  <c r="V139" i="34"/>
  <c r="V96" i="34"/>
  <c r="T45" i="45" s="1"/>
  <c r="V138" i="34"/>
  <c r="V142" i="34"/>
  <c r="T51" i="45" l="1"/>
  <c r="W22" i="45"/>
  <c r="U23" i="45"/>
  <c r="U17" i="45"/>
  <c r="U18" i="45"/>
  <c r="U25" i="45"/>
  <c r="W14" i="45"/>
  <c r="U6" i="45"/>
  <c r="U15" i="45"/>
  <c r="U10" i="45"/>
  <c r="U26" i="45"/>
  <c r="U13" i="45"/>
  <c r="W7" i="45"/>
  <c r="U21" i="45"/>
  <c r="U8" i="45"/>
  <c r="U52" i="45"/>
  <c r="U67" i="45" s="1"/>
  <c r="S49" i="45"/>
  <c r="S66" i="45" s="1"/>
  <c r="S72" i="45" s="1"/>
  <c r="T50" i="45"/>
  <c r="T43" i="45"/>
  <c r="T65" i="45" s="1"/>
  <c r="X71" i="36"/>
  <c r="X55" i="36"/>
  <c r="X162" i="34"/>
  <c r="V53" i="45" s="1"/>
  <c r="X178" i="34"/>
  <c r="V54" i="45" s="1"/>
  <c r="W96" i="34"/>
  <c r="U45" i="45" s="1"/>
  <c r="W142" i="34"/>
  <c r="W138" i="34"/>
  <c r="W112" i="34"/>
  <c r="U47" i="45" s="1"/>
  <c r="W139" i="34"/>
  <c r="W143" i="34"/>
  <c r="E57" i="33"/>
  <c r="U51" i="45" l="1"/>
  <c r="T49" i="45"/>
  <c r="T66" i="45" s="1"/>
  <c r="T72" i="45" s="1"/>
  <c r="X14" i="45"/>
  <c r="V8" i="45"/>
  <c r="X7" i="45"/>
  <c r="V25" i="45"/>
  <c r="X22" i="45"/>
  <c r="V18" i="45"/>
  <c r="V10" i="45"/>
  <c r="V13" i="45"/>
  <c r="V17" i="45"/>
  <c r="V21" i="45"/>
  <c r="V23" i="45"/>
  <c r="V26" i="45"/>
  <c r="V15" i="45"/>
  <c r="V6" i="45"/>
  <c r="U50" i="45"/>
  <c r="V52" i="45"/>
  <c r="V67" i="45" s="1"/>
  <c r="U43" i="45"/>
  <c r="U65" i="45" s="1"/>
  <c r="Y71" i="36"/>
  <c r="Y55" i="36"/>
  <c r="Y162" i="34"/>
  <c r="W53" i="45" s="1"/>
  <c r="Y178" i="34"/>
  <c r="W54" i="45" s="1"/>
  <c r="X96" i="34"/>
  <c r="V45" i="45" s="1"/>
  <c r="X142" i="34"/>
  <c r="X138" i="34"/>
  <c r="X112" i="34"/>
  <c r="V47" i="45" s="1"/>
  <c r="X143" i="34"/>
  <c r="X139" i="34"/>
  <c r="E58" i="33"/>
  <c r="V51" i="45" l="1"/>
  <c r="W26" i="45"/>
  <c r="W8" i="45"/>
  <c r="W17" i="45"/>
  <c r="W13" i="45"/>
  <c r="W18" i="45"/>
  <c r="W15" i="45"/>
  <c r="W6" i="45"/>
  <c r="Y14" i="45"/>
  <c r="W10" i="45"/>
  <c r="Y7" i="45"/>
  <c r="Y22" i="45"/>
  <c r="W25" i="45"/>
  <c r="W23" i="45"/>
  <c r="W21" i="45"/>
  <c r="V50" i="45"/>
  <c r="U49" i="45"/>
  <c r="U66" i="45" s="1"/>
  <c r="U72" i="45" s="1"/>
  <c r="W52" i="45"/>
  <c r="W67" i="45" s="1"/>
  <c r="V43" i="45"/>
  <c r="V65" i="45" s="1"/>
  <c r="Z71" i="36"/>
  <c r="Z55" i="36"/>
  <c r="Z162" i="34"/>
  <c r="X53" i="45" s="1"/>
  <c r="Z178" i="34"/>
  <c r="X54" i="45" s="1"/>
  <c r="Y96" i="34"/>
  <c r="W45" i="45" s="1"/>
  <c r="Y142" i="34"/>
  <c r="Y138" i="34"/>
  <c r="Y112" i="34"/>
  <c r="W47" i="45" s="1"/>
  <c r="Y143" i="34"/>
  <c r="Y139" i="34"/>
  <c r="E59" i="33"/>
  <c r="W51" i="45" l="1"/>
  <c r="X13" i="45"/>
  <c r="Z22" i="45"/>
  <c r="X21" i="45"/>
  <c r="X15" i="45"/>
  <c r="Z14" i="45"/>
  <c r="X17" i="45"/>
  <c r="X8" i="45"/>
  <c r="V49" i="45"/>
  <c r="V66" i="45" s="1"/>
  <c r="V72" i="45" s="1"/>
  <c r="X18" i="45"/>
  <c r="X10" i="45"/>
  <c r="X26" i="45"/>
  <c r="X6" i="45"/>
  <c r="Z7" i="45"/>
  <c r="X25" i="45"/>
  <c r="X23" i="45"/>
  <c r="X52" i="45"/>
  <c r="X67" i="45" s="1"/>
  <c r="W50" i="45"/>
  <c r="W43" i="45"/>
  <c r="W65" i="45" s="1"/>
  <c r="AA71" i="36"/>
  <c r="AA55" i="36"/>
  <c r="AA162" i="34"/>
  <c r="Y53" i="45" s="1"/>
  <c r="AA178" i="34"/>
  <c r="Y54" i="45" s="1"/>
  <c r="Z96" i="34"/>
  <c r="X45" i="45" s="1"/>
  <c r="Z142" i="34"/>
  <c r="Z138" i="34"/>
  <c r="Z112" i="34"/>
  <c r="X47" i="45" s="1"/>
  <c r="Z143" i="34"/>
  <c r="Z139" i="34"/>
  <c r="E60" i="33"/>
  <c r="E61" i="33" s="1"/>
  <c r="E62" i="33" s="1"/>
  <c r="E63" i="33" s="1"/>
  <c r="E64" i="33" s="1"/>
  <c r="E65" i="33" s="1"/>
  <c r="E66" i="33" s="1"/>
  <c r="E67" i="33" s="1"/>
  <c r="E68" i="33" s="1"/>
  <c r="E69" i="33" s="1"/>
  <c r="E70" i="33" s="1"/>
  <c r="E71" i="33" s="1"/>
  <c r="X51" i="45" l="1"/>
  <c r="Y25" i="45"/>
  <c r="AA14" i="45"/>
  <c r="Y18" i="45"/>
  <c r="Y10" i="45"/>
  <c r="Y21" i="45"/>
  <c r="Y15" i="45"/>
  <c r="AA7" i="45"/>
  <c r="Y13" i="45"/>
  <c r="Y26" i="45"/>
  <c r="W49" i="45"/>
  <c r="W66" i="45" s="1"/>
  <c r="W72" i="45" s="1"/>
  <c r="Y23" i="45"/>
  <c r="Y17" i="45"/>
  <c r="Y8" i="45"/>
  <c r="AA22" i="45"/>
  <c r="Y6" i="45"/>
  <c r="X50" i="45"/>
  <c r="Y52" i="45"/>
  <c r="Y67" i="45" s="1"/>
  <c r="X43" i="45"/>
  <c r="X65" i="45" s="1"/>
  <c r="AA96" i="34"/>
  <c r="Y45" i="45" s="1"/>
  <c r="AA138" i="34"/>
  <c r="AA142" i="34"/>
  <c r="AB71" i="36"/>
  <c r="AB55" i="36"/>
  <c r="AB162" i="34"/>
  <c r="Z53" i="45" s="1"/>
  <c r="AB178" i="34"/>
  <c r="Z54" i="45" s="1"/>
  <c r="AA112" i="34"/>
  <c r="Y47" i="45" s="1"/>
  <c r="AA143" i="34"/>
  <c r="AA139" i="34"/>
  <c r="Y51" i="45" l="1"/>
  <c r="X49" i="45"/>
  <c r="X66" i="45" s="1"/>
  <c r="X72" i="45" s="1"/>
  <c r="Z8" i="45"/>
  <c r="Z25" i="45"/>
  <c r="AB22" i="45"/>
  <c r="Z18" i="45"/>
  <c r="Z21" i="45"/>
  <c r="AB7" i="45"/>
  <c r="Z6" i="45"/>
  <c r="Z15" i="45"/>
  <c r="Z10" i="45"/>
  <c r="Z26" i="45"/>
  <c r="Z17" i="45"/>
  <c r="Z23" i="45"/>
  <c r="AB14" i="45"/>
  <c r="Z13" i="45"/>
  <c r="Y43" i="45"/>
  <c r="Y65" i="45" s="1"/>
  <c r="Y50" i="45"/>
  <c r="Z52" i="45"/>
  <c r="Z67" i="45" s="1"/>
  <c r="AB96" i="34"/>
  <c r="Z45" i="45" s="1"/>
  <c r="AB142" i="34"/>
  <c r="AB138" i="34"/>
  <c r="AC71" i="36"/>
  <c r="AC55" i="36"/>
  <c r="AC162" i="34"/>
  <c r="AA53" i="45" s="1"/>
  <c r="AC178" i="34"/>
  <c r="AA54" i="45" s="1"/>
  <c r="AB112" i="34"/>
  <c r="Z47" i="45" s="1"/>
  <c r="AB139" i="34"/>
  <c r="AB143" i="34"/>
  <c r="Z51" i="45" l="1"/>
  <c r="AC7" i="45"/>
  <c r="AA26" i="45"/>
  <c r="AC22" i="45"/>
  <c r="AA10" i="45"/>
  <c r="AA13" i="45"/>
  <c r="AA8" i="45"/>
  <c r="AA25" i="45"/>
  <c r="AA21" i="45"/>
  <c r="AA15" i="45"/>
  <c r="AC14" i="45"/>
  <c r="AA18" i="45"/>
  <c r="AA6" i="45"/>
  <c r="AA23" i="45"/>
  <c r="AA17" i="45"/>
  <c r="Y49" i="45"/>
  <c r="Y66" i="45" s="1"/>
  <c r="Y72" i="45" s="1"/>
  <c r="AA52" i="45"/>
  <c r="AA67" i="45" s="1"/>
  <c r="Z43" i="45"/>
  <c r="Z65" i="45" s="1"/>
  <c r="Z50" i="45"/>
  <c r="AC96" i="34"/>
  <c r="AA45" i="45" s="1"/>
  <c r="AC138" i="34"/>
  <c r="AC142" i="34"/>
  <c r="AD55" i="36"/>
  <c r="AD71" i="36"/>
  <c r="AD178" i="34"/>
  <c r="AB54" i="45" s="1"/>
  <c r="AD162" i="34"/>
  <c r="AB53" i="45" s="1"/>
  <c r="AC112" i="34"/>
  <c r="AA47" i="45" s="1"/>
  <c r="AC139" i="34"/>
  <c r="AC143" i="34"/>
  <c r="AA51" i="45" l="1"/>
  <c r="AD14" i="45"/>
  <c r="AB17" i="45"/>
  <c r="AD22" i="45"/>
  <c r="AB15" i="45"/>
  <c r="AB10" i="45"/>
  <c r="AD7" i="45"/>
  <c r="AB13" i="45"/>
  <c r="AB18" i="45"/>
  <c r="AB23" i="45"/>
  <c r="AB21" i="45"/>
  <c r="AB26" i="45"/>
  <c r="AB6" i="45"/>
  <c r="AB8" i="45"/>
  <c r="AB25" i="45"/>
  <c r="AA43" i="45"/>
  <c r="AA65" i="45" s="1"/>
  <c r="AB52" i="45"/>
  <c r="AB67" i="45" s="1"/>
  <c r="Z49" i="45"/>
  <c r="Z66" i="45" s="1"/>
  <c r="AE71" i="36"/>
  <c r="AE55" i="36"/>
  <c r="AE178" i="34"/>
  <c r="AC54" i="45" s="1"/>
  <c r="AE162" i="34"/>
  <c r="AC53" i="45" s="1"/>
  <c r="AA50" i="45"/>
  <c r="AD112" i="34"/>
  <c r="AB47" i="45" s="1"/>
  <c r="AD143" i="34"/>
  <c r="AD139" i="34"/>
  <c r="AD96" i="34"/>
  <c r="AB45" i="45" s="1"/>
  <c r="AD142" i="34"/>
  <c r="AD138" i="34"/>
  <c r="AB51" i="45" l="1"/>
  <c r="AC21" i="45"/>
  <c r="AC8" i="45"/>
  <c r="AE22" i="45"/>
  <c r="AC13" i="45"/>
  <c r="AC10" i="45"/>
  <c r="AC26" i="45"/>
  <c r="AC23" i="45"/>
  <c r="AC25" i="45"/>
  <c r="AC15" i="45"/>
  <c r="AE7" i="45"/>
  <c r="AC6" i="45"/>
  <c r="AC17" i="45"/>
  <c r="AC18" i="45"/>
  <c r="AE14" i="45"/>
  <c r="AB50" i="45"/>
  <c r="AA49" i="45"/>
  <c r="AA66" i="45" s="1"/>
  <c r="AC52" i="45"/>
  <c r="AC67" i="45" s="1"/>
  <c r="AB43" i="45"/>
  <c r="AB65" i="45" s="1"/>
  <c r="AF71" i="36"/>
  <c r="AF55" i="36"/>
  <c r="AF162" i="34"/>
  <c r="AD53" i="45" s="1"/>
  <c r="AF178" i="34"/>
  <c r="AD54" i="45" s="1"/>
  <c r="AE96" i="34"/>
  <c r="AC45" i="45" s="1"/>
  <c r="AE142" i="34"/>
  <c r="AE138" i="34"/>
  <c r="AE112" i="34"/>
  <c r="AC47" i="45" s="1"/>
  <c r="AE139" i="34"/>
  <c r="AE143" i="34"/>
  <c r="AC51" i="45" l="1"/>
  <c r="AD23" i="45"/>
  <c r="AF22" i="45"/>
  <c r="AD18" i="45"/>
  <c r="AD10" i="45"/>
  <c r="AD6" i="45"/>
  <c r="AD26" i="45"/>
  <c r="AD15" i="45"/>
  <c r="AF7" i="45"/>
  <c r="AD21" i="45"/>
  <c r="AD25" i="45"/>
  <c r="AF14" i="45"/>
  <c r="AD13" i="45"/>
  <c r="AD17" i="45"/>
  <c r="AD8" i="45"/>
  <c r="AB49" i="45"/>
  <c r="AB66" i="45" s="1"/>
  <c r="AD52" i="45"/>
  <c r="AD67" i="45" s="1"/>
  <c r="AC50" i="45"/>
  <c r="AC43" i="45"/>
  <c r="AC65" i="45" s="1"/>
  <c r="AF96" i="34"/>
  <c r="AD45" i="45" s="1"/>
  <c r="AF138" i="34"/>
  <c r="AF142" i="34"/>
  <c r="AG71" i="36"/>
  <c r="AG55" i="36"/>
  <c r="AG162" i="34"/>
  <c r="AE53" i="45" s="1"/>
  <c r="AG178" i="34"/>
  <c r="AE54" i="45" s="1"/>
  <c r="AF112" i="34"/>
  <c r="AD47" i="45" s="1"/>
  <c r="AF139" i="34"/>
  <c r="AF143" i="34"/>
  <c r="AD51" i="45" l="1"/>
  <c r="AE25" i="45"/>
  <c r="AE10" i="45"/>
  <c r="AG22" i="45"/>
  <c r="AE26" i="45"/>
  <c r="AE15" i="45"/>
  <c r="AE23" i="45"/>
  <c r="AG7" i="45"/>
  <c r="AE18" i="45"/>
  <c r="AE13" i="45"/>
  <c r="AE6" i="45"/>
  <c r="AE17" i="45"/>
  <c r="AE8" i="45"/>
  <c r="AG14" i="45"/>
  <c r="AE21" i="45"/>
  <c r="AC49" i="45"/>
  <c r="AC66" i="45" s="1"/>
  <c r="AE52" i="45"/>
  <c r="AE67" i="45" s="1"/>
  <c r="AD43" i="45"/>
  <c r="AD65" i="45" s="1"/>
  <c r="AD50" i="45"/>
  <c r="AH71" i="36"/>
  <c r="AH55" i="36"/>
  <c r="AH178" i="34"/>
  <c r="AF54" i="45" s="1"/>
  <c r="AH162" i="34"/>
  <c r="AF53" i="45" s="1"/>
  <c r="AG96" i="34"/>
  <c r="AE45" i="45" s="1"/>
  <c r="AG142" i="34"/>
  <c r="AG138" i="34"/>
  <c r="AG112" i="34"/>
  <c r="AE47" i="45" s="1"/>
  <c r="AG143" i="34"/>
  <c r="AG139" i="34"/>
  <c r="AE51" i="45" l="1"/>
  <c r="AF6" i="45"/>
  <c r="AF25" i="45"/>
  <c r="AF15" i="45"/>
  <c r="AF13" i="45"/>
  <c r="AF26" i="45"/>
  <c r="AF21" i="45"/>
  <c r="AF17" i="45"/>
  <c r="AF8" i="45"/>
  <c r="AF18" i="45"/>
  <c r="AF10" i="45"/>
  <c r="AF23" i="45"/>
  <c r="AE43" i="45"/>
  <c r="AE65" i="45" s="1"/>
  <c r="AF52" i="45"/>
  <c r="AF67" i="45" s="1"/>
  <c r="AD49" i="45"/>
  <c r="AD66" i="45" s="1"/>
  <c r="AI71" i="36"/>
  <c r="AI55" i="36"/>
  <c r="AI178" i="34"/>
  <c r="AG54" i="45" s="1"/>
  <c r="AI162" i="34"/>
  <c r="AG53" i="45" s="1"/>
  <c r="AH96" i="34"/>
  <c r="AF45" i="45" s="1"/>
  <c r="AH138" i="34"/>
  <c r="AH142" i="34"/>
  <c r="AH112" i="34"/>
  <c r="AF47" i="45" s="1"/>
  <c r="AH139" i="34"/>
  <c r="AH143" i="34"/>
  <c r="AE50" i="45"/>
  <c r="AF51" i="45" l="1"/>
  <c r="AG8" i="45"/>
  <c r="AG26" i="45"/>
  <c r="AG23" i="45"/>
  <c r="AG10" i="45"/>
  <c r="AG21" i="45"/>
  <c r="AG13" i="45"/>
  <c r="AG17" i="45"/>
  <c r="AG15" i="45"/>
  <c r="AG6" i="45"/>
  <c r="AG25" i="45"/>
  <c r="AG18" i="45"/>
  <c r="AG52" i="45"/>
  <c r="AG67" i="45" s="1"/>
  <c r="AE49" i="45"/>
  <c r="AE66" i="45" s="1"/>
  <c r="AF43" i="45"/>
  <c r="AF65" i="45" s="1"/>
  <c r="AF50" i="45"/>
  <c r="AI96" i="34"/>
  <c r="AG45" i="45" s="1"/>
  <c r="AI138" i="34"/>
  <c r="AI142" i="34"/>
  <c r="AI112" i="34"/>
  <c r="AG47" i="45" s="1"/>
  <c r="AI143" i="34"/>
  <c r="AI139" i="34"/>
  <c r="AG51" i="45" l="1"/>
  <c r="AG43" i="45"/>
  <c r="AG65" i="45" s="1"/>
  <c r="AF49" i="45"/>
  <c r="AF66" i="45" s="1"/>
  <c r="AG50" i="45"/>
  <c r="AG49" i="45" l="1"/>
  <c r="AG66" i="45" s="1"/>
  <c r="AH22" i="45" l="1"/>
  <c r="AH14" i="45" l="1"/>
  <c r="AH7" i="45"/>
  <c r="AI22" i="45"/>
  <c r="AH23" i="45" l="1"/>
  <c r="AI14" i="45"/>
  <c r="AI7" i="45"/>
  <c r="AH21" i="45"/>
  <c r="AJ22" i="45"/>
  <c r="AH25" i="45"/>
  <c r="AJ71" i="36"/>
  <c r="AJ162" i="34"/>
  <c r="AH53" i="45" s="1"/>
  <c r="AJ178" i="34"/>
  <c r="AH54" i="45" s="1"/>
  <c r="AJ55" i="36"/>
  <c r="AI23" i="45" l="1"/>
  <c r="AH8" i="45"/>
  <c r="AH15" i="45"/>
  <c r="AH6" i="45"/>
  <c r="AJ14" i="45"/>
  <c r="AI21" i="45"/>
  <c r="AK22" i="45"/>
  <c r="AH13" i="45"/>
  <c r="AJ7" i="45"/>
  <c r="AI25" i="45"/>
  <c r="AH18" i="45"/>
  <c r="AH26" i="45"/>
  <c r="AH17" i="45"/>
  <c r="AH10" i="45"/>
  <c r="AJ142" i="34"/>
  <c r="AJ143" i="34"/>
  <c r="AH52" i="45"/>
  <c r="AH67" i="45" s="1"/>
  <c r="AJ139" i="34"/>
  <c r="AJ112" i="34"/>
  <c r="AH47" i="45" s="1"/>
  <c r="AK71" i="36"/>
  <c r="AK162" i="34"/>
  <c r="AI53" i="45" s="1"/>
  <c r="AK178" i="34"/>
  <c r="AI54" i="45" s="1"/>
  <c r="AJ96" i="34"/>
  <c r="AJ138" i="34"/>
  <c r="AK55" i="36"/>
  <c r="AI15" i="45" l="1"/>
  <c r="AI8" i="45"/>
  <c r="AJ23" i="45"/>
  <c r="AL22" i="45"/>
  <c r="AI17" i="45"/>
  <c r="AI6" i="45"/>
  <c r="AI10" i="45"/>
  <c r="AI13" i="45"/>
  <c r="AK142" i="34"/>
  <c r="AJ25" i="45"/>
  <c r="AK14" i="45"/>
  <c r="AI26" i="45"/>
  <c r="AK143" i="34"/>
  <c r="AJ21" i="45"/>
  <c r="AK7" i="45"/>
  <c r="AI18" i="45"/>
  <c r="AI52" i="45"/>
  <c r="AI67" i="45" s="1"/>
  <c r="AK112" i="34"/>
  <c r="AI47" i="45" s="1"/>
  <c r="AK139" i="34"/>
  <c r="AL71" i="36"/>
  <c r="AL162" i="34"/>
  <c r="AJ53" i="45" s="1"/>
  <c r="AL178" i="34"/>
  <c r="AJ54" i="45" s="1"/>
  <c r="AK96" i="34"/>
  <c r="AI45" i="45" s="1"/>
  <c r="AK138" i="34"/>
  <c r="AL55" i="36"/>
  <c r="AI51" i="45" l="1"/>
  <c r="AJ15" i="45"/>
  <c r="AJ8" i="45"/>
  <c r="AK23" i="45"/>
  <c r="AJ17" i="45"/>
  <c r="AL14" i="45"/>
  <c r="AJ6" i="45"/>
  <c r="AL7" i="45"/>
  <c r="AL142" i="34"/>
  <c r="AJ10" i="45"/>
  <c r="AK25" i="45"/>
  <c r="AJ26" i="45"/>
  <c r="AL143" i="34"/>
  <c r="AM22" i="45"/>
  <c r="AJ13" i="45"/>
  <c r="AK21" i="45"/>
  <c r="AJ18" i="45"/>
  <c r="AJ52" i="45"/>
  <c r="AJ67" i="45" s="1"/>
  <c r="AI43" i="45"/>
  <c r="AI65" i="45" s="1"/>
  <c r="AI50" i="45"/>
  <c r="AL139" i="34"/>
  <c r="AL112" i="34"/>
  <c r="AJ47" i="45" s="1"/>
  <c r="AM71" i="36"/>
  <c r="AM162" i="34"/>
  <c r="AK53" i="45" s="1"/>
  <c r="AM178" i="34"/>
  <c r="AK54" i="45" s="1"/>
  <c r="AL96" i="34"/>
  <c r="AJ45" i="45" s="1"/>
  <c r="AL138" i="34"/>
  <c r="AM55" i="36"/>
  <c r="AI49" i="45" l="1"/>
  <c r="AI66" i="45" s="1"/>
  <c r="AJ51" i="45"/>
  <c r="AK15" i="45"/>
  <c r="AK8" i="45"/>
  <c r="AL23" i="45"/>
  <c r="AN22" i="45"/>
  <c r="AK17" i="45"/>
  <c r="AK13" i="45"/>
  <c r="AM142" i="34"/>
  <c r="AM7" i="45"/>
  <c r="AK18" i="45"/>
  <c r="AK10" i="45"/>
  <c r="AK6" i="45"/>
  <c r="AL21" i="45"/>
  <c r="AL25" i="45"/>
  <c r="AM14" i="45"/>
  <c r="AK26" i="45"/>
  <c r="AM143" i="34"/>
  <c r="AJ43" i="45"/>
  <c r="AJ65" i="45" s="1"/>
  <c r="AK52" i="45"/>
  <c r="AK67" i="45" s="1"/>
  <c r="AJ50" i="45"/>
  <c r="AM139" i="34"/>
  <c r="AM112" i="34"/>
  <c r="AK47" i="45" s="1"/>
  <c r="AN71" i="36"/>
  <c r="AN178" i="34"/>
  <c r="AL54" i="45" s="1"/>
  <c r="AN162" i="34"/>
  <c r="AL53" i="45" s="1"/>
  <c r="AM96" i="34"/>
  <c r="AK45" i="45" s="1"/>
  <c r="AM138" i="34"/>
  <c r="AN55" i="36"/>
  <c r="AK51" i="45" l="1"/>
  <c r="AJ49" i="45"/>
  <c r="AJ66" i="45" s="1"/>
  <c r="AM23" i="45"/>
  <c r="AL8" i="45"/>
  <c r="AL15" i="45"/>
  <c r="AL17" i="45"/>
  <c r="AN142" i="34"/>
  <c r="AM21" i="45"/>
  <c r="AL6" i="45"/>
  <c r="AN7" i="45"/>
  <c r="AL18" i="45"/>
  <c r="AL10" i="45"/>
  <c r="AO22" i="45"/>
  <c r="AM25" i="45"/>
  <c r="AL13" i="45"/>
  <c r="AN14" i="45"/>
  <c r="AL26" i="45"/>
  <c r="AN143" i="34"/>
  <c r="AK43" i="45"/>
  <c r="AK65" i="45" s="1"/>
  <c r="AL52" i="45"/>
  <c r="AL67" i="45" s="1"/>
  <c r="AK50" i="45"/>
  <c r="AN139" i="34"/>
  <c r="AN112" i="34"/>
  <c r="AL47" i="45" s="1"/>
  <c r="AO71" i="36"/>
  <c r="AO162" i="34"/>
  <c r="AM53" i="45" s="1"/>
  <c r="AO178" i="34"/>
  <c r="AM54" i="45" s="1"/>
  <c r="AN96" i="34"/>
  <c r="AL45" i="45" s="1"/>
  <c r="AN138" i="34"/>
  <c r="AO55" i="36"/>
  <c r="AL51" i="45" l="1"/>
  <c r="AK49" i="45"/>
  <c r="AK66" i="45" s="1"/>
  <c r="AN23" i="45"/>
  <c r="AM8" i="45"/>
  <c r="AM15" i="45"/>
  <c r="AM18" i="45"/>
  <c r="AO142" i="34"/>
  <c r="AM17" i="45"/>
  <c r="AO14" i="45"/>
  <c r="AM13" i="45"/>
  <c r="AM10" i="45"/>
  <c r="AO7" i="45"/>
  <c r="AM6" i="45"/>
  <c r="AN21" i="45"/>
  <c r="AP22" i="45"/>
  <c r="AN25" i="45"/>
  <c r="AM26" i="45"/>
  <c r="AO143" i="34"/>
  <c r="AL43" i="45"/>
  <c r="AL65" i="45" s="1"/>
  <c r="AM52" i="45"/>
  <c r="AM67" i="45" s="1"/>
  <c r="AL50" i="45"/>
  <c r="AO139" i="34"/>
  <c r="AO112" i="34"/>
  <c r="AM47" i="45" s="1"/>
  <c r="AP71" i="36"/>
  <c r="AP162" i="34"/>
  <c r="AN53" i="45" s="1"/>
  <c r="AP178" i="34"/>
  <c r="AN54" i="45" s="1"/>
  <c r="AO96" i="34"/>
  <c r="AM45" i="45" s="1"/>
  <c r="AO138" i="34"/>
  <c r="AP55" i="36"/>
  <c r="AM51" i="45" l="1"/>
  <c r="AL49" i="45"/>
  <c r="AL66" i="45" s="1"/>
  <c r="AN15" i="45"/>
  <c r="AO23" i="45"/>
  <c r="AN8" i="45"/>
  <c r="AN18" i="45"/>
  <c r="AQ22" i="45"/>
  <c r="AP7" i="45"/>
  <c r="AN10" i="45"/>
  <c r="AO21" i="45"/>
  <c r="AN6" i="45"/>
  <c r="AP14" i="45"/>
  <c r="AN17" i="45"/>
  <c r="AP142" i="34"/>
  <c r="AO25" i="45"/>
  <c r="AN13" i="45"/>
  <c r="AN26" i="45"/>
  <c r="AP143" i="34"/>
  <c r="AM43" i="45"/>
  <c r="AM65" i="45" s="1"/>
  <c r="AN52" i="45"/>
  <c r="AN67" i="45" s="1"/>
  <c r="AP139" i="34"/>
  <c r="AM50" i="45"/>
  <c r="AP112" i="34"/>
  <c r="AN47" i="45" s="1"/>
  <c r="AQ71" i="36"/>
  <c r="AQ162" i="34"/>
  <c r="AO53" i="45" s="1"/>
  <c r="AQ178" i="34"/>
  <c r="AO54" i="45" s="1"/>
  <c r="AP96" i="34"/>
  <c r="AN45" i="45" s="1"/>
  <c r="AP138" i="34"/>
  <c r="AQ55" i="36"/>
  <c r="AN51" i="45" l="1"/>
  <c r="AO15" i="45"/>
  <c r="AM49" i="45"/>
  <c r="AM66" i="45" s="1"/>
  <c r="AP23" i="45"/>
  <c r="AO8" i="45"/>
  <c r="AO6" i="45"/>
  <c r="AO17" i="45"/>
  <c r="AQ142" i="34"/>
  <c r="AO18" i="45"/>
  <c r="AR22" i="45"/>
  <c r="AO10" i="45"/>
  <c r="AP21" i="45"/>
  <c r="AQ7" i="45"/>
  <c r="AP25" i="45"/>
  <c r="AO13" i="45"/>
  <c r="AQ14" i="45"/>
  <c r="AO26" i="45"/>
  <c r="AQ143" i="34"/>
  <c r="AN50" i="45"/>
  <c r="AN43" i="45"/>
  <c r="AN65" i="45" s="1"/>
  <c r="AO52" i="45"/>
  <c r="AO67" i="45" s="1"/>
  <c r="AQ139" i="34"/>
  <c r="AQ112" i="34"/>
  <c r="AO47" i="45" s="1"/>
  <c r="AR71" i="36"/>
  <c r="AR162" i="34"/>
  <c r="AP53" i="45" s="1"/>
  <c r="AR178" i="34"/>
  <c r="AP54" i="45" s="1"/>
  <c r="AQ96" i="34"/>
  <c r="AO45" i="45" s="1"/>
  <c r="AQ138" i="34"/>
  <c r="AR55" i="36"/>
  <c r="AO51" i="45" l="1"/>
  <c r="AN49" i="45"/>
  <c r="AN66" i="45" s="1"/>
  <c r="AP15" i="45"/>
  <c r="AQ23" i="45"/>
  <c r="AP8" i="45"/>
  <c r="AP18" i="45"/>
  <c r="AS22" i="45"/>
  <c r="AP17" i="45"/>
  <c r="AP13" i="45"/>
  <c r="AR14" i="45"/>
  <c r="AR142" i="34"/>
  <c r="AP10" i="45"/>
  <c r="AP6" i="45"/>
  <c r="AR7" i="45"/>
  <c r="AQ21" i="45"/>
  <c r="AQ25" i="45"/>
  <c r="AP26" i="45"/>
  <c r="AR143" i="34"/>
  <c r="AP52" i="45"/>
  <c r="AP67" i="45" s="1"/>
  <c r="AO43" i="45"/>
  <c r="AO65" i="45" s="1"/>
  <c r="AO50" i="45"/>
  <c r="AR139" i="34"/>
  <c r="AR112" i="34"/>
  <c r="AP47" i="45" s="1"/>
  <c r="AS71" i="36"/>
  <c r="AS162" i="34"/>
  <c r="AQ53" i="45" s="1"/>
  <c r="AS178" i="34"/>
  <c r="AQ54" i="45" s="1"/>
  <c r="AR96" i="34"/>
  <c r="AP45" i="45" s="1"/>
  <c r="AR138" i="34"/>
  <c r="AS55" i="36"/>
  <c r="AO49" i="45" l="1"/>
  <c r="AO66" i="45" s="1"/>
  <c r="AP51" i="45"/>
  <c r="AQ15" i="45"/>
  <c r="AQ8" i="45"/>
  <c r="AR23" i="45"/>
  <c r="AS14" i="45"/>
  <c r="AQ17" i="45"/>
  <c r="AS142" i="34"/>
  <c r="AR21" i="45"/>
  <c r="AQ6" i="45"/>
  <c r="AQ18" i="45"/>
  <c r="AT22" i="45"/>
  <c r="AS7" i="45"/>
  <c r="AQ10" i="45"/>
  <c r="AR25" i="45"/>
  <c r="AQ13" i="45"/>
  <c r="AQ26" i="45"/>
  <c r="AS143" i="34"/>
  <c r="AP43" i="45"/>
  <c r="AP65" i="45" s="1"/>
  <c r="AQ52" i="45"/>
  <c r="AQ67" i="45" s="1"/>
  <c r="AP50" i="45"/>
  <c r="AS139" i="34"/>
  <c r="AS112" i="34"/>
  <c r="AQ47" i="45" s="1"/>
  <c r="AT71" i="36"/>
  <c r="AT162" i="34"/>
  <c r="AR53" i="45" s="1"/>
  <c r="AT178" i="34"/>
  <c r="AR54" i="45" s="1"/>
  <c r="AS96" i="34"/>
  <c r="AQ45" i="45" s="1"/>
  <c r="AS138" i="34"/>
  <c r="AT55" i="36"/>
  <c r="AQ51" i="45" l="1"/>
  <c r="AP49" i="45"/>
  <c r="AP66" i="45" s="1"/>
  <c r="AR15" i="45"/>
  <c r="AS23" i="45"/>
  <c r="AR8" i="45"/>
  <c r="AS21" i="45"/>
  <c r="AR6" i="45"/>
  <c r="AR10" i="45"/>
  <c r="AT7" i="45"/>
  <c r="AR18" i="45"/>
  <c r="AU22" i="45"/>
  <c r="AR17" i="45"/>
  <c r="AT142" i="34"/>
  <c r="AS25" i="45"/>
  <c r="AR13" i="45"/>
  <c r="AT14" i="45"/>
  <c r="AR26" i="45"/>
  <c r="AT143" i="34"/>
  <c r="AR52" i="45"/>
  <c r="AR67" i="45" s="1"/>
  <c r="AQ43" i="45"/>
  <c r="AQ65" i="45" s="1"/>
  <c r="AQ50" i="45"/>
  <c r="AT139" i="34"/>
  <c r="AT112" i="34"/>
  <c r="AR47" i="45" s="1"/>
  <c r="AU71" i="36"/>
  <c r="AU162" i="34"/>
  <c r="AS53" i="45" s="1"/>
  <c r="AU178" i="34"/>
  <c r="AS54" i="45" s="1"/>
  <c r="AT96" i="34"/>
  <c r="AR45" i="45" s="1"/>
  <c r="AT138" i="34"/>
  <c r="AU55" i="36"/>
  <c r="AR51" i="45" l="1"/>
  <c r="AQ49" i="45"/>
  <c r="AQ66" i="45" s="1"/>
  <c r="AT23" i="45"/>
  <c r="AS15" i="45"/>
  <c r="AS8" i="45"/>
  <c r="AU7" i="45"/>
  <c r="AS17" i="45"/>
  <c r="AS10" i="45"/>
  <c r="AT21" i="45"/>
  <c r="AS6" i="45"/>
  <c r="AS18" i="45"/>
  <c r="AV22" i="45"/>
  <c r="AU142" i="34"/>
  <c r="AT25" i="45"/>
  <c r="AU14" i="45"/>
  <c r="AS13" i="45"/>
  <c r="AS26" i="45"/>
  <c r="AU143" i="34"/>
  <c r="AR43" i="45"/>
  <c r="AR65" i="45" s="1"/>
  <c r="AS52" i="45"/>
  <c r="AS67" i="45" s="1"/>
  <c r="AU139" i="34"/>
  <c r="AR50" i="45"/>
  <c r="AU112" i="34"/>
  <c r="AS47" i="45" s="1"/>
  <c r="AV71" i="36"/>
  <c r="AV178" i="34"/>
  <c r="AT54" i="45" s="1"/>
  <c r="AV162" i="34"/>
  <c r="AT53" i="45" s="1"/>
  <c r="AU96" i="34"/>
  <c r="AS45" i="45" s="1"/>
  <c r="AU138" i="34"/>
  <c r="AV55" i="36"/>
  <c r="AS51" i="45" l="1"/>
  <c r="AR49" i="45"/>
  <c r="AR66" i="45" s="1"/>
  <c r="AU23" i="45"/>
  <c r="AT8" i="45"/>
  <c r="AT15" i="45"/>
  <c r="AU21" i="45"/>
  <c r="AT6" i="45"/>
  <c r="AT17" i="45"/>
  <c r="AV142" i="34"/>
  <c r="AT10" i="45"/>
  <c r="AV7" i="45"/>
  <c r="AT18" i="45"/>
  <c r="AW22" i="45"/>
  <c r="AV14" i="45"/>
  <c r="AU25" i="45"/>
  <c r="AT13" i="45"/>
  <c r="AT26" i="45"/>
  <c r="AV143" i="34"/>
  <c r="AS43" i="45"/>
  <c r="AS65" i="45" s="1"/>
  <c r="AT52" i="45"/>
  <c r="AT67" i="45" s="1"/>
  <c r="AS50" i="45"/>
  <c r="AV139" i="34"/>
  <c r="AV112" i="34"/>
  <c r="AT47" i="45" s="1"/>
  <c r="AW71" i="36"/>
  <c r="AW162" i="34"/>
  <c r="AU53" i="45" s="1"/>
  <c r="AW178" i="34"/>
  <c r="AU54" i="45" s="1"/>
  <c r="AV96" i="34"/>
  <c r="AT45" i="45" s="1"/>
  <c r="AV138" i="34"/>
  <c r="AW55" i="36"/>
  <c r="AT51" i="45" l="1"/>
  <c r="AS49" i="45"/>
  <c r="AS66" i="45" s="1"/>
  <c r="AV23" i="45"/>
  <c r="AU8" i="45"/>
  <c r="AU15" i="45"/>
  <c r="AV21" i="45"/>
  <c r="AU10" i="45"/>
  <c r="AU6" i="45"/>
  <c r="AW7" i="45"/>
  <c r="AU18" i="45"/>
  <c r="AX22" i="45"/>
  <c r="AW142" i="34"/>
  <c r="AV25" i="45"/>
  <c r="AU17" i="45"/>
  <c r="AU13" i="45"/>
  <c r="AW14" i="45"/>
  <c r="AU26" i="45"/>
  <c r="AW143" i="34"/>
  <c r="AT43" i="45"/>
  <c r="AT65" i="45" s="1"/>
  <c r="AU52" i="45"/>
  <c r="AU67" i="45" s="1"/>
  <c r="AT50" i="45"/>
  <c r="AW139" i="34"/>
  <c r="AW112" i="34"/>
  <c r="AU47" i="45" s="1"/>
  <c r="AX71" i="36"/>
  <c r="AX162" i="34"/>
  <c r="AV53" i="45" s="1"/>
  <c r="AX178" i="34"/>
  <c r="AV54" i="45" s="1"/>
  <c r="AW96" i="34"/>
  <c r="AU45" i="45" s="1"/>
  <c r="AW138" i="34"/>
  <c r="AX55" i="36"/>
  <c r="AU51" i="45" l="1"/>
  <c r="AT49" i="45"/>
  <c r="AT66" i="45" s="1"/>
  <c r="AV8" i="45"/>
  <c r="AW23" i="45"/>
  <c r="AV15" i="45"/>
  <c r="AW21" i="45"/>
  <c r="AX7" i="45"/>
  <c r="AV6" i="45"/>
  <c r="AV17" i="45"/>
  <c r="AX142" i="34"/>
  <c r="AW25" i="45"/>
  <c r="AV10" i="45"/>
  <c r="AY22" i="45"/>
  <c r="AV18" i="45"/>
  <c r="AX14" i="45"/>
  <c r="AV13" i="45"/>
  <c r="AV26" i="45"/>
  <c r="AX143" i="34"/>
  <c r="AU43" i="45"/>
  <c r="AU65" i="45" s="1"/>
  <c r="AV52" i="45"/>
  <c r="AV67" i="45" s="1"/>
  <c r="AU50" i="45"/>
  <c r="AX139" i="34"/>
  <c r="AX112" i="34"/>
  <c r="AV47" i="45" s="1"/>
  <c r="AY71" i="36"/>
  <c r="AY162" i="34"/>
  <c r="AW53" i="45" s="1"/>
  <c r="AY178" i="34"/>
  <c r="AW54" i="45" s="1"/>
  <c r="AX96" i="34"/>
  <c r="AV45" i="45" s="1"/>
  <c r="AX138" i="34"/>
  <c r="AY55" i="36"/>
  <c r="AV51" i="45" l="1"/>
  <c r="AU49" i="45"/>
  <c r="AU66" i="45" s="1"/>
  <c r="AX23" i="45"/>
  <c r="AW8" i="45"/>
  <c r="AW15" i="45"/>
  <c r="AY7" i="45"/>
  <c r="AW10" i="45"/>
  <c r="AW6" i="45"/>
  <c r="AW18" i="45"/>
  <c r="AX25" i="45"/>
  <c r="AY14" i="45"/>
  <c r="AW17" i="45"/>
  <c r="AY142" i="34"/>
  <c r="AX21" i="45"/>
  <c r="AZ22" i="45"/>
  <c r="AW13" i="45"/>
  <c r="AW26" i="45"/>
  <c r="AY143" i="34"/>
  <c r="AW52" i="45"/>
  <c r="AW67" i="45" s="1"/>
  <c r="AV43" i="45"/>
  <c r="AV65" i="45" s="1"/>
  <c r="AV50" i="45"/>
  <c r="AY139" i="34"/>
  <c r="AY112" i="34"/>
  <c r="AW47" i="45" s="1"/>
  <c r="AZ71" i="36"/>
  <c r="AZ162" i="34"/>
  <c r="AX53" i="45" s="1"/>
  <c r="AZ178" i="34"/>
  <c r="AX54" i="45" s="1"/>
  <c r="AY96" i="34"/>
  <c r="AW45" i="45" s="1"/>
  <c r="AW43" i="45" s="1"/>
  <c r="AW65" i="45" s="1"/>
  <c r="AY138" i="34"/>
  <c r="AZ55" i="36"/>
  <c r="AW51" i="45" l="1"/>
  <c r="AV49" i="45"/>
  <c r="AV66" i="45" s="1"/>
  <c r="AX8" i="45"/>
  <c r="AY23" i="45"/>
  <c r="AX15" i="45"/>
  <c r="BA22" i="45"/>
  <c r="AY21" i="45"/>
  <c r="AZ7" i="45"/>
  <c r="AX10" i="45"/>
  <c r="AX13" i="45"/>
  <c r="AX26" i="45"/>
  <c r="AZ142" i="34"/>
  <c r="AX6" i="45"/>
  <c r="AX18" i="45"/>
  <c r="AY25" i="45"/>
  <c r="AZ14" i="45"/>
  <c r="AX17" i="45"/>
  <c r="AZ143" i="34"/>
  <c r="AX52" i="45"/>
  <c r="AX67" i="45" s="1"/>
  <c r="AW50" i="45"/>
  <c r="AZ139" i="34"/>
  <c r="AZ112" i="34"/>
  <c r="AX47" i="45" s="1"/>
  <c r="BA71" i="36"/>
  <c r="BA162" i="34"/>
  <c r="AY53" i="45" s="1"/>
  <c r="BA178" i="34"/>
  <c r="AY54" i="45" s="1"/>
  <c r="AZ96" i="34"/>
  <c r="AX45" i="45" s="1"/>
  <c r="AZ138" i="34"/>
  <c r="BA55" i="36"/>
  <c r="AX51" i="45" l="1"/>
  <c r="AW49" i="45"/>
  <c r="AW66" i="45" s="1"/>
  <c r="AY15" i="45"/>
  <c r="AY8" i="45"/>
  <c r="AZ23" i="45"/>
  <c r="BA14" i="45"/>
  <c r="BA143" i="34"/>
  <c r="AY18" i="45"/>
  <c r="AZ25" i="45"/>
  <c r="AZ21" i="45"/>
  <c r="BA7" i="45"/>
  <c r="BB22" i="45"/>
  <c r="AY17" i="45"/>
  <c r="AY13" i="45"/>
  <c r="BA142" i="34"/>
  <c r="AY26" i="45"/>
  <c r="AY10" i="45"/>
  <c r="AY6" i="45"/>
  <c r="AY52" i="45"/>
  <c r="AY67" i="45" s="1"/>
  <c r="AX43" i="45"/>
  <c r="AX65" i="45" s="1"/>
  <c r="BA112" i="34"/>
  <c r="AY47" i="45" s="1"/>
  <c r="BA139" i="34"/>
  <c r="AX50" i="45"/>
  <c r="BB71" i="36"/>
  <c r="BB162" i="34"/>
  <c r="AZ53" i="45" s="1"/>
  <c r="BB178" i="34"/>
  <c r="AZ54" i="45" s="1"/>
  <c r="BA96" i="34"/>
  <c r="AY45" i="45" s="1"/>
  <c r="BA138" i="34"/>
  <c r="BB55" i="36"/>
  <c r="AX49" i="45" l="1"/>
  <c r="AX66" i="45" s="1"/>
  <c r="AY51" i="45"/>
  <c r="G5" i="45"/>
  <c r="G4" i="45" s="1"/>
  <c r="G58" i="45" s="1"/>
  <c r="F5" i="45"/>
  <c r="F4" i="45" s="1"/>
  <c r="F58" i="45" s="1"/>
  <c r="G12" i="45"/>
  <c r="G11" i="45" s="1"/>
  <c r="G59" i="45" s="1"/>
  <c r="AZ8" i="45"/>
  <c r="BA23" i="45"/>
  <c r="F12" i="45"/>
  <c r="F11" i="45" s="1"/>
  <c r="F59" i="45" s="1"/>
  <c r="G20" i="45"/>
  <c r="G19" i="45" s="1"/>
  <c r="G60" i="45" s="1"/>
  <c r="AZ15" i="45"/>
  <c r="F20" i="45"/>
  <c r="F19" i="45" s="1"/>
  <c r="F60" i="45" s="1"/>
  <c r="BB7" i="45"/>
  <c r="BA25" i="45"/>
  <c r="AZ13" i="45"/>
  <c r="AZ26" i="45"/>
  <c r="BB142" i="34"/>
  <c r="BA21" i="45"/>
  <c r="AZ6" i="45"/>
  <c r="AZ18" i="45"/>
  <c r="AZ10" i="45"/>
  <c r="BC22" i="45"/>
  <c r="AZ17" i="45"/>
  <c r="BB14" i="45"/>
  <c r="BB143" i="34"/>
  <c r="AZ52" i="45"/>
  <c r="AZ67" i="45" s="1"/>
  <c r="AY43" i="45"/>
  <c r="AY65" i="45" s="1"/>
  <c r="AY50" i="45"/>
  <c r="BB139" i="34"/>
  <c r="BB112" i="34"/>
  <c r="AZ47" i="45" s="1"/>
  <c r="BC71" i="36"/>
  <c r="BC162" i="34"/>
  <c r="BA53" i="45" s="1"/>
  <c r="BC178" i="34"/>
  <c r="BA54" i="45" s="1"/>
  <c r="BB96" i="34"/>
  <c r="AZ45" i="45" s="1"/>
  <c r="BB138" i="34"/>
  <c r="BC55" i="36"/>
  <c r="AY49" i="45" l="1"/>
  <c r="AY66" i="45" s="1"/>
  <c r="AZ51" i="45"/>
  <c r="F71" i="45"/>
  <c r="F73" i="45" s="1"/>
  <c r="F77" i="45" s="1"/>
  <c r="G71" i="45"/>
  <c r="G73" i="45" s="1"/>
  <c r="G77" i="45" s="1"/>
  <c r="BB23" i="45"/>
  <c r="H5" i="45"/>
  <c r="H4" i="45" s="1"/>
  <c r="H58" i="45" s="1"/>
  <c r="H20" i="45"/>
  <c r="H19" i="45" s="1"/>
  <c r="H60" i="45" s="1"/>
  <c r="H12" i="45"/>
  <c r="H11" i="45" s="1"/>
  <c r="H59" i="45" s="1"/>
  <c r="BA15" i="45"/>
  <c r="BA8" i="45"/>
  <c r="BB25" i="45"/>
  <c r="BB21" i="45"/>
  <c r="BC7" i="45"/>
  <c r="BA18" i="45"/>
  <c r="BC142" i="34"/>
  <c r="BA17" i="45"/>
  <c r="BA13" i="45"/>
  <c r="BC14" i="45"/>
  <c r="BA26" i="45"/>
  <c r="BD22" i="45"/>
  <c r="BA10" i="45"/>
  <c r="BA6" i="45"/>
  <c r="BC143" i="34"/>
  <c r="AZ43" i="45"/>
  <c r="AZ65" i="45" s="1"/>
  <c r="BA52" i="45"/>
  <c r="BA67" i="45" s="1"/>
  <c r="AZ50" i="45"/>
  <c r="BC139" i="34"/>
  <c r="BC112" i="34"/>
  <c r="BA47" i="45" s="1"/>
  <c r="BD71" i="36"/>
  <c r="BD178" i="34"/>
  <c r="BB54" i="45" s="1"/>
  <c r="BD162" i="34"/>
  <c r="BB53" i="45" s="1"/>
  <c r="BC96" i="34"/>
  <c r="BA45" i="45" s="1"/>
  <c r="BC138" i="34"/>
  <c r="BD55" i="36"/>
  <c r="BA51" i="45" l="1"/>
  <c r="BA43" i="45"/>
  <c r="BA65" i="45" s="1"/>
  <c r="H71" i="45"/>
  <c r="H73" i="45" s="1"/>
  <c r="H77" i="45" s="1"/>
  <c r="AZ49" i="45"/>
  <c r="AZ66" i="45" s="1"/>
  <c r="I20" i="45"/>
  <c r="I19" i="45" s="1"/>
  <c r="I60" i="45" s="1"/>
  <c r="BB8" i="45"/>
  <c r="BB15" i="45"/>
  <c r="I5" i="45"/>
  <c r="I4" i="45" s="1"/>
  <c r="I58" i="45" s="1"/>
  <c r="BC23" i="45"/>
  <c r="I12" i="45"/>
  <c r="I11" i="45" s="1"/>
  <c r="I59" i="45" s="1"/>
  <c r="BB26" i="45"/>
  <c r="BC21" i="45"/>
  <c r="BB6" i="45"/>
  <c r="BB18" i="45"/>
  <c r="BD142" i="34"/>
  <c r="BC25" i="45"/>
  <c r="BB17" i="45"/>
  <c r="BD14" i="45"/>
  <c r="BB13" i="45"/>
  <c r="BE22" i="45"/>
  <c r="BB10" i="45"/>
  <c r="BD7" i="45"/>
  <c r="BD143" i="34"/>
  <c r="BB52" i="45"/>
  <c r="BB67" i="45" s="1"/>
  <c r="BA50" i="45"/>
  <c r="BD139" i="34"/>
  <c r="BD112" i="34"/>
  <c r="BB47" i="45" s="1"/>
  <c r="BE71" i="36"/>
  <c r="BE162" i="34"/>
  <c r="BC53" i="45" s="1"/>
  <c r="BE178" i="34"/>
  <c r="BC54" i="45" s="1"/>
  <c r="BD96" i="34"/>
  <c r="BB45" i="45" s="1"/>
  <c r="BD138" i="34"/>
  <c r="BE55" i="36"/>
  <c r="BB51" i="45" l="1"/>
  <c r="I71" i="45"/>
  <c r="I73" i="45" s="1"/>
  <c r="I77" i="45" s="1"/>
  <c r="BA49" i="45"/>
  <c r="BA66" i="45" s="1"/>
  <c r="BD23" i="45"/>
  <c r="J20" i="45"/>
  <c r="J19" i="45" s="1"/>
  <c r="J60" i="45" s="1"/>
  <c r="J5" i="45"/>
  <c r="J4" i="45" s="1"/>
  <c r="J58" i="45" s="1"/>
  <c r="BC8" i="45"/>
  <c r="BC15" i="45"/>
  <c r="J12" i="45"/>
  <c r="J11" i="45" s="1"/>
  <c r="J59" i="45" s="1"/>
  <c r="BD25" i="45"/>
  <c r="BE14" i="45"/>
  <c r="BC17" i="45"/>
  <c r="BC26" i="45"/>
  <c r="BC6" i="45"/>
  <c r="BE143" i="34"/>
  <c r="BD21" i="45"/>
  <c r="BE7" i="45"/>
  <c r="BC10" i="45"/>
  <c r="BC18" i="45"/>
  <c r="BE142" i="34"/>
  <c r="BF22" i="45"/>
  <c r="BC13" i="45"/>
  <c r="BC52" i="45"/>
  <c r="BC67" i="45" s="1"/>
  <c r="BB43" i="45"/>
  <c r="BB65" i="45" s="1"/>
  <c r="BB50" i="45"/>
  <c r="BE139" i="34"/>
  <c r="BE112" i="34"/>
  <c r="BC47" i="45" s="1"/>
  <c r="BF71" i="36"/>
  <c r="BF162" i="34"/>
  <c r="BD53" i="45" s="1"/>
  <c r="BF178" i="34"/>
  <c r="BD54" i="45" s="1"/>
  <c r="BE96" i="34"/>
  <c r="BC45" i="45" s="1"/>
  <c r="BE138" i="34"/>
  <c r="BF55" i="36"/>
  <c r="BC51" i="45" l="1"/>
  <c r="J71" i="45"/>
  <c r="J73" i="45" s="1"/>
  <c r="J77" i="45" s="1"/>
  <c r="BB49" i="45"/>
  <c r="BB66" i="45" s="1"/>
  <c r="K20" i="45"/>
  <c r="K19" i="45" s="1"/>
  <c r="K60" i="45" s="1"/>
  <c r="BD15" i="45"/>
  <c r="K5" i="45"/>
  <c r="K4" i="45" s="1"/>
  <c r="K58" i="45" s="1"/>
  <c r="BE23" i="45"/>
  <c r="BD8" i="45"/>
  <c r="K12" i="45"/>
  <c r="K11" i="45" s="1"/>
  <c r="K59" i="45" s="1"/>
  <c r="BE25" i="45"/>
  <c r="BE21" i="45"/>
  <c r="BF7" i="45"/>
  <c r="BD10" i="45"/>
  <c r="BD18" i="45"/>
  <c r="BF142" i="34"/>
  <c r="BD26" i="45"/>
  <c r="BG22" i="45"/>
  <c r="BD13" i="45"/>
  <c r="BF14" i="45"/>
  <c r="BD17" i="45"/>
  <c r="BD6" i="45"/>
  <c r="BF143" i="34"/>
  <c r="BD52" i="45"/>
  <c r="BD67" i="45" s="1"/>
  <c r="BC43" i="45"/>
  <c r="BC65" i="45" s="1"/>
  <c r="BC50" i="45"/>
  <c r="BF112" i="34"/>
  <c r="BD47" i="45" s="1"/>
  <c r="BF139" i="34"/>
  <c r="BG71" i="36"/>
  <c r="BG162" i="34"/>
  <c r="BE53" i="45" s="1"/>
  <c r="BG178" i="34"/>
  <c r="BE54" i="45" s="1"/>
  <c r="BF96" i="34"/>
  <c r="BD45" i="45" s="1"/>
  <c r="BF138" i="34"/>
  <c r="BG55" i="36"/>
  <c r="BD51" i="45" l="1"/>
  <c r="K71" i="45"/>
  <c r="K73" i="45" s="1"/>
  <c r="K77" i="45" s="1"/>
  <c r="BC49" i="45"/>
  <c r="BC66" i="45" s="1"/>
  <c r="BF23" i="45"/>
  <c r="L5" i="45"/>
  <c r="L4" i="45" s="1"/>
  <c r="L58" i="45" s="1"/>
  <c r="BE15" i="45"/>
  <c r="L20" i="45"/>
  <c r="L19" i="45" s="1"/>
  <c r="L60" i="45" s="1"/>
  <c r="BE8" i="45"/>
  <c r="L12" i="45"/>
  <c r="L11" i="45" s="1"/>
  <c r="L59" i="45" s="1"/>
  <c r="BG14" i="45"/>
  <c r="BG7" i="45"/>
  <c r="BE18" i="45"/>
  <c r="BG142" i="34"/>
  <c r="BF25" i="45"/>
  <c r="BE26" i="45"/>
  <c r="BF21" i="45"/>
  <c r="BH22" i="45"/>
  <c r="BE13" i="45"/>
  <c r="BE17" i="45"/>
  <c r="BE6" i="45"/>
  <c r="BE10" i="45"/>
  <c r="BG143" i="34"/>
  <c r="BE52" i="45"/>
  <c r="BE67" i="45" s="1"/>
  <c r="BD43" i="45"/>
  <c r="BD65" i="45" s="1"/>
  <c r="BG112" i="34"/>
  <c r="BE47" i="45" s="1"/>
  <c r="BD50" i="45"/>
  <c r="BG139" i="34"/>
  <c r="BH71" i="36"/>
  <c r="BH162" i="34"/>
  <c r="BF53" i="45" s="1"/>
  <c r="BH178" i="34"/>
  <c r="BF54" i="45" s="1"/>
  <c r="BG96" i="34"/>
  <c r="BE45" i="45" s="1"/>
  <c r="BG138" i="34"/>
  <c r="BH55" i="36"/>
  <c r="BE51" i="45" l="1"/>
  <c r="L71" i="45"/>
  <c r="L73" i="45" s="1"/>
  <c r="L77" i="45" s="1"/>
  <c r="BD49" i="45"/>
  <c r="BD66" i="45" s="1"/>
  <c r="M20" i="45"/>
  <c r="M19" i="45" s="1"/>
  <c r="M60" i="45" s="1"/>
  <c r="BF15" i="45"/>
  <c r="M12" i="45"/>
  <c r="M11" i="45" s="1"/>
  <c r="M59" i="45" s="1"/>
  <c r="BG23" i="45"/>
  <c r="BF8" i="45"/>
  <c r="M5" i="45"/>
  <c r="M4" i="45" s="1"/>
  <c r="M58" i="45" s="1"/>
  <c r="BF17" i="45"/>
  <c r="BF26" i="45"/>
  <c r="BG21" i="45"/>
  <c r="BF6" i="45"/>
  <c r="BF10" i="45"/>
  <c r="BF18" i="45"/>
  <c r="BH142" i="34"/>
  <c r="BG25" i="45"/>
  <c r="BF13" i="45"/>
  <c r="BI22" i="45"/>
  <c r="BH14" i="45"/>
  <c r="BH7" i="45"/>
  <c r="BH143" i="34"/>
  <c r="BF52" i="45"/>
  <c r="BF67" i="45" s="1"/>
  <c r="BE43" i="45"/>
  <c r="BE65" i="45" s="1"/>
  <c r="BH112" i="34"/>
  <c r="BF47" i="45" s="1"/>
  <c r="BE50" i="45"/>
  <c r="BH139" i="34"/>
  <c r="BI71" i="36"/>
  <c r="BI162" i="34"/>
  <c r="BG53" i="45" s="1"/>
  <c r="BI178" i="34"/>
  <c r="BG54" i="45" s="1"/>
  <c r="BH96" i="34"/>
  <c r="BF45" i="45" s="1"/>
  <c r="BH138" i="34"/>
  <c r="BI55" i="36"/>
  <c r="BF51" i="45" l="1"/>
  <c r="M71" i="45"/>
  <c r="M73" i="45" s="1"/>
  <c r="M77" i="45" s="1"/>
  <c r="BE49" i="45"/>
  <c r="BE66" i="45" s="1"/>
  <c r="BG8" i="45"/>
  <c r="N20" i="45"/>
  <c r="N19" i="45" s="1"/>
  <c r="N60" i="45" s="1"/>
  <c r="BG15" i="45"/>
  <c r="N12" i="45"/>
  <c r="N11" i="45" s="1"/>
  <c r="N59" i="45" s="1"/>
  <c r="BH23" i="45"/>
  <c r="N5" i="45"/>
  <c r="N4" i="45" s="1"/>
  <c r="N58" i="45" s="1"/>
  <c r="BG6" i="45"/>
  <c r="BG18" i="45"/>
  <c r="BI142" i="34"/>
  <c r="BH25" i="45"/>
  <c r="BG26" i="45"/>
  <c r="BH21" i="45"/>
  <c r="BI14" i="45"/>
  <c r="BG17" i="45"/>
  <c r="BG13" i="45"/>
  <c r="BJ22" i="45"/>
  <c r="BI7" i="45"/>
  <c r="BG10" i="45"/>
  <c r="BI143" i="34"/>
  <c r="BG52" i="45"/>
  <c r="BG67" i="45" s="1"/>
  <c r="BF43" i="45"/>
  <c r="BF65" i="45" s="1"/>
  <c r="BI139" i="34"/>
  <c r="BF50" i="45"/>
  <c r="BI112" i="34"/>
  <c r="BG47" i="45" s="1"/>
  <c r="BJ71" i="36"/>
  <c r="BJ162" i="34"/>
  <c r="BH53" i="45" s="1"/>
  <c r="BJ178" i="34"/>
  <c r="BH54" i="45" s="1"/>
  <c r="BI96" i="34"/>
  <c r="BG45" i="45" s="1"/>
  <c r="BI138" i="34"/>
  <c r="BJ55" i="36"/>
  <c r="BG51" i="45" l="1"/>
  <c r="BF49" i="45"/>
  <c r="BF66" i="45" s="1"/>
  <c r="N71" i="45"/>
  <c r="N73" i="45" s="1"/>
  <c r="N77" i="45" s="1"/>
  <c r="BH15" i="45"/>
  <c r="O20" i="45"/>
  <c r="O19" i="45" s="1"/>
  <c r="O60" i="45" s="1"/>
  <c r="BH8" i="45"/>
  <c r="O12" i="45"/>
  <c r="O11" i="45" s="1"/>
  <c r="O59" i="45" s="1"/>
  <c r="BI23" i="45"/>
  <c r="O5" i="45"/>
  <c r="O4" i="45" s="1"/>
  <c r="O58" i="45" s="1"/>
  <c r="BH18" i="45"/>
  <c r="BH6" i="45"/>
  <c r="BJ142" i="34"/>
  <c r="BK22" i="45"/>
  <c r="BH17" i="45"/>
  <c r="BJ14" i="45"/>
  <c r="BI25" i="45"/>
  <c r="BH13" i="45"/>
  <c r="BH26" i="45"/>
  <c r="BI21" i="45"/>
  <c r="BH10" i="45"/>
  <c r="BJ7" i="45"/>
  <c r="BJ143" i="34"/>
  <c r="BH52" i="45"/>
  <c r="BH67" i="45" s="1"/>
  <c r="BG43" i="45"/>
  <c r="BG65" i="45" s="1"/>
  <c r="BG50" i="45"/>
  <c r="BJ139" i="34"/>
  <c r="BJ112" i="34"/>
  <c r="BH47" i="45" s="1"/>
  <c r="BK71" i="36"/>
  <c r="BK162" i="34"/>
  <c r="BI53" i="45" s="1"/>
  <c r="BK178" i="34"/>
  <c r="BI54" i="45" s="1"/>
  <c r="BJ96" i="34"/>
  <c r="BH45" i="45" s="1"/>
  <c r="BJ138" i="34"/>
  <c r="BK55" i="36"/>
  <c r="BH51" i="45" l="1"/>
  <c r="O71" i="45"/>
  <c r="O73" i="45" s="1"/>
  <c r="O77" i="45" s="1"/>
  <c r="BG49" i="45"/>
  <c r="BG66" i="45" s="1"/>
  <c r="P5" i="45"/>
  <c r="P4" i="45" s="1"/>
  <c r="P58" i="45" s="1"/>
  <c r="BI15" i="45"/>
  <c r="P20" i="45"/>
  <c r="P19" i="45" s="1"/>
  <c r="P60" i="45" s="1"/>
  <c r="BJ23" i="45"/>
  <c r="BI8" i="45"/>
  <c r="P12" i="45"/>
  <c r="P11" i="45" s="1"/>
  <c r="P59" i="45" s="1"/>
  <c r="BI26" i="45"/>
  <c r="BI6" i="45"/>
  <c r="BI18" i="45"/>
  <c r="BK142" i="34"/>
  <c r="BL22" i="45"/>
  <c r="BK14" i="45"/>
  <c r="BJ25" i="45"/>
  <c r="BI13" i="45"/>
  <c r="BI17" i="45"/>
  <c r="BJ21" i="45"/>
  <c r="BI10" i="45"/>
  <c r="BK7" i="45"/>
  <c r="BK143" i="34"/>
  <c r="BH43" i="45"/>
  <c r="BH65" i="45" s="1"/>
  <c r="BI52" i="45"/>
  <c r="BI67" i="45" s="1"/>
  <c r="BH50" i="45"/>
  <c r="BK139" i="34"/>
  <c r="BK112" i="34"/>
  <c r="BI47" i="45" s="1"/>
  <c r="BL71" i="36"/>
  <c r="BL162" i="34"/>
  <c r="BJ53" i="45" s="1"/>
  <c r="BL178" i="34"/>
  <c r="BJ54" i="45" s="1"/>
  <c r="BK96" i="34"/>
  <c r="BI45" i="45" s="1"/>
  <c r="BK138" i="34"/>
  <c r="BL55" i="36"/>
  <c r="BH49" i="45" l="1"/>
  <c r="BH66" i="45" s="1"/>
  <c r="BI51" i="45"/>
  <c r="P71" i="45"/>
  <c r="P73" i="45" s="1"/>
  <c r="P77" i="45" s="1"/>
  <c r="BK23" i="45"/>
  <c r="BJ8" i="45"/>
  <c r="Q12" i="45"/>
  <c r="Q11" i="45" s="1"/>
  <c r="Q59" i="45" s="1"/>
  <c r="Q20" i="45"/>
  <c r="Q19" i="45" s="1"/>
  <c r="Q60" i="45" s="1"/>
  <c r="BJ15" i="45"/>
  <c r="Q5" i="45"/>
  <c r="Q4" i="45" s="1"/>
  <c r="Q58" i="45" s="1"/>
  <c r="BL143" i="34"/>
  <c r="BK25" i="45"/>
  <c r="BJ17" i="45"/>
  <c r="BL7" i="45"/>
  <c r="BK21" i="45"/>
  <c r="BJ13" i="45"/>
  <c r="BJ26" i="45"/>
  <c r="BN22" i="45"/>
  <c r="BJ6" i="45"/>
  <c r="BJ10" i="45"/>
  <c r="BJ18" i="45"/>
  <c r="BL142" i="34"/>
  <c r="BM22" i="45"/>
  <c r="BL14" i="45"/>
  <c r="BJ52" i="45"/>
  <c r="BJ67" i="45" s="1"/>
  <c r="BI43" i="45"/>
  <c r="BI65" i="45" s="1"/>
  <c r="BI50" i="45"/>
  <c r="BL112" i="34"/>
  <c r="BJ47" i="45" s="1"/>
  <c r="BL139" i="34"/>
  <c r="BM71" i="36"/>
  <c r="BM162" i="34"/>
  <c r="BK53" i="45" s="1"/>
  <c r="BM178" i="34"/>
  <c r="BK54" i="45" s="1"/>
  <c r="BL96" i="34"/>
  <c r="BJ45" i="45" s="1"/>
  <c r="BL138" i="34"/>
  <c r="BM55" i="36"/>
  <c r="BJ51" i="45" l="1"/>
  <c r="Q71" i="45"/>
  <c r="Q73" i="45" s="1"/>
  <c r="Q77" i="45" s="1"/>
  <c r="BI49" i="45"/>
  <c r="BI66" i="45" s="1"/>
  <c r="BK8" i="45"/>
  <c r="R5" i="45"/>
  <c r="R4" i="45" s="1"/>
  <c r="R58" i="45" s="1"/>
  <c r="BL23" i="45"/>
  <c r="R20" i="45"/>
  <c r="R19" i="45" s="1"/>
  <c r="R60" i="45" s="1"/>
  <c r="BK15" i="45"/>
  <c r="R12" i="45"/>
  <c r="R11" i="45" s="1"/>
  <c r="R59" i="45" s="1"/>
  <c r="BM7" i="45"/>
  <c r="BK10" i="45"/>
  <c r="BN7" i="45"/>
  <c r="BL21" i="45"/>
  <c r="BK6" i="45"/>
  <c r="BN14" i="45"/>
  <c r="BM143" i="34"/>
  <c r="BL25" i="45"/>
  <c r="BK13" i="45"/>
  <c r="BM14" i="45"/>
  <c r="BK17" i="45"/>
  <c r="BK26" i="45"/>
  <c r="BK18" i="45"/>
  <c r="BM142" i="34"/>
  <c r="BK52" i="45"/>
  <c r="BK67" i="45" s="1"/>
  <c r="BJ43" i="45"/>
  <c r="BJ65" i="45" s="1"/>
  <c r="BJ50" i="45"/>
  <c r="BM139" i="34"/>
  <c r="BM112" i="34"/>
  <c r="BK47" i="45" s="1"/>
  <c r="BN71" i="36"/>
  <c r="BN162" i="34"/>
  <c r="BL53" i="45" s="1"/>
  <c r="BN178" i="34"/>
  <c r="BL54" i="45" s="1"/>
  <c r="BM96" i="34"/>
  <c r="BK45" i="45" s="1"/>
  <c r="BM138" i="34"/>
  <c r="BN55" i="36"/>
  <c r="BK51" i="45" l="1"/>
  <c r="R71" i="45"/>
  <c r="R73" i="45" s="1"/>
  <c r="R77" i="45" s="1"/>
  <c r="BJ49" i="45"/>
  <c r="BJ66" i="45" s="1"/>
  <c r="BM23" i="45"/>
  <c r="BN23" i="45"/>
  <c r="S12" i="45"/>
  <c r="S11" i="45" s="1"/>
  <c r="S59" i="45" s="1"/>
  <c r="S5" i="45"/>
  <c r="S4" i="45" s="1"/>
  <c r="S58" i="45" s="1"/>
  <c r="S20" i="45"/>
  <c r="S19" i="45" s="1"/>
  <c r="S60" i="45" s="1"/>
  <c r="BL15" i="45"/>
  <c r="BL8" i="45"/>
  <c r="BL17" i="45"/>
  <c r="BL26" i="45"/>
  <c r="BL18" i="45"/>
  <c r="BN21" i="45"/>
  <c r="BN25" i="45"/>
  <c r="BL13" i="45"/>
  <c r="BL10" i="45"/>
  <c r="BN143" i="34"/>
  <c r="BM21" i="45"/>
  <c r="BM25" i="45"/>
  <c r="BL6" i="45"/>
  <c r="BN142" i="34"/>
  <c r="BL51" i="45" s="1"/>
  <c r="BK43" i="45"/>
  <c r="BK65" i="45" s="1"/>
  <c r="BL52" i="45"/>
  <c r="BL67" i="45" s="1"/>
  <c r="BK50" i="45"/>
  <c r="BN139" i="34"/>
  <c r="BN112" i="34"/>
  <c r="BL47" i="45" s="1"/>
  <c r="BP71" i="36"/>
  <c r="BP162" i="34"/>
  <c r="BN53" i="45" s="1"/>
  <c r="BP178" i="34"/>
  <c r="BN54" i="45" s="1"/>
  <c r="BO71" i="36"/>
  <c r="BO162" i="34"/>
  <c r="BM53" i="45" s="1"/>
  <c r="BO178" i="34"/>
  <c r="BM54" i="45" s="1"/>
  <c r="BN96" i="34"/>
  <c r="BL45" i="45" s="1"/>
  <c r="BN138" i="34"/>
  <c r="BP55" i="36"/>
  <c r="BO55" i="36"/>
  <c r="S71" i="45" l="1"/>
  <c r="S73" i="45" s="1"/>
  <c r="S77" i="45" s="1"/>
  <c r="BK49" i="45"/>
  <c r="BK66" i="45" s="1"/>
  <c r="BN15" i="45"/>
  <c r="BN8" i="45"/>
  <c r="BM8" i="45"/>
  <c r="T12" i="45"/>
  <c r="T11" i="45" s="1"/>
  <c r="T59" i="45" s="1"/>
  <c r="T5" i="45"/>
  <c r="T4" i="45" s="1"/>
  <c r="T58" i="45" s="1"/>
  <c r="BM15" i="45"/>
  <c r="T20" i="45"/>
  <c r="T19" i="45" s="1"/>
  <c r="T60" i="45" s="1"/>
  <c r="BM26" i="45"/>
  <c r="BM18" i="45"/>
  <c r="BN6" i="45"/>
  <c r="BN26" i="45"/>
  <c r="BP143" i="34"/>
  <c r="BM17" i="45"/>
  <c r="BM10" i="45"/>
  <c r="BM6" i="45"/>
  <c r="BP142" i="34"/>
  <c r="BN17" i="45"/>
  <c r="BN10" i="45"/>
  <c r="BN13" i="45"/>
  <c r="BN18" i="45"/>
  <c r="BO142" i="34"/>
  <c r="BO143" i="34"/>
  <c r="BM13" i="45"/>
  <c r="BN52" i="45"/>
  <c r="BN67" i="45" s="1"/>
  <c r="BM52" i="45"/>
  <c r="BM67" i="45" s="1"/>
  <c r="BL43" i="45"/>
  <c r="BL65" i="45" s="1"/>
  <c r="BL50" i="45"/>
  <c r="BL49" i="45" s="1"/>
  <c r="BL66" i="45" s="1"/>
  <c r="BP139" i="34"/>
  <c r="BP112" i="34"/>
  <c r="BN47" i="45" s="1"/>
  <c r="BO139" i="34"/>
  <c r="BO112" i="34"/>
  <c r="BM47" i="45" s="1"/>
  <c r="BP96" i="34"/>
  <c r="BN45" i="45" s="1"/>
  <c r="BP138" i="34"/>
  <c r="BO96" i="34"/>
  <c r="BM45" i="45" s="1"/>
  <c r="BO138" i="34"/>
  <c r="BN51" i="45" l="1"/>
  <c r="BM51" i="45"/>
  <c r="T71" i="45"/>
  <c r="T73" i="45" s="1"/>
  <c r="T77" i="45" s="1"/>
  <c r="U5" i="45"/>
  <c r="U4" i="45" s="1"/>
  <c r="U58" i="45" s="1"/>
  <c r="U12" i="45"/>
  <c r="U11" i="45" s="1"/>
  <c r="U59" i="45" s="1"/>
  <c r="U20" i="45"/>
  <c r="U19" i="45" s="1"/>
  <c r="U60" i="45" s="1"/>
  <c r="BN43" i="45"/>
  <c r="BN65" i="45" s="1"/>
  <c r="BM43" i="45"/>
  <c r="BM65" i="45" s="1"/>
  <c r="BM50" i="45"/>
  <c r="BN50" i="45"/>
  <c r="BN49" i="45" l="1"/>
  <c r="BN66" i="45" s="1"/>
  <c r="U71" i="45"/>
  <c r="U73" i="45" s="1"/>
  <c r="U77" i="45" s="1"/>
  <c r="BM49" i="45"/>
  <c r="BM66" i="45" s="1"/>
  <c r="V20" i="45"/>
  <c r="V19" i="45" s="1"/>
  <c r="V60" i="45" s="1"/>
  <c r="V5" i="45"/>
  <c r="V4" i="45" s="1"/>
  <c r="V58" i="45" s="1"/>
  <c r="V12" i="45"/>
  <c r="V11" i="45" s="1"/>
  <c r="V59" i="45" s="1"/>
  <c r="V71" i="45" l="1"/>
  <c r="V73" i="45" s="1"/>
  <c r="V77" i="45" s="1"/>
  <c r="W12" i="45"/>
  <c r="W11" i="45" s="1"/>
  <c r="W59" i="45" s="1"/>
  <c r="W20" i="45"/>
  <c r="W19" i="45" s="1"/>
  <c r="W60" i="45" s="1"/>
  <c r="W5" i="45"/>
  <c r="W4" i="45" s="1"/>
  <c r="W58" i="45" s="1"/>
  <c r="W71" i="45" l="1"/>
  <c r="W73" i="45" s="1"/>
  <c r="W77" i="45" s="1"/>
  <c r="X20" i="45"/>
  <c r="X19" i="45" s="1"/>
  <c r="X60" i="45" s="1"/>
  <c r="X5" i="45"/>
  <c r="X4" i="45" s="1"/>
  <c r="X58" i="45" s="1"/>
  <c r="X12" i="45"/>
  <c r="X11" i="45" s="1"/>
  <c r="X59" i="45" s="1"/>
  <c r="X71" i="45" l="1"/>
  <c r="X73" i="45" s="1"/>
  <c r="X77" i="45" s="1"/>
  <c r="Y12" i="45"/>
  <c r="Y11" i="45" s="1"/>
  <c r="Y59" i="45" s="1"/>
  <c r="Y20" i="45"/>
  <c r="Y19" i="45" s="1"/>
  <c r="Y60" i="45" s="1"/>
  <c r="Y5" i="45"/>
  <c r="Y4" i="45" s="1"/>
  <c r="Y58" i="45" s="1"/>
  <c r="Y71" i="45" l="1"/>
  <c r="Y73" i="45" s="1"/>
  <c r="Y77" i="45" s="1"/>
  <c r="Z5" i="45"/>
  <c r="Z4" i="45" s="1"/>
  <c r="Z58" i="45" s="1"/>
  <c r="Z20" i="45"/>
  <c r="Z19" i="45" s="1"/>
  <c r="Z60" i="45" s="1"/>
  <c r="Z12" i="45"/>
  <c r="Z11" i="45" s="1"/>
  <c r="Z59" i="45" s="1"/>
  <c r="Z71" i="45" l="1"/>
  <c r="AA5" i="45"/>
  <c r="AA4" i="45" s="1"/>
  <c r="AA58" i="45" s="1"/>
  <c r="AA20" i="45"/>
  <c r="AA19" i="45" s="1"/>
  <c r="AA60" i="45" s="1"/>
  <c r="AA12" i="45"/>
  <c r="AA11" i="45" s="1"/>
  <c r="AA59" i="45" s="1"/>
  <c r="AA71" i="45" l="1"/>
  <c r="AB12" i="45"/>
  <c r="AB11" i="45" s="1"/>
  <c r="AB59" i="45" s="1"/>
  <c r="AB20" i="45"/>
  <c r="AB19" i="45" s="1"/>
  <c r="AB60" i="45" s="1"/>
  <c r="AB5" i="45"/>
  <c r="AB4" i="45" s="1"/>
  <c r="AB58" i="45" s="1"/>
  <c r="AB71" i="45" l="1"/>
  <c r="AC5" i="45"/>
  <c r="AC4" i="45" s="1"/>
  <c r="AC58" i="45" s="1"/>
  <c r="AC20" i="45"/>
  <c r="AC19" i="45" s="1"/>
  <c r="AC60" i="45" s="1"/>
  <c r="AC12" i="45"/>
  <c r="AC11" i="45" s="1"/>
  <c r="AC59" i="45" s="1"/>
  <c r="AC71" i="45" l="1"/>
  <c r="AD5" i="45"/>
  <c r="AD4" i="45" s="1"/>
  <c r="AD58" i="45" s="1"/>
  <c r="AD20" i="45"/>
  <c r="AD19" i="45" s="1"/>
  <c r="AD60" i="45" s="1"/>
  <c r="AD12" i="45"/>
  <c r="AD11" i="45" s="1"/>
  <c r="AD59" i="45" s="1"/>
  <c r="AD71" i="45" l="1"/>
  <c r="AE5" i="45"/>
  <c r="AE4" i="45" s="1"/>
  <c r="AE58" i="45" s="1"/>
  <c r="AE20" i="45"/>
  <c r="AE19" i="45" s="1"/>
  <c r="AE60" i="45" s="1"/>
  <c r="AE12" i="45"/>
  <c r="AE11" i="45" s="1"/>
  <c r="AE59" i="45" s="1"/>
  <c r="AE71" i="45" l="1"/>
  <c r="AF12" i="45"/>
  <c r="AF11" i="45" s="1"/>
  <c r="AF59" i="45" s="1"/>
  <c r="AF20" i="45"/>
  <c r="AF19" i="45" s="1"/>
  <c r="AF60" i="45" s="1"/>
  <c r="AF5" i="45"/>
  <c r="AF4" i="45" s="1"/>
  <c r="AF58" i="45" s="1"/>
  <c r="AF71" i="45" l="1"/>
  <c r="AG20" i="45"/>
  <c r="AG19" i="45" s="1"/>
  <c r="AG60" i="45" s="1"/>
  <c r="AG12" i="45"/>
  <c r="AG11" i="45" s="1"/>
  <c r="AG59" i="45" s="1"/>
  <c r="AG5" i="45"/>
  <c r="AG4" i="45" s="1"/>
  <c r="AG58" i="45" s="1"/>
  <c r="AG71" i="45" l="1"/>
  <c r="AH20" i="45"/>
  <c r="AH19" i="45" s="1"/>
  <c r="AH60" i="45" s="1"/>
  <c r="AI20" i="45" l="1"/>
  <c r="AI19" i="45" s="1"/>
  <c r="AI60" i="45" s="1"/>
  <c r="AH5" i="45"/>
  <c r="AH4" i="45" s="1"/>
  <c r="AH58" i="45" s="1"/>
  <c r="AH12" i="45"/>
  <c r="AH11" i="45" s="1"/>
  <c r="AH59" i="45" s="1"/>
  <c r="AJ20" i="45" l="1"/>
  <c r="AJ19" i="45" s="1"/>
  <c r="AJ60" i="45" s="1"/>
  <c r="AI12" i="45"/>
  <c r="AI11" i="45" s="1"/>
  <c r="AI59" i="45" s="1"/>
  <c r="AI5" i="45"/>
  <c r="AI4" i="45" s="1"/>
  <c r="AI58" i="45" s="1"/>
  <c r="AJ12" i="45" l="1"/>
  <c r="AJ11" i="45" s="1"/>
  <c r="AJ59" i="45" s="1"/>
  <c r="AJ5" i="45"/>
  <c r="AJ4" i="45" s="1"/>
  <c r="AJ58" i="45" s="1"/>
  <c r="AK20" i="45"/>
  <c r="AK19" i="45" s="1"/>
  <c r="AK60" i="45" s="1"/>
  <c r="AK5" i="45" l="1"/>
  <c r="AK4" i="45" s="1"/>
  <c r="AK58" i="45" s="1"/>
  <c r="AK12" i="45"/>
  <c r="AK11" i="45" s="1"/>
  <c r="AK59" i="45" s="1"/>
  <c r="AM20" i="45" l="1"/>
  <c r="AM19" i="45" s="1"/>
  <c r="AM60" i="45" s="1"/>
  <c r="AL20" i="45"/>
  <c r="AL19" i="45" s="1"/>
  <c r="AL60" i="45" s="1"/>
  <c r="AM12" i="45" l="1"/>
  <c r="AM11" i="45" s="1"/>
  <c r="AM59" i="45" s="1"/>
  <c r="AL12" i="45"/>
  <c r="AL11" i="45" s="1"/>
  <c r="AL59" i="45" s="1"/>
  <c r="AL5" i="45"/>
  <c r="AL4" i="45" s="1"/>
  <c r="AL58" i="45" s="1"/>
  <c r="AN20" i="45"/>
  <c r="AN19" i="45" s="1"/>
  <c r="AN60" i="45" s="1"/>
  <c r="AM5" i="45"/>
  <c r="AM4" i="45" s="1"/>
  <c r="AM58" i="45" s="1"/>
  <c r="AN5" i="45" l="1"/>
  <c r="AN4" i="45" s="1"/>
  <c r="AN58" i="45" s="1"/>
  <c r="AO20" i="45"/>
  <c r="AO19" i="45" s="1"/>
  <c r="AO60" i="45" s="1"/>
  <c r="AN12" i="45"/>
  <c r="AN11" i="45" s="1"/>
  <c r="AN59" i="45" s="1"/>
  <c r="AO5" i="45" l="1"/>
  <c r="AO4" i="45" s="1"/>
  <c r="AO58" i="45" s="1"/>
  <c r="AP20" i="45"/>
  <c r="AP19" i="45" s="1"/>
  <c r="AP60" i="45" s="1"/>
  <c r="AO12" i="45"/>
  <c r="AO11" i="45" s="1"/>
  <c r="AO59" i="45" s="1"/>
  <c r="AP5" i="45" l="1"/>
  <c r="AP4" i="45" s="1"/>
  <c r="AP58" i="45" s="1"/>
  <c r="AQ20" i="45"/>
  <c r="AQ19" i="45" s="1"/>
  <c r="AQ60" i="45" s="1"/>
  <c r="AP12" i="45"/>
  <c r="AP11" i="45" s="1"/>
  <c r="AP59" i="45" s="1"/>
  <c r="AQ5" i="45" l="1"/>
  <c r="AQ4" i="45" s="1"/>
  <c r="AQ58" i="45" s="1"/>
  <c r="AR20" i="45"/>
  <c r="AR19" i="45" s="1"/>
  <c r="AR60" i="45" s="1"/>
  <c r="AQ12" i="45"/>
  <c r="AQ11" i="45" s="1"/>
  <c r="AQ59" i="45" s="1"/>
  <c r="AR12" i="45" l="1"/>
  <c r="AR11" i="45" s="1"/>
  <c r="AR59" i="45" s="1"/>
  <c r="AR5" i="45"/>
  <c r="AR4" i="45" s="1"/>
  <c r="AR58" i="45" s="1"/>
  <c r="AS20" i="45"/>
  <c r="AS19" i="45" s="1"/>
  <c r="AS60" i="45" s="1"/>
  <c r="AS5" i="45" l="1"/>
  <c r="AS4" i="45" s="1"/>
  <c r="AS58" i="45" s="1"/>
  <c r="AS12" i="45"/>
  <c r="AS11" i="45" s="1"/>
  <c r="AS59" i="45" s="1"/>
  <c r="AT20" i="45"/>
  <c r="AT19" i="45" s="1"/>
  <c r="AT60" i="45" s="1"/>
  <c r="AT12" i="45" l="1"/>
  <c r="AT11" i="45" s="1"/>
  <c r="AT59" i="45" s="1"/>
  <c r="AU20" i="45"/>
  <c r="AU19" i="45" s="1"/>
  <c r="AU60" i="45" s="1"/>
  <c r="AT5" i="45"/>
  <c r="AT4" i="45" s="1"/>
  <c r="AT58" i="45" s="1"/>
  <c r="AU5" i="45" l="1"/>
  <c r="AU4" i="45" s="1"/>
  <c r="AU58" i="45" s="1"/>
  <c r="AV20" i="45"/>
  <c r="AV19" i="45" s="1"/>
  <c r="AV60" i="45" s="1"/>
  <c r="AU12" i="45"/>
  <c r="AU11" i="45" s="1"/>
  <c r="AU59" i="45" s="1"/>
  <c r="AV5" i="45" l="1"/>
  <c r="AV4" i="45" s="1"/>
  <c r="AV58" i="45" s="1"/>
  <c r="AW20" i="45"/>
  <c r="AW19" i="45" s="1"/>
  <c r="AW60" i="45" s="1"/>
  <c r="AV12" i="45"/>
  <c r="AV11" i="45" s="1"/>
  <c r="AV59" i="45" s="1"/>
  <c r="AW5" i="45" l="1"/>
  <c r="AW4" i="45" s="1"/>
  <c r="AW58" i="45" s="1"/>
  <c r="AX20" i="45"/>
  <c r="AX19" i="45" s="1"/>
  <c r="AX60" i="45" s="1"/>
  <c r="AW12" i="45"/>
  <c r="AW11" i="45" s="1"/>
  <c r="AW59" i="45" s="1"/>
  <c r="AX12" i="45" l="1"/>
  <c r="AX11" i="45" s="1"/>
  <c r="AX59" i="45" s="1"/>
  <c r="AY20" i="45"/>
  <c r="AY19" i="45" s="1"/>
  <c r="AY60" i="45" s="1"/>
  <c r="AX5" i="45"/>
  <c r="AX4" i="45" s="1"/>
  <c r="AX58" i="45" s="1"/>
  <c r="AY5" i="45" l="1"/>
  <c r="AY4" i="45" s="1"/>
  <c r="AY58" i="45" s="1"/>
  <c r="AY12" i="45"/>
  <c r="AY11" i="45" s="1"/>
  <c r="AY59" i="45" s="1"/>
  <c r="AZ20" i="45"/>
  <c r="AZ19" i="45" s="1"/>
  <c r="AZ60" i="45" s="1"/>
  <c r="BA20" i="45" l="1"/>
  <c r="BA19" i="45" s="1"/>
  <c r="BA60" i="45" s="1"/>
  <c r="AZ5" i="45"/>
  <c r="AZ4" i="45" s="1"/>
  <c r="AZ58" i="45" s="1"/>
  <c r="AZ12" i="45"/>
  <c r="AZ11" i="45" s="1"/>
  <c r="AZ59" i="45" s="1"/>
  <c r="BA5" i="45" l="1"/>
  <c r="BA4" i="45" s="1"/>
  <c r="BA58" i="45" s="1"/>
  <c r="BB20" i="45"/>
  <c r="BB19" i="45" s="1"/>
  <c r="BB60" i="45" s="1"/>
  <c r="BA12" i="45"/>
  <c r="BA11" i="45" s="1"/>
  <c r="BA59" i="45" s="1"/>
  <c r="BB5" i="45" l="1"/>
  <c r="BB4" i="45" s="1"/>
  <c r="BB58" i="45" s="1"/>
  <c r="BC20" i="45"/>
  <c r="BC19" i="45" s="1"/>
  <c r="BC60" i="45" s="1"/>
  <c r="BB12" i="45"/>
  <c r="BB11" i="45" s="1"/>
  <c r="BB59" i="45" s="1"/>
  <c r="BD20" i="45" l="1"/>
  <c r="BD19" i="45" s="1"/>
  <c r="BD60" i="45" s="1"/>
  <c r="BC5" i="45"/>
  <c r="BC4" i="45" s="1"/>
  <c r="BC58" i="45" s="1"/>
  <c r="BC12" i="45"/>
  <c r="BC11" i="45" s="1"/>
  <c r="BC59" i="45" s="1"/>
  <c r="BD12" i="45" l="1"/>
  <c r="BD11" i="45" s="1"/>
  <c r="BD59" i="45" s="1"/>
  <c r="BD5" i="45"/>
  <c r="BD4" i="45" s="1"/>
  <c r="BD58" i="45" s="1"/>
  <c r="BE20" i="45"/>
  <c r="BE19" i="45" s="1"/>
  <c r="BE60" i="45" s="1"/>
  <c r="BE5" i="45" l="1"/>
  <c r="BE4" i="45" s="1"/>
  <c r="BE58" i="45" s="1"/>
  <c r="BE12" i="45"/>
  <c r="BE11" i="45" s="1"/>
  <c r="BE59" i="45" s="1"/>
  <c r="BF20" i="45"/>
  <c r="BF19" i="45" s="1"/>
  <c r="BF60" i="45" s="1"/>
  <c r="BG20" i="45" l="1"/>
  <c r="BG19" i="45" s="1"/>
  <c r="BG60" i="45" s="1"/>
  <c r="BF5" i="45"/>
  <c r="BF4" i="45" s="1"/>
  <c r="BF58" i="45" s="1"/>
  <c r="BF12" i="45"/>
  <c r="BF11" i="45" s="1"/>
  <c r="BF59" i="45" s="1"/>
  <c r="BG5" i="45" l="1"/>
  <c r="BG4" i="45" s="1"/>
  <c r="BG58" i="45" s="1"/>
  <c r="BG12" i="45"/>
  <c r="BG11" i="45" s="1"/>
  <c r="BG59" i="45" s="1"/>
  <c r="BH20" i="45"/>
  <c r="BH19" i="45" s="1"/>
  <c r="BH60" i="45" s="1"/>
  <c r="BH5" i="45" l="1"/>
  <c r="BH4" i="45" s="1"/>
  <c r="BH58" i="45" s="1"/>
  <c r="BI20" i="45"/>
  <c r="BI19" i="45" s="1"/>
  <c r="BI60" i="45" s="1"/>
  <c r="BH12" i="45"/>
  <c r="BH11" i="45" s="1"/>
  <c r="BH59" i="45" s="1"/>
  <c r="BI5" i="45" l="1"/>
  <c r="BI4" i="45" s="1"/>
  <c r="BI58" i="45" s="1"/>
  <c r="BJ20" i="45"/>
  <c r="BJ19" i="45" s="1"/>
  <c r="BJ60" i="45" s="1"/>
  <c r="BI12" i="45"/>
  <c r="BI11" i="45" s="1"/>
  <c r="BI59" i="45" s="1"/>
  <c r="BJ12" i="45" l="1"/>
  <c r="BJ11" i="45" s="1"/>
  <c r="BJ59" i="45" s="1"/>
  <c r="BK20" i="45"/>
  <c r="BK19" i="45" s="1"/>
  <c r="BK60" i="45" s="1"/>
  <c r="BJ5" i="45"/>
  <c r="BJ4" i="45" s="1"/>
  <c r="BJ58" i="45" s="1"/>
  <c r="BL20" i="45" l="1"/>
  <c r="BL19" i="45" s="1"/>
  <c r="BL60" i="45" s="1"/>
  <c r="BK5" i="45"/>
  <c r="BK4" i="45" s="1"/>
  <c r="BK58" i="45" s="1"/>
  <c r="BK12" i="45"/>
  <c r="BK11" i="45" s="1"/>
  <c r="BK59" i="45" s="1"/>
  <c r="BL5" i="45" l="1"/>
  <c r="BL4" i="45" s="1"/>
  <c r="BL58" i="45" s="1"/>
  <c r="BN20" i="45"/>
  <c r="BN19" i="45" s="1"/>
  <c r="BN60" i="45" s="1"/>
  <c r="BM20" i="45"/>
  <c r="BM19" i="45" s="1"/>
  <c r="BM60" i="45" s="1"/>
  <c r="BL12" i="45"/>
  <c r="BL11" i="45" s="1"/>
  <c r="BL59" i="45" s="1"/>
  <c r="BM5" i="45" l="1"/>
  <c r="BM4" i="45" s="1"/>
  <c r="BM58" i="45" s="1"/>
  <c r="BN5" i="45"/>
  <c r="BN4" i="45" s="1"/>
  <c r="BN58" i="45" s="1"/>
  <c r="BN12" i="45"/>
  <c r="BN11" i="45" s="1"/>
  <c r="BN59" i="45" s="1"/>
  <c r="BM12" i="45"/>
  <c r="BM11" i="45" s="1"/>
  <c r="BM59" i="45" s="1"/>
  <c r="BI83" i="34" l="1"/>
  <c r="BI67" i="34"/>
  <c r="BP83" i="34"/>
  <c r="BP67" i="34"/>
  <c r="AZ83" i="34"/>
  <c r="AZ67" i="34"/>
  <c r="BC83" i="34"/>
  <c r="BC67" i="34"/>
  <c r="AR81" i="34"/>
  <c r="AR65" i="34"/>
  <c r="AM81" i="34"/>
  <c r="AM65" i="34"/>
  <c r="BO81" i="34"/>
  <c r="BO65" i="34"/>
  <c r="BE81" i="34"/>
  <c r="BE65" i="34"/>
  <c r="BN80" i="34"/>
  <c r="BN64" i="34"/>
  <c r="BD80" i="34"/>
  <c r="BD64" i="34"/>
  <c r="BP80" i="34"/>
  <c r="BP64" i="34"/>
  <c r="BI80" i="34"/>
  <c r="BI64" i="34"/>
  <c r="AN79" i="34"/>
  <c r="AN63" i="34"/>
  <c r="AT79" i="34"/>
  <c r="AT63" i="34"/>
  <c r="BB79" i="34"/>
  <c r="BB63" i="34"/>
  <c r="AW79" i="34"/>
  <c r="AW63" i="34"/>
  <c r="AO83" i="34"/>
  <c r="AO67" i="34"/>
  <c r="BL83" i="34"/>
  <c r="BL67" i="34"/>
  <c r="AY83" i="34"/>
  <c r="AY67" i="34"/>
  <c r="AV81" i="34"/>
  <c r="AV65" i="34"/>
  <c r="BP81" i="34"/>
  <c r="BP65" i="34"/>
  <c r="AU81" i="34"/>
  <c r="AU65" i="34"/>
  <c r="AN81" i="34"/>
  <c r="AN65" i="34"/>
  <c r="AK81" i="34"/>
  <c r="AK65" i="34"/>
  <c r="AX80" i="34"/>
  <c r="AX64" i="34"/>
  <c r="AV80" i="34"/>
  <c r="AV64" i="34"/>
  <c r="AP80" i="34"/>
  <c r="AP64" i="34"/>
  <c r="AO80" i="34"/>
  <c r="AO64" i="34"/>
  <c r="AJ79" i="34"/>
  <c r="AJ63" i="34"/>
  <c r="BH79" i="34"/>
  <c r="BH63" i="34"/>
  <c r="AV79" i="34"/>
  <c r="AV63" i="34"/>
  <c r="BI79" i="34"/>
  <c r="BI63" i="34"/>
  <c r="BJ83" i="34"/>
  <c r="BJ67" i="34"/>
  <c r="BB83" i="34"/>
  <c r="BB67" i="34"/>
  <c r="AS83" i="34"/>
  <c r="AS67" i="34"/>
  <c r="AX83" i="34"/>
  <c r="AX67" i="34"/>
  <c r="BH83" i="34"/>
  <c r="BH67" i="34"/>
  <c r="AR83" i="34"/>
  <c r="AR67" i="34"/>
  <c r="BK83" i="34"/>
  <c r="BK67" i="34"/>
  <c r="AU83" i="34"/>
  <c r="AU67" i="34"/>
  <c r="AL81" i="34"/>
  <c r="AL65" i="34"/>
  <c r="BC81" i="34"/>
  <c r="BC65" i="34"/>
  <c r="BH81" i="34"/>
  <c r="BH65" i="34"/>
  <c r="BK81" i="34"/>
  <c r="BK65" i="34"/>
  <c r="AP81" i="34"/>
  <c r="AP65" i="34"/>
  <c r="BD81" i="34"/>
  <c r="BD65" i="34"/>
  <c r="BM81" i="34"/>
  <c r="BM65" i="34"/>
  <c r="AW81" i="34"/>
  <c r="AW65" i="34"/>
  <c r="BC80" i="34"/>
  <c r="BC64" i="34"/>
  <c r="BJ80" i="34"/>
  <c r="BJ64" i="34"/>
  <c r="AM80" i="34"/>
  <c r="AM64" i="34"/>
  <c r="BL80" i="34"/>
  <c r="BL64" i="34"/>
  <c r="AQ80" i="34"/>
  <c r="AQ64" i="34"/>
  <c r="BF80" i="34"/>
  <c r="BF64" i="34"/>
  <c r="AJ80" i="34"/>
  <c r="AJ64" i="34"/>
  <c r="BA80" i="34"/>
  <c r="BA64" i="34"/>
  <c r="AK80" i="34"/>
  <c r="AK64" i="34"/>
  <c r="BF79" i="34"/>
  <c r="BF63" i="34"/>
  <c r="BO79" i="34"/>
  <c r="BO63" i="34"/>
  <c r="AZ79" i="34"/>
  <c r="AZ63" i="34"/>
  <c r="BC79" i="34"/>
  <c r="BC63" i="34"/>
  <c r="BL79" i="34"/>
  <c r="BL63" i="34"/>
  <c r="AQ79" i="34"/>
  <c r="AQ63" i="34"/>
  <c r="BE79" i="34"/>
  <c r="BE63" i="34"/>
  <c r="AO79" i="34"/>
  <c r="AO63" i="34"/>
  <c r="BE83" i="34"/>
  <c r="BE67" i="34"/>
  <c r="BM83" i="34"/>
  <c r="BM67" i="34"/>
  <c r="BN83" i="34"/>
  <c r="BN67" i="34"/>
  <c r="AJ83" i="34"/>
  <c r="AJ67" i="34"/>
  <c r="AM83" i="34"/>
  <c r="AM67" i="34"/>
  <c r="BB81" i="34"/>
  <c r="BB65" i="34"/>
  <c r="AZ81" i="34"/>
  <c r="AZ65" i="34"/>
  <c r="AT81" i="34"/>
  <c r="AT65" i="34"/>
  <c r="AO81" i="34"/>
  <c r="AO65" i="34"/>
  <c r="BH80" i="34"/>
  <c r="BH64" i="34"/>
  <c r="BB80" i="34"/>
  <c r="BB64" i="34"/>
  <c r="AU80" i="34"/>
  <c r="AU64" i="34"/>
  <c r="AS80" i="34"/>
  <c r="AS64" i="34"/>
  <c r="AU79" i="34"/>
  <c r="AU63" i="34"/>
  <c r="BN79" i="34"/>
  <c r="BN63" i="34"/>
  <c r="AR79" i="34"/>
  <c r="AR63" i="34"/>
  <c r="BM79" i="34"/>
  <c r="BM63" i="34"/>
  <c r="AW83" i="34"/>
  <c r="AW67" i="34"/>
  <c r="BA83" i="34"/>
  <c r="BA67" i="34"/>
  <c r="BF83" i="34"/>
  <c r="BF67" i="34"/>
  <c r="AV83" i="34"/>
  <c r="AV67" i="34"/>
  <c r="BO83" i="34"/>
  <c r="BO67" i="34"/>
  <c r="BG81" i="34"/>
  <c r="BG65" i="34"/>
  <c r="AQ81" i="34"/>
  <c r="AQ65" i="34"/>
  <c r="BJ81" i="34"/>
  <c r="BJ65" i="34"/>
  <c r="BA81" i="34"/>
  <c r="BA65" i="34"/>
  <c r="AR80" i="34"/>
  <c r="AR64" i="34"/>
  <c r="AT80" i="34"/>
  <c r="AT64" i="34"/>
  <c r="BK80" i="34"/>
  <c r="BK64" i="34"/>
  <c r="BE80" i="34"/>
  <c r="BE64" i="34"/>
  <c r="BP79" i="34"/>
  <c r="BN37" i="45" s="1"/>
  <c r="BP63" i="34"/>
  <c r="BK79" i="34"/>
  <c r="BK63" i="34"/>
  <c r="AM63" i="34"/>
  <c r="AM79" i="34"/>
  <c r="AS79" i="34"/>
  <c r="AS63" i="34"/>
  <c r="AT83" i="34"/>
  <c r="AT67" i="34"/>
  <c r="AL83" i="34"/>
  <c r="AL67" i="34"/>
  <c r="AK83" i="34"/>
  <c r="AK67" i="34"/>
  <c r="AP83" i="34"/>
  <c r="AP67" i="34"/>
  <c r="BD83" i="34"/>
  <c r="BD67" i="34"/>
  <c r="AN83" i="34"/>
  <c r="AN67" i="34"/>
  <c r="BG67" i="34"/>
  <c r="BG83" i="34"/>
  <c r="AQ67" i="34"/>
  <c r="AQ83" i="34"/>
  <c r="BN81" i="34"/>
  <c r="BN65" i="34"/>
  <c r="BL81" i="34"/>
  <c r="BL65" i="34"/>
  <c r="AX81" i="34"/>
  <c r="AX65" i="34"/>
  <c r="BF81" i="34"/>
  <c r="BF65" i="34"/>
  <c r="AJ81" i="34"/>
  <c r="AJ65" i="34"/>
  <c r="AY81" i="34"/>
  <c r="AY65" i="34"/>
  <c r="BI81" i="34"/>
  <c r="BG37" i="45" s="1"/>
  <c r="BI65" i="34"/>
  <c r="AS81" i="34"/>
  <c r="AS65" i="34"/>
  <c r="AY80" i="34"/>
  <c r="AY64" i="34"/>
  <c r="AN80" i="34"/>
  <c r="AN64" i="34"/>
  <c r="BO80" i="34"/>
  <c r="BO64" i="34"/>
  <c r="BG80" i="34"/>
  <c r="BG64" i="34"/>
  <c r="AL80" i="34"/>
  <c r="AL64" i="34"/>
  <c r="AZ80" i="34"/>
  <c r="AZ64" i="34"/>
  <c r="BM80" i="34"/>
  <c r="BM64" i="34"/>
  <c r="AW80" i="34"/>
  <c r="AW64" i="34"/>
  <c r="BJ79" i="34"/>
  <c r="BJ63" i="34"/>
  <c r="AY79" i="34"/>
  <c r="AY63" i="34"/>
  <c r="BD79" i="34"/>
  <c r="BD63" i="34"/>
  <c r="AP79" i="34"/>
  <c r="AN37" i="45" s="1"/>
  <c r="AP63" i="34"/>
  <c r="AX79" i="34"/>
  <c r="AX63" i="34"/>
  <c r="BG63" i="34"/>
  <c r="BG79" i="34"/>
  <c r="AL79" i="34"/>
  <c r="AL63" i="34"/>
  <c r="BA79" i="34"/>
  <c r="BA63" i="34"/>
  <c r="AK79" i="34"/>
  <c r="AK63" i="34"/>
  <c r="AF37" i="45"/>
  <c r="AD30" i="45"/>
  <c r="AT37" i="45"/>
  <c r="AE30" i="45"/>
  <c r="AS37" i="45"/>
  <c r="AC37" i="45"/>
  <c r="AC30" i="45"/>
  <c r="AM37" i="45"/>
  <c r="BF37" i="45" l="1"/>
  <c r="AU37" i="45"/>
  <c r="AX37" i="45"/>
  <c r="AQ37" i="45"/>
  <c r="AT30" i="45"/>
  <c r="BL37" i="45"/>
  <c r="AN30" i="45"/>
  <c r="AK37" i="45"/>
  <c r="AP30" i="45"/>
  <c r="BB37" i="45"/>
  <c r="BH37" i="45"/>
  <c r="BK37" i="45"/>
  <c r="BM37" i="45"/>
  <c r="AP37" i="45"/>
  <c r="AV30" i="45"/>
  <c r="BH30" i="45"/>
  <c r="BM30" i="45"/>
  <c r="BN30" i="45"/>
  <c r="AS30" i="45"/>
  <c r="AV37" i="45"/>
  <c r="BB30" i="45"/>
  <c r="BE30" i="45"/>
  <c r="AJ37" i="45"/>
  <c r="AU30" i="45"/>
  <c r="AQ30" i="45"/>
  <c r="BC30" i="45"/>
  <c r="BJ30" i="45"/>
  <c r="BF30" i="45"/>
  <c r="BE37" i="45"/>
  <c r="BC37" i="45"/>
  <c r="BJ37" i="45"/>
  <c r="BD37" i="45"/>
  <c r="BK30" i="45"/>
  <c r="BL30" i="45"/>
  <c r="AX30" i="45"/>
  <c r="BG30" i="45"/>
  <c r="AM30" i="45"/>
  <c r="AK30" i="45"/>
  <c r="BD30" i="45"/>
  <c r="AJ30" i="45"/>
  <c r="AE37" i="45"/>
  <c r="AD37" i="45"/>
  <c r="AA30" i="45"/>
  <c r="AA37" i="45"/>
  <c r="AF30" i="45"/>
  <c r="Z37" i="45"/>
  <c r="AG37" i="45"/>
  <c r="AW37" i="45"/>
  <c r="AY37" i="45"/>
  <c r="BA37" i="45"/>
  <c r="BI37" i="45"/>
  <c r="AH37" i="45"/>
  <c r="AL37" i="45"/>
  <c r="Z30" i="45"/>
  <c r="AG30" i="45"/>
  <c r="AW30" i="45"/>
  <c r="AY30" i="45"/>
  <c r="BA30" i="45"/>
  <c r="BI30" i="45"/>
  <c r="AH30" i="45"/>
  <c r="AL30" i="45"/>
  <c r="AO37" i="45"/>
  <c r="AB37" i="45"/>
  <c r="AI30" i="45"/>
  <c r="AZ30" i="45"/>
  <c r="AR37" i="45"/>
  <c r="AO30" i="45"/>
  <c r="AB30" i="45"/>
  <c r="AI37" i="45"/>
  <c r="AZ37" i="45"/>
  <c r="AR30" i="45"/>
  <c r="AO71" i="34" l="1"/>
  <c r="AO55" i="34"/>
  <c r="BP71" i="34"/>
  <c r="BP55" i="34"/>
  <c r="AS75" i="34"/>
  <c r="AS59" i="34"/>
  <c r="BI75" i="34"/>
  <c r="BI59" i="34"/>
  <c r="BF82" i="34"/>
  <c r="BD38" i="45" s="1"/>
  <c r="BF66" i="34"/>
  <c r="BD31" i="45" s="1"/>
  <c r="BP82" i="34"/>
  <c r="BP66" i="34"/>
  <c r="AS82" i="34"/>
  <c r="AS66" i="34"/>
  <c r="AQ31" i="45" s="1"/>
  <c r="AP70" i="34"/>
  <c r="AP54" i="34"/>
  <c r="BO72" i="34"/>
  <c r="BO56" i="34"/>
  <c r="AS72" i="34"/>
  <c r="AS56" i="34"/>
  <c r="BP72" i="34"/>
  <c r="BP56" i="34"/>
  <c r="BO76" i="34"/>
  <c r="BO60" i="34"/>
  <c r="AV76" i="34"/>
  <c r="AV60" i="34"/>
  <c r="AO76" i="34"/>
  <c r="AO60" i="34"/>
  <c r="BB84" i="34"/>
  <c r="BB68" i="34"/>
  <c r="AZ32" i="45" s="1"/>
  <c r="BK84" i="34"/>
  <c r="BK68" i="34"/>
  <c r="BB78" i="34"/>
  <c r="BB62" i="34"/>
  <c r="BC78" i="34"/>
  <c r="BC62" i="34"/>
  <c r="AS73" i="34"/>
  <c r="AS57" i="34"/>
  <c r="AU57" i="34"/>
  <c r="AU73" i="34"/>
  <c r="AZ73" i="34"/>
  <c r="AZ57" i="34"/>
  <c r="AR77" i="34"/>
  <c r="AR61" i="34"/>
  <c r="BE77" i="34"/>
  <c r="BE61" i="34"/>
  <c r="BK74" i="34"/>
  <c r="BK58" i="34"/>
  <c r="BF74" i="34"/>
  <c r="BF58" i="34"/>
  <c r="BH74" i="34"/>
  <c r="BH58" i="34"/>
  <c r="AR85" i="34"/>
  <c r="AR69" i="34"/>
  <c r="AP33" i="45" s="1"/>
  <c r="AK85" i="34"/>
  <c r="AK69" i="34"/>
  <c r="AZ85" i="34"/>
  <c r="AZ69" i="34"/>
  <c r="AX33" i="45" s="1"/>
  <c r="BE71" i="34"/>
  <c r="BE55" i="34"/>
  <c r="BO71" i="34"/>
  <c r="BO55" i="34"/>
  <c r="BD75" i="34"/>
  <c r="BD59" i="34"/>
  <c r="BN75" i="34"/>
  <c r="BN59" i="34"/>
  <c r="AL75" i="34"/>
  <c r="AL59" i="34"/>
  <c r="BJ82" i="34"/>
  <c r="BH38" i="45" s="1"/>
  <c r="BJ66" i="34"/>
  <c r="BH31" i="45" s="1"/>
  <c r="AM82" i="34"/>
  <c r="AM66" i="34"/>
  <c r="AL70" i="34"/>
  <c r="AL54" i="34"/>
  <c r="BF70" i="34"/>
  <c r="BF54" i="34"/>
  <c r="BK54" i="34"/>
  <c r="BK70" i="34"/>
  <c r="BN70" i="34"/>
  <c r="BN54" i="34"/>
  <c r="AS70" i="34"/>
  <c r="AS54" i="34"/>
  <c r="BH70" i="34"/>
  <c r="BH54" i="34"/>
  <c r="AR70" i="34"/>
  <c r="AR54" i="34"/>
  <c r="AM72" i="34"/>
  <c r="AM56" i="34"/>
  <c r="BI72" i="34"/>
  <c r="BI56" i="34"/>
  <c r="BN72" i="34"/>
  <c r="BN56" i="34"/>
  <c r="AL72" i="34"/>
  <c r="AL56" i="34"/>
  <c r="AQ72" i="34"/>
  <c r="AQ56" i="34"/>
  <c r="AU72" i="34"/>
  <c r="AU56" i="34"/>
  <c r="BL72" i="34"/>
  <c r="BL56" i="34"/>
  <c r="AV72" i="34"/>
  <c r="AV56" i="34"/>
  <c r="BH76" i="34"/>
  <c r="BH60" i="34"/>
  <c r="BD76" i="34"/>
  <c r="BD60" i="34"/>
  <c r="AR76" i="34"/>
  <c r="AR60" i="34"/>
  <c r="BL76" i="34"/>
  <c r="BL60" i="34"/>
  <c r="AQ76" i="34"/>
  <c r="AQ60" i="34"/>
  <c r="BF76" i="34"/>
  <c r="BF60" i="34"/>
  <c r="AJ76" i="34"/>
  <c r="AJ60" i="34"/>
  <c r="BA76" i="34"/>
  <c r="BA60" i="34"/>
  <c r="AK76" i="34"/>
  <c r="AK60" i="34"/>
  <c r="AX84" i="34"/>
  <c r="AX68" i="34"/>
  <c r="AV32" i="45" s="1"/>
  <c r="BF84" i="34"/>
  <c r="BF68" i="34"/>
  <c r="AW84" i="34"/>
  <c r="AW68" i="34"/>
  <c r="AU32" i="45" s="1"/>
  <c r="AT84" i="34"/>
  <c r="AT68" i="34"/>
  <c r="BD84" i="34"/>
  <c r="BD68" i="34"/>
  <c r="BB32" i="45" s="1"/>
  <c r="AN84" i="34"/>
  <c r="AN68" i="34"/>
  <c r="BG84" i="34"/>
  <c r="BG68" i="34"/>
  <c r="BE32" i="45" s="1"/>
  <c r="AQ84" i="34"/>
  <c r="AQ68" i="34"/>
  <c r="BL78" i="34"/>
  <c r="BL62" i="34"/>
  <c r="AQ78" i="34"/>
  <c r="AQ62" i="34"/>
  <c r="BG78" i="34"/>
  <c r="BG62" i="34"/>
  <c r="BJ78" i="34"/>
  <c r="BJ62" i="34"/>
  <c r="AN78" i="34"/>
  <c r="AN62" i="34"/>
  <c r="AX78" i="34"/>
  <c r="AX62" i="34"/>
  <c r="BI78" i="34"/>
  <c r="BI62" i="34"/>
  <c r="AS78" i="34"/>
  <c r="AS62" i="34"/>
  <c r="AK73" i="34"/>
  <c r="AK57" i="34"/>
  <c r="BF73" i="34"/>
  <c r="BF57" i="34"/>
  <c r="AL73" i="34"/>
  <c r="AL57" i="34"/>
  <c r="AP73" i="34"/>
  <c r="AP57" i="34"/>
  <c r="AM73" i="34"/>
  <c r="AM57" i="34"/>
  <c r="AY73" i="34"/>
  <c r="AY57" i="34"/>
  <c r="BL73" i="34"/>
  <c r="BL57" i="34"/>
  <c r="AV73" i="34"/>
  <c r="AV57" i="34"/>
  <c r="BB77" i="34"/>
  <c r="BB61" i="34"/>
  <c r="AX77" i="34"/>
  <c r="AX61" i="34"/>
  <c r="AL77" i="34"/>
  <c r="AL61" i="34"/>
  <c r="BP77" i="34"/>
  <c r="BP61" i="34"/>
  <c r="AU61" i="34"/>
  <c r="AU77" i="34"/>
  <c r="BJ77" i="34"/>
  <c r="BJ61" i="34"/>
  <c r="AN77" i="34"/>
  <c r="AN61" i="34"/>
  <c r="BA77" i="34"/>
  <c r="BA61" i="34"/>
  <c r="AK77" i="34"/>
  <c r="AK61" i="34"/>
  <c r="AP74" i="34"/>
  <c r="AP58" i="34"/>
  <c r="AW74" i="34"/>
  <c r="AW58" i="34"/>
  <c r="AT74" i="34"/>
  <c r="AT58" i="34"/>
  <c r="AY74" i="34"/>
  <c r="AY58" i="34"/>
  <c r="BI74" i="34"/>
  <c r="BI58" i="34"/>
  <c r="AM74" i="34"/>
  <c r="AM58" i="34"/>
  <c r="BD74" i="34"/>
  <c r="BD58" i="34"/>
  <c r="AN74" i="34"/>
  <c r="AN58" i="34"/>
  <c r="AN85" i="34"/>
  <c r="AN69" i="34"/>
  <c r="AL85" i="34"/>
  <c r="AL69" i="34"/>
  <c r="BM85" i="34"/>
  <c r="BM69" i="34"/>
  <c r="BA85" i="34"/>
  <c r="AY40" i="45" s="1"/>
  <c r="BA69" i="34"/>
  <c r="AY33" i="45" s="1"/>
  <c r="BP85" i="34"/>
  <c r="BP69" i="34"/>
  <c r="AT85" i="34"/>
  <c r="AR40" i="45" s="1"/>
  <c r="AT69" i="34"/>
  <c r="AR33" i="45" s="1"/>
  <c r="BK85" i="34"/>
  <c r="BK69" i="34"/>
  <c r="AU85" i="34"/>
  <c r="AS40" i="45" s="1"/>
  <c r="AU69" i="34"/>
  <c r="AS33" i="45" s="1"/>
  <c r="AK71" i="34"/>
  <c r="AK55" i="34"/>
  <c r="AT71" i="34"/>
  <c r="AT55" i="34"/>
  <c r="AZ71" i="34"/>
  <c r="AZ55" i="34"/>
  <c r="AY75" i="34"/>
  <c r="AY59" i="34"/>
  <c r="BB75" i="34"/>
  <c r="BB59" i="34"/>
  <c r="AN75" i="34"/>
  <c r="AN59" i="34"/>
  <c r="AJ82" i="34"/>
  <c r="AJ66" i="34"/>
  <c r="BK82" i="34"/>
  <c r="BI38" i="45" s="1"/>
  <c r="BK66" i="34"/>
  <c r="BI31" i="45" s="1"/>
  <c r="AT70" i="34"/>
  <c r="AT54" i="34"/>
  <c r="BM70" i="34"/>
  <c r="BM54" i="34"/>
  <c r="AX70" i="34"/>
  <c r="AX54" i="34"/>
  <c r="AV70" i="34"/>
  <c r="AV54" i="34"/>
  <c r="AW72" i="34"/>
  <c r="AW56" i="34"/>
  <c r="AX72" i="34"/>
  <c r="AX56" i="34"/>
  <c r="AZ72" i="34"/>
  <c r="AZ56" i="34"/>
  <c r="BC76" i="34"/>
  <c r="BC60" i="34"/>
  <c r="BK76" i="34"/>
  <c r="BK60" i="34"/>
  <c r="BE76" i="34"/>
  <c r="BE60" i="34"/>
  <c r="AK84" i="34"/>
  <c r="AI39" i="45" s="1"/>
  <c r="AK68" i="34"/>
  <c r="BH84" i="34"/>
  <c r="BF39" i="45" s="1"/>
  <c r="BH68" i="34"/>
  <c r="AJ78" i="34"/>
  <c r="AJ62" i="34"/>
  <c r="BO78" i="34"/>
  <c r="BO62" i="34"/>
  <c r="BM78" i="34"/>
  <c r="BM62" i="34"/>
  <c r="BM73" i="34"/>
  <c r="BM57" i="34"/>
  <c r="AW73" i="34"/>
  <c r="AW57" i="34"/>
  <c r="BP73" i="34"/>
  <c r="BP57" i="34"/>
  <c r="BH77" i="34"/>
  <c r="BH61" i="34"/>
  <c r="AV77" i="34"/>
  <c r="AV61" i="34"/>
  <c r="BO77" i="34"/>
  <c r="BO61" i="34"/>
  <c r="AO77" i="34"/>
  <c r="AO61" i="34"/>
  <c r="BA74" i="34"/>
  <c r="BA58" i="34"/>
  <c r="AS74" i="34"/>
  <c r="AS58" i="34"/>
  <c r="AX85" i="34"/>
  <c r="AX69" i="34"/>
  <c r="BF85" i="34"/>
  <c r="BD40" i="45" s="1"/>
  <c r="BF69" i="34"/>
  <c r="BD33" i="45" s="1"/>
  <c r="BO85" i="34"/>
  <c r="BO69" i="34"/>
  <c r="BK71" i="34"/>
  <c r="BK55" i="34"/>
  <c r="AM71" i="34"/>
  <c r="AM55" i="34"/>
  <c r="BL71" i="34"/>
  <c r="BL55" i="34"/>
  <c r="AZ75" i="34"/>
  <c r="AZ59" i="34"/>
  <c r="AP75" i="34"/>
  <c r="AP59" i="34"/>
  <c r="BE75" i="34"/>
  <c r="BE59" i="34"/>
  <c r="AV82" i="34"/>
  <c r="AT38" i="45" s="1"/>
  <c r="AV66" i="34"/>
  <c r="AT31" i="45" s="1"/>
  <c r="BL82" i="34"/>
  <c r="BL66" i="34"/>
  <c r="BG82" i="34"/>
  <c r="BE38" i="45" s="1"/>
  <c r="BG66" i="34"/>
  <c r="BE31" i="45" s="1"/>
  <c r="AO82" i="34"/>
  <c r="AO66" i="34"/>
  <c r="BN71" i="34"/>
  <c r="BN55" i="34"/>
  <c r="AX71" i="34"/>
  <c r="AX55" i="34"/>
  <c r="BC71" i="34"/>
  <c r="BC55" i="34"/>
  <c r="BI71" i="34"/>
  <c r="BI55" i="34"/>
  <c r="BM71" i="34"/>
  <c r="BM55" i="34"/>
  <c r="AQ71" i="34"/>
  <c r="AQ55" i="34"/>
  <c r="BH71" i="34"/>
  <c r="BH55" i="34"/>
  <c r="AR71" i="34"/>
  <c r="AR55" i="34"/>
  <c r="BK75" i="34"/>
  <c r="BK59" i="34"/>
  <c r="AM59" i="34"/>
  <c r="AM75" i="34"/>
  <c r="BP75" i="34"/>
  <c r="BP59" i="34"/>
  <c r="BH75" i="34"/>
  <c r="BH59" i="34"/>
  <c r="BL75" i="34"/>
  <c r="BL59" i="34"/>
  <c r="AO75" i="34"/>
  <c r="AO59" i="34"/>
  <c r="BA75" i="34"/>
  <c r="BA59" i="34"/>
  <c r="AV75" i="34"/>
  <c r="AV59" i="34"/>
  <c r="BI82" i="34"/>
  <c r="BG38" i="45" s="1"/>
  <c r="BI66" i="34"/>
  <c r="BG31" i="45" s="1"/>
  <c r="AZ82" i="34"/>
  <c r="AZ66" i="34"/>
  <c r="BE82" i="34"/>
  <c r="BE66" i="34"/>
  <c r="BC31" i="45" s="1"/>
  <c r="BB82" i="34"/>
  <c r="BB66" i="34"/>
  <c r="BH82" i="34"/>
  <c r="BF38" i="45" s="1"/>
  <c r="BH66" i="34"/>
  <c r="BF31" i="45" s="1"/>
  <c r="AN82" i="34"/>
  <c r="AN66" i="34"/>
  <c r="BC82" i="34"/>
  <c r="BA38" i="45" s="1"/>
  <c r="BC66" i="34"/>
  <c r="BA31" i="45" s="1"/>
  <c r="BA82" i="34"/>
  <c r="BA66" i="34"/>
  <c r="AK82" i="34"/>
  <c r="AI38" i="45" s="1"/>
  <c r="AK66" i="34"/>
  <c r="AI31" i="45" s="1"/>
  <c r="AO70" i="34"/>
  <c r="AO54" i="34"/>
  <c r="BJ70" i="34"/>
  <c r="BJ54" i="34"/>
  <c r="AY54" i="34"/>
  <c r="AY70" i="34"/>
  <c r="BE70" i="34"/>
  <c r="BE54" i="34"/>
  <c r="BI70" i="34"/>
  <c r="BI54" i="34"/>
  <c r="AM70" i="34"/>
  <c r="AM54" i="34"/>
  <c r="BD70" i="34"/>
  <c r="BD54" i="34"/>
  <c r="AN70" i="34"/>
  <c r="AN54" i="34"/>
  <c r="BB72" i="34"/>
  <c r="BB56" i="34"/>
  <c r="AT72" i="34"/>
  <c r="AT56" i="34"/>
  <c r="BG56" i="34"/>
  <c r="BG72" i="34"/>
  <c r="BM72" i="34"/>
  <c r="BM56" i="34"/>
  <c r="BK72" i="34"/>
  <c r="BK56" i="34"/>
  <c r="AP72" i="34"/>
  <c r="AP56" i="34"/>
  <c r="BH72" i="34"/>
  <c r="BH56" i="34"/>
  <c r="AR72" i="34"/>
  <c r="AR56" i="34"/>
  <c r="AM76" i="34"/>
  <c r="AM60" i="34"/>
  <c r="AT76" i="34"/>
  <c r="AT60" i="34"/>
  <c r="BJ76" i="34"/>
  <c r="BJ60" i="34"/>
  <c r="BG60" i="34"/>
  <c r="BG76" i="34"/>
  <c r="AL76" i="34"/>
  <c r="AL60" i="34"/>
  <c r="AZ76" i="34"/>
  <c r="AZ60" i="34"/>
  <c r="BM76" i="34"/>
  <c r="BM60" i="34"/>
  <c r="AW76" i="34"/>
  <c r="AW60" i="34"/>
  <c r="BI84" i="34"/>
  <c r="BI68" i="34"/>
  <c r="BP84" i="34"/>
  <c r="BN39" i="45" s="1"/>
  <c r="BP68" i="34"/>
  <c r="BN32" i="45" s="1"/>
  <c r="AP84" i="34"/>
  <c r="AP68" i="34"/>
  <c r="AO84" i="34"/>
  <c r="AO68" i="34"/>
  <c r="AM32" i="45" s="1"/>
  <c r="AL84" i="34"/>
  <c r="AL68" i="34"/>
  <c r="AZ84" i="34"/>
  <c r="AX39" i="45" s="1"/>
  <c r="AZ68" i="34"/>
  <c r="AX32" i="45" s="1"/>
  <c r="AJ84" i="34"/>
  <c r="AJ68" i="34"/>
  <c r="BC84" i="34"/>
  <c r="BA39" i="45" s="1"/>
  <c r="BC68" i="34"/>
  <c r="BA32" i="45" s="1"/>
  <c r="AM84" i="34"/>
  <c r="AM68" i="34"/>
  <c r="BP78" i="34"/>
  <c r="BP62" i="34"/>
  <c r="BK78" i="34"/>
  <c r="BK62" i="34"/>
  <c r="AV78" i="34"/>
  <c r="AV62" i="34"/>
  <c r="BD78" i="34"/>
  <c r="BD62" i="34"/>
  <c r="BN78" i="34"/>
  <c r="BN62" i="34"/>
  <c r="AR78" i="34"/>
  <c r="AR62" i="34"/>
  <c r="BE78" i="34"/>
  <c r="BE62" i="34"/>
  <c r="AO78" i="34"/>
  <c r="AO62" i="34"/>
  <c r="AX73" i="34"/>
  <c r="AX57" i="34"/>
  <c r="AQ73" i="34"/>
  <c r="AQ57" i="34"/>
  <c r="BK73" i="34"/>
  <c r="BK57" i="34"/>
  <c r="BI73" i="34"/>
  <c r="BI57" i="34"/>
  <c r="BO73" i="34"/>
  <c r="BO57" i="34"/>
  <c r="AT73" i="34"/>
  <c r="AT57" i="34"/>
  <c r="BH73" i="34"/>
  <c r="BH57" i="34"/>
  <c r="AR73" i="34"/>
  <c r="AR57" i="34"/>
  <c r="BL77" i="34"/>
  <c r="BL61" i="34"/>
  <c r="AM77" i="34"/>
  <c r="AM61" i="34"/>
  <c r="BN77" i="34"/>
  <c r="BN61" i="34"/>
  <c r="BK77" i="34"/>
  <c r="BK61" i="34"/>
  <c r="AP77" i="34"/>
  <c r="AP61" i="34"/>
  <c r="BD77" i="34"/>
  <c r="BD61" i="34"/>
  <c r="BM77" i="34"/>
  <c r="BM61" i="34"/>
  <c r="AW77" i="34"/>
  <c r="AW61" i="34"/>
  <c r="BJ74" i="34"/>
  <c r="BJ58" i="34"/>
  <c r="BB74" i="34"/>
  <c r="BB58" i="34"/>
  <c r="BO74" i="34"/>
  <c r="BO58" i="34"/>
  <c r="AL74" i="34"/>
  <c r="AL58" i="34"/>
  <c r="AQ74" i="34"/>
  <c r="AQ58" i="34"/>
  <c r="BC74" i="34"/>
  <c r="BC58" i="34"/>
  <c r="BP74" i="34"/>
  <c r="BP58" i="34"/>
  <c r="AZ74" i="34"/>
  <c r="AZ58" i="34"/>
  <c r="AJ74" i="34"/>
  <c r="AJ58" i="34"/>
  <c r="BH85" i="34"/>
  <c r="BH69" i="34"/>
  <c r="BN85" i="34"/>
  <c r="BN69" i="34"/>
  <c r="BL33" i="45" s="1"/>
  <c r="AW85" i="34"/>
  <c r="AW69" i="34"/>
  <c r="AV85" i="34"/>
  <c r="AV69" i="34"/>
  <c r="BJ85" i="34"/>
  <c r="BJ69" i="34"/>
  <c r="AO85" i="34"/>
  <c r="AO69" i="34"/>
  <c r="BG85" i="34"/>
  <c r="BG69" i="34"/>
  <c r="AQ85" i="34"/>
  <c r="AQ69" i="34"/>
  <c r="AP71" i="34"/>
  <c r="AP55" i="34"/>
  <c r="AS71" i="34"/>
  <c r="AS55" i="34"/>
  <c r="BB71" i="34"/>
  <c r="BB55" i="34"/>
  <c r="AJ71" i="34"/>
  <c r="AJ55" i="34"/>
  <c r="AT75" i="34"/>
  <c r="AT59" i="34"/>
  <c r="AX75" i="34"/>
  <c r="AX59" i="34"/>
  <c r="AQ75" i="34"/>
  <c r="AQ59" i="34"/>
  <c r="AL82" i="34"/>
  <c r="AJ38" i="45" s="1"/>
  <c r="AL66" i="34"/>
  <c r="AY82" i="34"/>
  <c r="AY66" i="34"/>
  <c r="AR82" i="34"/>
  <c r="AR66" i="34"/>
  <c r="AP31" i="45" s="1"/>
  <c r="BA70" i="34"/>
  <c r="BA54" i="34"/>
  <c r="AK70" i="34"/>
  <c r="AK54" i="34"/>
  <c r="BL70" i="34"/>
  <c r="BL54" i="34"/>
  <c r="AO72" i="34"/>
  <c r="AO56" i="34"/>
  <c r="BA72" i="34"/>
  <c r="BA56" i="34"/>
  <c r="AJ72" i="34"/>
  <c r="AJ56" i="34"/>
  <c r="AN76" i="34"/>
  <c r="AN60" i="34"/>
  <c r="AP76" i="34"/>
  <c r="AP60" i="34"/>
  <c r="BN84" i="34"/>
  <c r="BN68" i="34"/>
  <c r="BE84" i="34"/>
  <c r="BC39" i="45" s="1"/>
  <c r="BE68" i="34"/>
  <c r="BC32" i="45" s="1"/>
  <c r="AR84" i="34"/>
  <c r="AR68" i="34"/>
  <c r="AU84" i="34"/>
  <c r="AS39" i="45" s="1"/>
  <c r="AU68" i="34"/>
  <c r="AP78" i="34"/>
  <c r="AP62" i="34"/>
  <c r="AT78" i="34"/>
  <c r="AT62" i="34"/>
  <c r="AW78" i="34"/>
  <c r="AW62" i="34"/>
  <c r="BA73" i="34"/>
  <c r="BA57" i="34"/>
  <c r="BE73" i="34"/>
  <c r="BE57" i="34"/>
  <c r="AJ73" i="34"/>
  <c r="AJ57" i="34"/>
  <c r="AZ77" i="34"/>
  <c r="AZ61" i="34"/>
  <c r="AT77" i="34"/>
  <c r="AT61" i="34"/>
  <c r="BE74" i="34"/>
  <c r="BE58" i="34"/>
  <c r="BN74" i="34"/>
  <c r="BN58" i="34"/>
  <c r="AR74" i="34"/>
  <c r="AR58" i="34"/>
  <c r="AS85" i="34"/>
  <c r="AQ40" i="45" s="1"/>
  <c r="AS69" i="34"/>
  <c r="AQ33" i="45" s="1"/>
  <c r="AY85" i="34"/>
  <c r="AY69" i="34"/>
  <c r="BJ71" i="34"/>
  <c r="BJ55" i="34"/>
  <c r="AW71" i="34"/>
  <c r="AW55" i="34"/>
  <c r="AV71" i="34"/>
  <c r="AV55" i="34"/>
  <c r="AK75" i="34"/>
  <c r="AK59" i="34"/>
  <c r="AU75" i="34"/>
  <c r="AU59" i="34"/>
  <c r="AJ75" i="34"/>
  <c r="AJ59" i="34"/>
  <c r="BM82" i="34"/>
  <c r="BM66" i="34"/>
  <c r="AT82" i="34"/>
  <c r="AT66" i="34"/>
  <c r="BB70" i="34"/>
  <c r="BB54" i="34"/>
  <c r="AY71" i="34"/>
  <c r="AY55" i="34"/>
  <c r="BF71" i="34"/>
  <c r="BF55" i="34"/>
  <c r="AU71" i="34"/>
  <c r="AU55" i="34"/>
  <c r="BA71" i="34"/>
  <c r="BA55" i="34"/>
  <c r="BG71" i="34"/>
  <c r="BG55" i="34"/>
  <c r="AL71" i="34"/>
  <c r="AL55" i="34"/>
  <c r="BD71" i="34"/>
  <c r="BD55" i="34"/>
  <c r="AN71" i="34"/>
  <c r="AN55" i="34"/>
  <c r="BO75" i="34"/>
  <c r="BO59" i="34"/>
  <c r="BJ75" i="34"/>
  <c r="BJ59" i="34"/>
  <c r="BF75" i="34"/>
  <c r="BF59" i="34"/>
  <c r="BC59" i="34"/>
  <c r="BC75" i="34"/>
  <c r="BG75" i="34"/>
  <c r="BG59" i="34"/>
  <c r="BM75" i="34"/>
  <c r="BM59" i="34"/>
  <c r="AW75" i="34"/>
  <c r="AW59" i="34"/>
  <c r="AR75" i="34"/>
  <c r="AR59" i="34"/>
  <c r="AP82" i="34"/>
  <c r="AP66" i="34"/>
  <c r="BN82" i="34"/>
  <c r="BN66" i="34"/>
  <c r="BL31" i="45" s="1"/>
  <c r="AU82" i="34"/>
  <c r="AU66" i="34"/>
  <c r="AQ82" i="34"/>
  <c r="AO38" i="45" s="1"/>
  <c r="AQ66" i="34"/>
  <c r="BD82" i="34"/>
  <c r="BD66" i="34"/>
  <c r="BO82" i="34"/>
  <c r="BO66" i="34"/>
  <c r="BM31" i="45" s="1"/>
  <c r="AX82" i="34"/>
  <c r="AX66" i="34"/>
  <c r="AW82" i="34"/>
  <c r="AW66" i="34"/>
  <c r="AU31" i="45" s="1"/>
  <c r="BG70" i="34"/>
  <c r="BG54" i="34"/>
  <c r="BO54" i="34"/>
  <c r="BO70" i="34"/>
  <c r="AU54" i="34"/>
  <c r="AU70" i="34"/>
  <c r="AQ70" i="34"/>
  <c r="AQ54" i="34"/>
  <c r="AW70" i="34"/>
  <c r="AW54" i="34"/>
  <c r="BC70" i="34"/>
  <c r="BC54" i="34"/>
  <c r="BP70" i="34"/>
  <c r="BP54" i="34"/>
  <c r="AZ70" i="34"/>
  <c r="AZ54" i="34"/>
  <c r="AJ70" i="34"/>
  <c r="BJ72" i="34"/>
  <c r="BJ56" i="34"/>
  <c r="BC72" i="34"/>
  <c r="BC56" i="34"/>
  <c r="AY72" i="34"/>
  <c r="AY56" i="34"/>
  <c r="BE72" i="34"/>
  <c r="BE56" i="34"/>
  <c r="BF72" i="34"/>
  <c r="BF56" i="34"/>
  <c r="AK72" i="34"/>
  <c r="AK56" i="34"/>
  <c r="BD72" i="34"/>
  <c r="BD56" i="34"/>
  <c r="AN72" i="34"/>
  <c r="AN56" i="34"/>
  <c r="AX76" i="34"/>
  <c r="AX60" i="34"/>
  <c r="BN76" i="34"/>
  <c r="BN60" i="34"/>
  <c r="AY76" i="34"/>
  <c r="AY60" i="34"/>
  <c r="BB76" i="34"/>
  <c r="BB60" i="34"/>
  <c r="BP76" i="34"/>
  <c r="BP60" i="34"/>
  <c r="AU76" i="34"/>
  <c r="AU60" i="34"/>
  <c r="BI76" i="34"/>
  <c r="BI60" i="34"/>
  <c r="AS76" i="34"/>
  <c r="AS60" i="34"/>
  <c r="AS84" i="34"/>
  <c r="AQ39" i="45" s="1"/>
  <c r="AS68" i="34"/>
  <c r="AQ32" i="45" s="1"/>
  <c r="BA84" i="34"/>
  <c r="AY39" i="45" s="1"/>
  <c r="BA68" i="34"/>
  <c r="BM84" i="34"/>
  <c r="BK39" i="45" s="1"/>
  <c r="BM68" i="34"/>
  <c r="BJ84" i="34"/>
  <c r="BJ68" i="34"/>
  <c r="BL84" i="34"/>
  <c r="BJ39" i="45" s="1"/>
  <c r="BL68" i="34"/>
  <c r="AV84" i="34"/>
  <c r="AV68" i="34"/>
  <c r="BO84" i="34"/>
  <c r="BM39" i="45" s="1"/>
  <c r="BO68" i="34"/>
  <c r="AY84" i="34"/>
  <c r="AY68" i="34"/>
  <c r="BF78" i="34"/>
  <c r="BF62" i="34"/>
  <c r="AU78" i="34"/>
  <c r="AU62" i="34"/>
  <c r="AZ78" i="34"/>
  <c r="AZ62" i="34"/>
  <c r="AL78" i="34"/>
  <c r="AL62" i="34"/>
  <c r="AY78" i="34"/>
  <c r="AY62" i="34"/>
  <c r="BH78" i="34"/>
  <c r="BH62" i="34"/>
  <c r="AM78" i="34"/>
  <c r="AM62" i="34"/>
  <c r="BA78" i="34"/>
  <c r="BA62" i="34"/>
  <c r="AK78" i="34"/>
  <c r="AK62" i="34"/>
  <c r="BG73" i="34"/>
  <c r="BG57" i="34"/>
  <c r="BN73" i="34"/>
  <c r="BN57" i="34"/>
  <c r="BC73" i="34"/>
  <c r="BC57" i="34"/>
  <c r="BB73" i="34"/>
  <c r="BB57" i="34"/>
  <c r="BJ73" i="34"/>
  <c r="BJ57" i="34"/>
  <c r="AO73" i="34"/>
  <c r="AO57" i="34"/>
  <c r="BD73" i="34"/>
  <c r="BD57" i="34"/>
  <c r="AN73" i="34"/>
  <c r="AN57" i="34"/>
  <c r="AQ77" i="34"/>
  <c r="AQ61" i="34"/>
  <c r="BG77" i="34"/>
  <c r="BG61" i="34"/>
  <c r="BC77" i="34"/>
  <c r="BC61" i="34"/>
  <c r="BF77" i="34"/>
  <c r="BF61" i="34"/>
  <c r="AJ77" i="34"/>
  <c r="AJ61" i="34"/>
  <c r="AY77" i="34"/>
  <c r="AY61" i="34"/>
  <c r="BI77" i="34"/>
  <c r="BI61" i="34"/>
  <c r="AS77" i="34"/>
  <c r="AS61" i="34"/>
  <c r="AU74" i="34"/>
  <c r="AU58" i="34"/>
  <c r="AO74" i="34"/>
  <c r="AO58" i="34"/>
  <c r="BG74" i="34"/>
  <c r="BG58" i="34"/>
  <c r="BM74" i="34"/>
  <c r="BM58" i="34"/>
  <c r="AK74" i="34"/>
  <c r="AK58" i="34"/>
  <c r="AX74" i="34"/>
  <c r="AX58" i="34"/>
  <c r="BL74" i="34"/>
  <c r="BL58" i="34"/>
  <c r="AV74" i="34"/>
  <c r="AV58" i="34"/>
  <c r="BI85" i="34"/>
  <c r="BI69" i="34"/>
  <c r="BB85" i="34"/>
  <c r="BB69" i="34"/>
  <c r="BD85" i="34"/>
  <c r="BD69" i="34"/>
  <c r="BL85" i="34"/>
  <c r="BL69" i="34"/>
  <c r="AP85" i="34"/>
  <c r="AP69" i="34"/>
  <c r="BE85" i="34"/>
  <c r="BE69" i="34"/>
  <c r="BC33" i="45" s="1"/>
  <c r="AJ85" i="34"/>
  <c r="AJ69" i="34"/>
  <c r="BC85" i="34"/>
  <c r="BC69" i="34"/>
  <c r="AM85" i="34"/>
  <c r="AM69" i="34"/>
  <c r="AQ38" i="45"/>
  <c r="AA31" i="45"/>
  <c r="AA38" i="45"/>
  <c r="AF39" i="45"/>
  <c r="AF32" i="45"/>
  <c r="AU39" i="45"/>
  <c r="AS32" i="45"/>
  <c r="AC39" i="45"/>
  <c r="AC32" i="45"/>
  <c r="AJ33" i="45"/>
  <c r="AJ40" i="45"/>
  <c r="AD33" i="45"/>
  <c r="AD40" i="45"/>
  <c r="AX40" i="45"/>
  <c r="AB40" i="45"/>
  <c r="AB33" i="45"/>
  <c r="AC38" i="45"/>
  <c r="AC31" i="45"/>
  <c r="AG38" i="45"/>
  <c r="AG31" i="45"/>
  <c r="AF31" i="45"/>
  <c r="AF38" i="45"/>
  <c r="AM39" i="45"/>
  <c r="AD32" i="45"/>
  <c r="AD39" i="45"/>
  <c r="BE39" i="45"/>
  <c r="Z33" i="45"/>
  <c r="Z40" i="45"/>
  <c r="AG40" i="45"/>
  <c r="AG33" i="45"/>
  <c r="BN38" i="45"/>
  <c r="AB31" i="45"/>
  <c r="AB38" i="45"/>
  <c r="Z31" i="45"/>
  <c r="Z38" i="45"/>
  <c r="AE39" i="45"/>
  <c r="AE32" i="45"/>
  <c r="AB32" i="45"/>
  <c r="AB39" i="45"/>
  <c r="BF32" i="45"/>
  <c r="Z32" i="45"/>
  <c r="Z39" i="45"/>
  <c r="AA40" i="45"/>
  <c r="AA33" i="45"/>
  <c r="AC40" i="45"/>
  <c r="AC33" i="45"/>
  <c r="BC38" i="45"/>
  <c r="AD38" i="45"/>
  <c r="AD31" i="45"/>
  <c r="AE38" i="45"/>
  <c r="AE31" i="45"/>
  <c r="AA32" i="45"/>
  <c r="AA39" i="45"/>
  <c r="AV39" i="45"/>
  <c r="AZ39" i="45"/>
  <c r="BB39" i="45"/>
  <c r="AG32" i="45"/>
  <c r="AG39" i="45"/>
  <c r="AE29" i="45"/>
  <c r="AF29" i="45"/>
  <c r="AF36" i="45"/>
  <c r="AP40" i="45"/>
  <c r="AF33" i="45"/>
  <c r="AF40" i="45"/>
  <c r="AE33" i="45"/>
  <c r="AE40" i="45"/>
  <c r="AI40" i="45"/>
  <c r="BF35" i="45" l="1"/>
  <c r="AU38" i="45"/>
  <c r="AM40" i="45"/>
  <c r="AZ40" i="45"/>
  <c r="BJ40" i="45"/>
  <c r="AT40" i="45"/>
  <c r="BA40" i="45"/>
  <c r="AO40" i="45"/>
  <c r="BK38" i="45"/>
  <c r="BC40" i="45"/>
  <c r="AP38" i="45"/>
  <c r="BL38" i="45"/>
  <c r="BM38" i="45"/>
  <c r="BL40" i="45"/>
  <c r="AO33" i="45"/>
  <c r="AM33" i="45"/>
  <c r="BK31" i="45"/>
  <c r="BK32" i="45"/>
  <c r="AO31" i="45"/>
  <c r="AT33" i="45"/>
  <c r="BJ32" i="45"/>
  <c r="AJ31" i="45"/>
  <c r="BN28" i="45"/>
  <c r="BA33" i="45"/>
  <c r="AH33" i="45"/>
  <c r="AT32" i="45"/>
  <c r="BB31" i="45"/>
  <c r="AL29" i="45"/>
  <c r="BH33" i="45"/>
  <c r="AK33" i="45"/>
  <c r="BG33" i="45"/>
  <c r="AY32" i="45"/>
  <c r="AH28" i="45"/>
  <c r="AN31" i="45"/>
  <c r="BM29" i="45"/>
  <c r="AW33" i="45"/>
  <c r="AU33" i="45"/>
  <c r="AK32" i="45"/>
  <c r="AN32" i="45"/>
  <c r="AY31" i="45"/>
  <c r="AZ31" i="45"/>
  <c r="BJ31" i="45"/>
  <c r="AV33" i="45"/>
  <c r="BI33" i="45"/>
  <c r="BK33" i="45"/>
  <c r="AL32" i="45"/>
  <c r="BD32" i="45"/>
  <c r="AK31" i="45"/>
  <c r="AI33" i="45"/>
  <c r="BI32" i="45"/>
  <c r="BN31" i="45"/>
  <c r="BM33" i="45"/>
  <c r="AK40" i="45"/>
  <c r="AH40" i="45"/>
  <c r="AN40" i="45"/>
  <c r="BB40" i="45"/>
  <c r="BG40" i="45"/>
  <c r="AJ36" i="45"/>
  <c r="AW39" i="45"/>
  <c r="AT39" i="45"/>
  <c r="BH39" i="45"/>
  <c r="AH35" i="45"/>
  <c r="BN35" i="45"/>
  <c r="AV38" i="45"/>
  <c r="BB38" i="45"/>
  <c r="AS38" i="45"/>
  <c r="AN38" i="45"/>
  <c r="AR38" i="45"/>
  <c r="AW40" i="45"/>
  <c r="AP39" i="45"/>
  <c r="BL39" i="45"/>
  <c r="AL36" i="45"/>
  <c r="BJ35" i="45"/>
  <c r="AW38" i="45"/>
  <c r="BE40" i="45"/>
  <c r="BH40" i="45"/>
  <c r="AU40" i="45"/>
  <c r="BF40" i="45"/>
  <c r="AK39" i="45"/>
  <c r="AH39" i="45"/>
  <c r="AJ39" i="45"/>
  <c r="AN39" i="45"/>
  <c r="BG39" i="45"/>
  <c r="AY38" i="45"/>
  <c r="AL38" i="45"/>
  <c r="AZ38" i="45"/>
  <c r="AX38" i="45"/>
  <c r="AM38" i="45"/>
  <c r="BJ38" i="45"/>
  <c r="BM40" i="45"/>
  <c r="AV40" i="45"/>
  <c r="AH38" i="45"/>
  <c r="BI40" i="45"/>
  <c r="BN40" i="45"/>
  <c r="BK40" i="45"/>
  <c r="AL40" i="45"/>
  <c r="AO39" i="45"/>
  <c r="AL39" i="45"/>
  <c r="AR39" i="45"/>
  <c r="BD39" i="45"/>
  <c r="AK38" i="45"/>
  <c r="BI39" i="45"/>
  <c r="AN33" i="45"/>
  <c r="AJ29" i="45"/>
  <c r="BH32" i="45"/>
  <c r="AV31" i="45"/>
  <c r="AP32" i="45"/>
  <c r="AW31" i="45"/>
  <c r="BF33" i="45"/>
  <c r="AJ32" i="45"/>
  <c r="AX31" i="45"/>
  <c r="BJ33" i="45"/>
  <c r="BB33" i="45"/>
  <c r="AW32" i="45"/>
  <c r="AS31" i="45"/>
  <c r="AR31" i="45"/>
  <c r="BL32" i="45"/>
  <c r="BJ28" i="45"/>
  <c r="BE33" i="45"/>
  <c r="AH32" i="45"/>
  <c r="BG32" i="45"/>
  <c r="AL31" i="45"/>
  <c r="AM31" i="45"/>
  <c r="AI32" i="45"/>
  <c r="AH31" i="45"/>
  <c r="BN33" i="45"/>
  <c r="AL33" i="45"/>
  <c r="AO32" i="45"/>
  <c r="AR32" i="45"/>
  <c r="AZ33" i="45"/>
  <c r="BM32" i="45"/>
  <c r="BH29" i="45"/>
  <c r="AP28" i="45"/>
  <c r="AT28" i="45"/>
  <c r="BC28" i="45"/>
  <c r="AZ29" i="45"/>
  <c r="AX28" i="45"/>
  <c r="AN29" i="45"/>
  <c r="BG28" i="45"/>
  <c r="AO29" i="45"/>
  <c r="BA29" i="45"/>
  <c r="BB29" i="45"/>
  <c r="BF28" i="45"/>
  <c r="BI29" i="45"/>
  <c r="AZ35" i="45"/>
  <c r="BA36" i="45"/>
  <c r="BH36" i="45"/>
  <c r="BG35" i="45"/>
  <c r="AP35" i="45"/>
  <c r="AX35" i="45"/>
  <c r="BB36" i="45"/>
  <c r="AN36" i="45"/>
  <c r="AT35" i="45"/>
  <c r="BC35" i="45"/>
  <c r="AE36" i="45"/>
  <c r="Z35" i="45"/>
  <c r="AE28" i="45"/>
  <c r="AE27" i="45" s="1"/>
  <c r="AE61" i="45" s="1"/>
  <c r="Z29" i="45"/>
  <c r="AD35" i="45"/>
  <c r="AG36" i="45"/>
  <c r="Z28" i="45"/>
  <c r="AE35" i="45"/>
  <c r="Z36" i="45"/>
  <c r="AD28" i="45"/>
  <c r="BM36" i="45"/>
  <c r="AZ36" i="45"/>
  <c r="AZ28" i="45"/>
  <c r="AO36" i="45"/>
  <c r="BI36" i="45"/>
  <c r="AG29" i="45"/>
  <c r="AW35" i="45"/>
  <c r="AP36" i="45"/>
  <c r="BG36" i="45"/>
  <c r="AW29" i="45"/>
  <c r="AR36" i="45"/>
  <c r="BC36" i="45"/>
  <c r="BL35" i="45"/>
  <c r="BI35" i="45"/>
  <c r="BD35" i="45"/>
  <c r="AT36" i="45"/>
  <c r="BL36" i="45"/>
  <c r="BD36" i="45"/>
  <c r="AY36" i="45"/>
  <c r="AA28" i="45"/>
  <c r="BK35" i="45"/>
  <c r="AJ35" i="45"/>
  <c r="AC28" i="45"/>
  <c r="AX36" i="45"/>
  <c r="AA29" i="45"/>
  <c r="BK36" i="45"/>
  <c r="BE29" i="45"/>
  <c r="AM36" i="45"/>
  <c r="AS29" i="45"/>
  <c r="AL35" i="45"/>
  <c r="BA28" i="45"/>
  <c r="AU35" i="45"/>
  <c r="AO35" i="45"/>
  <c r="AM28" i="45"/>
  <c r="AW28" i="45"/>
  <c r="AP29" i="45"/>
  <c r="BG29" i="45"/>
  <c r="AW36" i="45"/>
  <c r="AR29" i="45"/>
  <c r="BC29" i="45"/>
  <c r="BL28" i="45"/>
  <c r="BI28" i="45"/>
  <c r="BD28" i="45"/>
  <c r="AT29" i="45"/>
  <c r="AT27" i="45" s="1"/>
  <c r="AT61" i="45" s="1"/>
  <c r="BL29" i="45"/>
  <c r="BD29" i="45"/>
  <c r="AY29" i="45"/>
  <c r="AA35" i="45"/>
  <c r="BK28" i="45"/>
  <c r="AJ28" i="45"/>
  <c r="AC35" i="45"/>
  <c r="AX29" i="45"/>
  <c r="AA36" i="45"/>
  <c r="BK29" i="45"/>
  <c r="BE36" i="45"/>
  <c r="AM29" i="45"/>
  <c r="AS36" i="45"/>
  <c r="AL28" i="45"/>
  <c r="BA35" i="45"/>
  <c r="AU28" i="45"/>
  <c r="AO28" i="45"/>
  <c r="AM35" i="45"/>
  <c r="AK35" i="45"/>
  <c r="BM35" i="45"/>
  <c r="BE35" i="45"/>
  <c r="BF36" i="45"/>
  <c r="AK36" i="45"/>
  <c r="AQ28" i="45"/>
  <c r="AG35" i="45"/>
  <c r="AB35" i="45"/>
  <c r="AS35" i="45"/>
  <c r="AD36" i="45"/>
  <c r="BJ36" i="45"/>
  <c r="AQ36" i="45"/>
  <c r="AB36" i="45"/>
  <c r="AV35" i="45"/>
  <c r="AN35" i="45"/>
  <c r="AI28" i="45"/>
  <c r="BH35" i="45"/>
  <c r="AH36" i="45"/>
  <c r="BN36" i="45"/>
  <c r="AV36" i="45"/>
  <c r="AI29" i="45"/>
  <c r="AC29" i="45"/>
  <c r="AU29" i="45"/>
  <c r="BB35" i="45"/>
  <c r="AF35" i="45"/>
  <c r="AF34" i="45" s="1"/>
  <c r="AF62" i="45" s="1"/>
  <c r="AY35" i="45"/>
  <c r="AR35" i="45"/>
  <c r="AK28" i="45"/>
  <c r="BM28" i="45"/>
  <c r="BE28" i="45"/>
  <c r="BF29" i="45"/>
  <c r="AK29" i="45"/>
  <c r="AQ35" i="45"/>
  <c r="AG28" i="45"/>
  <c r="AB28" i="45"/>
  <c r="AS28" i="45"/>
  <c r="AD29" i="45"/>
  <c r="BJ29" i="45"/>
  <c r="AQ29" i="45"/>
  <c r="AB29" i="45"/>
  <c r="AV28" i="45"/>
  <c r="AN28" i="45"/>
  <c r="AI35" i="45"/>
  <c r="BH28" i="45"/>
  <c r="AH29" i="45"/>
  <c r="BN29" i="45"/>
  <c r="AV29" i="45"/>
  <c r="AI36" i="45"/>
  <c r="AC36" i="45"/>
  <c r="AU36" i="45"/>
  <c r="BB28" i="45"/>
  <c r="AF28" i="45"/>
  <c r="AF27" i="45" s="1"/>
  <c r="AF61" i="45" s="1"/>
  <c r="AY28" i="45"/>
  <c r="AR28" i="45"/>
  <c r="BA34" i="45" l="1"/>
  <c r="BA62" i="45" s="1"/>
  <c r="AF72" i="45"/>
  <c r="AF73" i="45" s="1"/>
  <c r="AF77" i="45" s="1"/>
  <c r="BC34" i="45"/>
  <c r="BC62" i="45" s="1"/>
  <c r="BN27" i="45"/>
  <c r="BN61" i="45" s="1"/>
  <c r="BJ27" i="45"/>
  <c r="BJ61" i="45" s="1"/>
  <c r="AH34" i="45"/>
  <c r="AH62" i="45" s="1"/>
  <c r="AW27" i="45"/>
  <c r="AW61" i="45" s="1"/>
  <c r="BA27" i="45"/>
  <c r="BA61" i="45" s="1"/>
  <c r="BF34" i="45"/>
  <c r="BF62" i="45" s="1"/>
  <c r="AJ27" i="45"/>
  <c r="AJ61" i="45" s="1"/>
  <c r="AG34" i="45"/>
  <c r="AG62" i="45" s="1"/>
  <c r="AO27" i="45"/>
  <c r="AO61" i="45" s="1"/>
  <c r="AZ27" i="45"/>
  <c r="AZ61" i="45" s="1"/>
  <c r="BH27" i="45"/>
  <c r="BH61" i="45" s="1"/>
  <c r="BI27" i="45"/>
  <c r="BI61" i="45" s="1"/>
  <c r="BB27" i="45"/>
  <c r="BB61" i="45" s="1"/>
  <c r="BN34" i="45"/>
  <c r="BN62" i="45" s="1"/>
  <c r="AN34" i="45"/>
  <c r="AN62" i="45" s="1"/>
  <c r="BJ34" i="45"/>
  <c r="BJ62" i="45" s="1"/>
  <c r="AL27" i="45"/>
  <c r="AL61" i="45" s="1"/>
  <c r="AL34" i="45"/>
  <c r="AL62" i="45" s="1"/>
  <c r="AJ34" i="45"/>
  <c r="AJ62" i="45" s="1"/>
  <c r="AZ34" i="45"/>
  <c r="AZ62" i="45" s="1"/>
  <c r="AN27" i="45"/>
  <c r="AN61" i="45" s="1"/>
  <c r="AH27" i="45"/>
  <c r="AH61" i="45" s="1"/>
  <c r="BM27" i="45"/>
  <c r="BM61" i="45" s="1"/>
  <c r="AX27" i="45"/>
  <c r="AX61" i="45" s="1"/>
  <c r="BC27" i="45"/>
  <c r="BC61" i="45" s="1"/>
  <c r="AP27" i="45"/>
  <c r="AP61" i="45" s="1"/>
  <c r="AX34" i="45"/>
  <c r="AX62" i="45" s="1"/>
  <c r="AT34" i="45"/>
  <c r="AT62" i="45" s="1"/>
  <c r="AP34" i="45"/>
  <c r="AP62" i="45" s="1"/>
  <c r="AR34" i="45"/>
  <c r="AR62" i="45" s="1"/>
  <c r="AM34" i="45"/>
  <c r="AM62" i="45" s="1"/>
  <c r="AY34" i="45"/>
  <c r="AY62" i="45" s="1"/>
  <c r="AD34" i="45"/>
  <c r="AD62" i="45" s="1"/>
  <c r="BG27" i="45"/>
  <c r="BG61" i="45" s="1"/>
  <c r="AE34" i="45"/>
  <c r="AE62" i="45" s="1"/>
  <c r="AE72" i="45" s="1"/>
  <c r="AE73" i="45" s="1"/>
  <c r="AE77" i="45" s="1"/>
  <c r="BH34" i="45"/>
  <c r="BH62" i="45" s="1"/>
  <c r="BF27" i="45"/>
  <c r="BF61" i="45" s="1"/>
  <c r="BB34" i="45"/>
  <c r="BB62" i="45" s="1"/>
  <c r="AO34" i="45"/>
  <c r="AO62" i="45" s="1"/>
  <c r="BG34" i="45"/>
  <c r="BG62" i="45" s="1"/>
  <c r="BI34" i="45"/>
  <c r="BI62" i="45" s="1"/>
  <c r="BE34" i="45"/>
  <c r="BE62" i="45" s="1"/>
  <c r="AR27" i="45"/>
  <c r="AR61" i="45" s="1"/>
  <c r="AY27" i="45"/>
  <c r="AY61" i="45" s="1"/>
  <c r="AQ34" i="45"/>
  <c r="AQ62" i="45" s="1"/>
  <c r="BM34" i="45"/>
  <c r="BM62" i="45" s="1"/>
  <c r="AS27" i="45"/>
  <c r="AS61" i="45" s="1"/>
  <c r="AG27" i="45"/>
  <c r="AG61" i="45" s="1"/>
  <c r="AG72" i="45" s="1"/>
  <c r="AG73" i="45" s="1"/>
  <c r="AG77" i="45" s="1"/>
  <c r="BE27" i="45"/>
  <c r="BE61" i="45" s="1"/>
  <c r="Z27" i="45"/>
  <c r="Z61" i="45" s="1"/>
  <c r="AD27" i="45"/>
  <c r="AD61" i="45" s="1"/>
  <c r="Z34" i="45"/>
  <c r="Z62" i="45" s="1"/>
  <c r="AV27" i="45"/>
  <c r="AV61" i="45" s="1"/>
  <c r="AI27" i="45"/>
  <c r="AI61" i="45" s="1"/>
  <c r="AB34" i="45"/>
  <c r="AB62" i="45" s="1"/>
  <c r="AV34" i="45"/>
  <c r="AV62" i="45" s="1"/>
  <c r="AA34" i="45"/>
  <c r="AA62" i="45" s="1"/>
  <c r="BD34" i="45"/>
  <c r="BD62" i="45" s="1"/>
  <c r="AI34" i="45"/>
  <c r="AI62" i="45" s="1"/>
  <c r="AK27" i="45"/>
  <c r="AK61" i="45" s="1"/>
  <c r="AQ27" i="45"/>
  <c r="AQ61" i="45" s="1"/>
  <c r="BK27" i="45"/>
  <c r="BK61" i="45" s="1"/>
  <c r="BD27" i="45"/>
  <c r="BD61" i="45" s="1"/>
  <c r="AU34" i="45"/>
  <c r="AU62" i="45" s="1"/>
  <c r="AC27" i="45"/>
  <c r="AC61" i="45" s="1"/>
  <c r="AB27" i="45"/>
  <c r="AB61" i="45" s="1"/>
  <c r="AS34" i="45"/>
  <c r="AS62" i="45" s="1"/>
  <c r="AK34" i="45"/>
  <c r="AK62" i="45" s="1"/>
  <c r="AM27" i="45"/>
  <c r="AM61" i="45" s="1"/>
  <c r="AA27" i="45"/>
  <c r="AA61" i="45" s="1"/>
  <c r="BL34" i="45"/>
  <c r="BL62" i="45" s="1"/>
  <c r="AU27" i="45"/>
  <c r="AU61" i="45" s="1"/>
  <c r="AC34" i="45"/>
  <c r="AC62" i="45" s="1"/>
  <c r="BL27" i="45"/>
  <c r="BL61" i="45" s="1"/>
  <c r="BK34" i="45"/>
  <c r="BK62" i="45" s="1"/>
  <c r="AW34" i="45"/>
  <c r="AW62" i="45" s="1"/>
  <c r="AA72" i="45" l="1"/>
  <c r="AA73" i="45" s="1"/>
  <c r="AA77" i="45" s="1"/>
  <c r="AB72" i="45"/>
  <c r="AB73" i="45" s="1"/>
  <c r="AB77" i="45" s="1"/>
  <c r="Z72" i="45"/>
  <c r="Z73" i="45" s="1"/>
  <c r="Z77" i="45" s="1"/>
  <c r="AD72" i="45"/>
  <c r="AD73" i="45" s="1"/>
  <c r="AD77" i="45" s="1"/>
  <c r="AC72" i="45"/>
  <c r="AC73" i="45" s="1"/>
  <c r="AC77" i="45" s="1"/>
  <c r="AJ82" i="36"/>
  <c r="AJ85" i="36" s="1"/>
  <c r="AJ90" i="34" l="1"/>
  <c r="AH46" i="45" s="1"/>
  <c r="AJ144" i="34"/>
  <c r="AJ87" i="34"/>
  <c r="AH42" i="45" s="1"/>
  <c r="AH64" i="45" s="1"/>
  <c r="AJ86" i="34"/>
  <c r="AH41" i="45" s="1"/>
  <c r="AH63" i="45" s="1"/>
  <c r="AJ140" i="34" l="1"/>
  <c r="AJ136" i="34"/>
  <c r="AJ48" i="36"/>
  <c r="AJ88" i="34"/>
  <c r="AH44" i="45" s="1"/>
  <c r="AJ89" i="34" l="1"/>
  <c r="AH45" i="45" s="1"/>
  <c r="AH43" i="45" s="1"/>
  <c r="AH65" i="45" s="1"/>
  <c r="AJ141" i="34"/>
  <c r="AH51" i="45" s="1"/>
  <c r="AJ137" i="34"/>
  <c r="AH50" i="45" s="1"/>
  <c r="AH49" i="45" l="1"/>
  <c r="AH66" i="45" s="1"/>
</calcChain>
</file>

<file path=xl/sharedStrings.xml><?xml version="1.0" encoding="utf-8"?>
<sst xmlns="http://schemas.openxmlformats.org/spreadsheetml/2006/main" count="2646" uniqueCount="908">
  <si>
    <t>Units</t>
  </si>
  <si>
    <t>slope</t>
  </si>
  <si>
    <t>intercept</t>
  </si>
  <si>
    <t>Population</t>
  </si>
  <si>
    <t>Feedlot cattle</t>
  </si>
  <si>
    <t>Dairy cattle</t>
  </si>
  <si>
    <t>Subsistence sheep</t>
  </si>
  <si>
    <t>Horses</t>
  </si>
  <si>
    <t>IPCC category</t>
  </si>
  <si>
    <t>Gas</t>
  </si>
  <si>
    <t>3A1ai Dairy cattle</t>
  </si>
  <si>
    <t>IPCC Categories</t>
  </si>
  <si>
    <t>Constants</t>
  </si>
  <si>
    <t>CH4 GWP</t>
  </si>
  <si>
    <t>N2O GWP</t>
  </si>
  <si>
    <t>AFOLU inventory categories</t>
  </si>
  <si>
    <t>Level 1</t>
  </si>
  <si>
    <t>Level 2</t>
  </si>
  <si>
    <t>Level 3</t>
  </si>
  <si>
    <t>3A Livestock</t>
  </si>
  <si>
    <t>3A1 Enteric fermentation (CH4)</t>
  </si>
  <si>
    <t>3A1a Cattle</t>
  </si>
  <si>
    <t>3A1c Sheep</t>
  </si>
  <si>
    <t>3A1d Goats</t>
  </si>
  <si>
    <t>3A1f Horses</t>
  </si>
  <si>
    <t>3A1h Swine</t>
  </si>
  <si>
    <t>3A2 Manure management (CH4)</t>
  </si>
  <si>
    <t>3A2a Cattle</t>
  </si>
  <si>
    <t>3A2c Sheep</t>
  </si>
  <si>
    <t>3A2d Goats</t>
  </si>
  <si>
    <t>3A2f Horses</t>
  </si>
  <si>
    <t>3A2h Swine</t>
  </si>
  <si>
    <t>3A2i Poultry</t>
  </si>
  <si>
    <t>3B Land</t>
  </si>
  <si>
    <t>3B1 Forest land (net CO2)</t>
  </si>
  <si>
    <t>3B1a Forest land remaining forest land</t>
  </si>
  <si>
    <t>3B1b Land converted to forest land</t>
  </si>
  <si>
    <t>3B2 Cropland (net CO2)</t>
  </si>
  <si>
    <t>3B2a Cropland remaining cropland</t>
  </si>
  <si>
    <t>3B2b Land converted to cropland</t>
  </si>
  <si>
    <t>3B3 Grassland (net CO2)</t>
  </si>
  <si>
    <t>3B3a Grassland remaining grassland</t>
  </si>
  <si>
    <t>3B3b Land converted to grassland</t>
  </si>
  <si>
    <t>3B4 Wetland (CH4)</t>
  </si>
  <si>
    <t>3B5 Settlements (net CO2)</t>
  </si>
  <si>
    <t>3B5a Setllements remaining settlements</t>
  </si>
  <si>
    <t>3B5b Land converted to settlements</t>
  </si>
  <si>
    <t>3B6 Other lands (net CO2)</t>
  </si>
  <si>
    <t>3B6b Land converted to other land</t>
  </si>
  <si>
    <t>3C1 Biomass burning (CH4)</t>
  </si>
  <si>
    <t>3C1a Biomass burning in forest land</t>
  </si>
  <si>
    <t>3C1b Biomass burning in Croplands</t>
  </si>
  <si>
    <t>3C1c Biomass burning in Grasslands</t>
  </si>
  <si>
    <t>3C1d Biomass burning in Wetlands</t>
  </si>
  <si>
    <t>3C1e Biomass burning in Settlements</t>
  </si>
  <si>
    <t>3C1f Biomass burning in Other lands</t>
  </si>
  <si>
    <t>3C1 Biomass burning (N2O)</t>
  </si>
  <si>
    <t>3C2 Liming (CO2)</t>
  </si>
  <si>
    <t>3C3 Urea application (CO2)</t>
  </si>
  <si>
    <t>3C4 Direct N2O from managed soils (N2O)</t>
  </si>
  <si>
    <t>Inorganic inputs</t>
  </si>
  <si>
    <t>Organic inputs</t>
  </si>
  <si>
    <t>Crop residues</t>
  </si>
  <si>
    <t>Urine and dung</t>
  </si>
  <si>
    <t>FSOM</t>
  </si>
  <si>
    <t>3C5 Indirect N2O from managed soils (N2O)</t>
  </si>
  <si>
    <t>Volatilisation</t>
  </si>
  <si>
    <t>Leaching/runoff</t>
  </si>
  <si>
    <t>3C6 Indirect N2O from manure management (N2O)</t>
  </si>
  <si>
    <t>3D Other</t>
  </si>
  <si>
    <t>3D1 HWP (CO2)</t>
  </si>
  <si>
    <t>3A1aii Other cattle</t>
  </si>
  <si>
    <t>3A2ai Dairy cattle</t>
  </si>
  <si>
    <t>3A2aii Other cattle</t>
  </si>
  <si>
    <t>Level 4</t>
  </si>
  <si>
    <t>3B1bi Cropland converted to forest land</t>
  </si>
  <si>
    <t>3B1bii Grassland converted to forest land</t>
  </si>
  <si>
    <t>3B1biii Wetlands converted to forest land</t>
  </si>
  <si>
    <t>3B1biv Settlements converted to forest land</t>
  </si>
  <si>
    <t>3B1bv Other land converted to forest land</t>
  </si>
  <si>
    <t>3B2bi Forest land converted to cropland</t>
  </si>
  <si>
    <t>3B2bii Grassland converted to cropland</t>
  </si>
  <si>
    <t>3B2biii Wetlands converted to cropland</t>
  </si>
  <si>
    <t>3B2biv Settlements converted to cropland</t>
  </si>
  <si>
    <t>3B2bv Other land converted to cropland</t>
  </si>
  <si>
    <t>3B3bi Forest land converted to grassland</t>
  </si>
  <si>
    <t>3B3bii Cropland converted to grassland</t>
  </si>
  <si>
    <t>3B3biii Wetlands converted to grassland</t>
  </si>
  <si>
    <t>3B3iv Settlements converted to grassland</t>
  </si>
  <si>
    <t>3B3v Other land converted to grassland</t>
  </si>
  <si>
    <t>3B5bi Forest land converted to settlements</t>
  </si>
  <si>
    <t>3B5bii Cropland converted to settlements</t>
  </si>
  <si>
    <t>3B5biii Grassland converted to settlements</t>
  </si>
  <si>
    <t>3B5biv Wetlands converted to settlements</t>
  </si>
  <si>
    <t>3B5bv Other land converted to settlements</t>
  </si>
  <si>
    <t>3B6bi Forest land converted to other land</t>
  </si>
  <si>
    <t>3B6bii Cropland converted to other land</t>
  </si>
  <si>
    <t>3B6biii Grassland converted to other land</t>
  </si>
  <si>
    <t>3B6biv Wetlands converted to other land</t>
  </si>
  <si>
    <t>3B6bv Settlements converted to other land</t>
  </si>
  <si>
    <t>Activities</t>
  </si>
  <si>
    <t>Enteric fermentation</t>
  </si>
  <si>
    <t>Manure management</t>
  </si>
  <si>
    <t>Forest land</t>
  </si>
  <si>
    <t>Forest land remaining forest land</t>
  </si>
  <si>
    <t>Land converted to forest land</t>
  </si>
  <si>
    <t>Cropland remaining cropland</t>
  </si>
  <si>
    <t>Land converted to cropland</t>
  </si>
  <si>
    <t>Grassland remaining grassland</t>
  </si>
  <si>
    <t>Land converted to grassland</t>
  </si>
  <si>
    <t>Wetlands</t>
  </si>
  <si>
    <t>Settlements remaining settlements</t>
  </si>
  <si>
    <t>Land converted to settlements</t>
  </si>
  <si>
    <t>3B6a Other land remaining other land</t>
  </si>
  <si>
    <t>Other land remaining other land</t>
  </si>
  <si>
    <t>Land converted to other land</t>
  </si>
  <si>
    <t>Biomass burning</t>
  </si>
  <si>
    <t>Liming</t>
  </si>
  <si>
    <t>Urea application</t>
  </si>
  <si>
    <t>Inorganic N inputs</t>
  </si>
  <si>
    <t>Organic N inputs</t>
  </si>
  <si>
    <t>Crop N residues</t>
  </si>
  <si>
    <t>Urine and dung N inputs</t>
  </si>
  <si>
    <t>FSOM inputs</t>
  </si>
  <si>
    <t>HWP</t>
  </si>
  <si>
    <t>CH4</t>
  </si>
  <si>
    <t>Commercial</t>
  </si>
  <si>
    <t>Subsistence</t>
  </si>
  <si>
    <t>Mules &amp; Asses</t>
  </si>
  <si>
    <t>Commercial breeding</t>
  </si>
  <si>
    <t>Commercial baconers</t>
  </si>
  <si>
    <t>Commercial porkers</t>
  </si>
  <si>
    <t>Subsistence breeding</t>
  </si>
  <si>
    <t>Subsistence baconers</t>
  </si>
  <si>
    <t>Subsistence porkers</t>
  </si>
  <si>
    <t>Commercial layers</t>
  </si>
  <si>
    <t>Commercial broilers</t>
  </si>
  <si>
    <t>Subsistence broilers</t>
  </si>
  <si>
    <t>Subsistence layers</t>
  </si>
  <si>
    <t>Feedlot</t>
  </si>
  <si>
    <t>TMR</t>
  </si>
  <si>
    <t>Pasture</t>
  </si>
  <si>
    <t>Head</t>
  </si>
  <si>
    <t>N2O</t>
  </si>
  <si>
    <t>3A1g Mules &amp; asses</t>
  </si>
  <si>
    <t>3A2g Mules &amp; asses</t>
  </si>
  <si>
    <t>Activity data</t>
  </si>
  <si>
    <t>Emission factors</t>
  </si>
  <si>
    <t>kg CH4/head/yr</t>
  </si>
  <si>
    <t>kg N2O-N/kg Nex</t>
  </si>
  <si>
    <t>N2O-N to N2O</t>
  </si>
  <si>
    <t>kg to Gg</t>
  </si>
  <si>
    <t>TOTAL</t>
  </si>
  <si>
    <t>Sub category</t>
  </si>
  <si>
    <t>Metric</t>
  </si>
  <si>
    <t>Other cattle</t>
  </si>
  <si>
    <t>Sheep</t>
  </si>
  <si>
    <t>Goats</t>
  </si>
  <si>
    <t>Mules and asses</t>
  </si>
  <si>
    <t>Swine</t>
  </si>
  <si>
    <t>Dairy (pasture) - Lactating cows</t>
  </si>
  <si>
    <t>Dairy (pasture) - Dry cows</t>
  </si>
  <si>
    <t>Dairy (pasture) - Lactating heifers</t>
  </si>
  <si>
    <t>Dairy (TMR) - Lactating cows</t>
  </si>
  <si>
    <t>Dairy (TMR) - Dry cows</t>
  </si>
  <si>
    <t>Dairy (TMR) - Lactating heifers</t>
  </si>
  <si>
    <t>Dairy (non-lactating - pasture) - Calves</t>
  </si>
  <si>
    <t>Dairy (non-lactating - pasture) - Heifers 2-6mths</t>
  </si>
  <si>
    <t>Dairy (non-lactating - pasture) - Heifers 6-12mths</t>
  </si>
  <si>
    <t>Dairy (non-lactating - pasture) - Heifers &gt;1yr</t>
  </si>
  <si>
    <t>Dairy (non-lactating - pasture) - Pregnant heifers</t>
  </si>
  <si>
    <t>Dairy (non-lactating - TMR) - Calves</t>
  </si>
  <si>
    <t>Dairy (non-lactating - TMR) - Heifers 2-6mths</t>
  </si>
  <si>
    <t>Dairy (non-lactating - TMR) - Heifers 6-12mths</t>
  </si>
  <si>
    <t>Dairy (non-lactating - TMR) - Heifers &gt;1yr</t>
  </si>
  <si>
    <t>Dairy (non-lactating - TMR) - Pregnant heifers</t>
  </si>
  <si>
    <t>Commercial beef - Bulls</t>
  </si>
  <si>
    <t>Commercial beef - Calves</t>
  </si>
  <si>
    <t>Commercial beef - Cows</t>
  </si>
  <si>
    <t>Commercial beef - Feedlot</t>
  </si>
  <si>
    <t>Commercial beef - Heifers</t>
  </si>
  <si>
    <t>Commercial beef - Oxen</t>
  </si>
  <si>
    <t>Commercial beef - Young oxen</t>
  </si>
  <si>
    <t>Subsistence cattle - Bulls</t>
  </si>
  <si>
    <t>Subsistence cattle - Calves</t>
  </si>
  <si>
    <t>Subsistence cattle - Cows</t>
  </si>
  <si>
    <t>Subsistence cattle - Heifers</t>
  </si>
  <si>
    <t>Subsistence cattle - Oxen</t>
  </si>
  <si>
    <t>Subsistence cattle - Young oxen</t>
  </si>
  <si>
    <t>Commercial - Karakul - Breeding ewes</t>
  </si>
  <si>
    <t>Commercial - Karakul - Breeding rams</t>
  </si>
  <si>
    <t>Commercial - Karakul - Lambs</t>
  </si>
  <si>
    <t>Commercial - Karakul - Weaners</t>
  </si>
  <si>
    <t>Commercial - Karakul - Young ewes</t>
  </si>
  <si>
    <t>Commercial - Karakul - Young rams</t>
  </si>
  <si>
    <t>Commercial - Merino - Breeding ewes</t>
  </si>
  <si>
    <t>Commercial - Merino - Breeding rams</t>
  </si>
  <si>
    <t>Commercial - Merino - Lambs</t>
  </si>
  <si>
    <t>Commercial - Merino - Weaners</t>
  </si>
  <si>
    <t>Commercial - Merino - Young ewes</t>
  </si>
  <si>
    <t>Commercial - Merino - Young rams</t>
  </si>
  <si>
    <t>Commercial - Non-wool - Breeding ewes</t>
  </si>
  <si>
    <t>Commercial - Non-wool - Breeding rams</t>
  </si>
  <si>
    <t>Commercial - Non-wool - Lambs</t>
  </si>
  <si>
    <t>Commercial - Non-wool - Weaners</t>
  </si>
  <si>
    <t>Commercial - Non-wool - Young ewes</t>
  </si>
  <si>
    <t>Commercial - Non-wool - Young rams</t>
  </si>
  <si>
    <t>Commercial - Other wool - Breeding ewes</t>
  </si>
  <si>
    <t>Commercial - Other wool - Breeding rams</t>
  </si>
  <si>
    <t>Commercial - Other wool - Lambs</t>
  </si>
  <si>
    <t>Commercial - Other wool - Weaners</t>
  </si>
  <si>
    <t>Commercial - Other wool - Young ewes</t>
  </si>
  <si>
    <t>Commercial - Other wool - Young rams</t>
  </si>
  <si>
    <t>Subsistence - Karakul - Breeding ewes</t>
  </si>
  <si>
    <t>Subsistence - Karakul - Breeding rams</t>
  </si>
  <si>
    <t>Subsistence - Karakul - Lambs</t>
  </si>
  <si>
    <t>Subsistence - Karakul - Weaners</t>
  </si>
  <si>
    <t>Subsistence - Karakul - Young ewes</t>
  </si>
  <si>
    <t>Subsistence - Karakul - Young rams</t>
  </si>
  <si>
    <t>Subsistence - Merino - Breeding ewes</t>
  </si>
  <si>
    <t>Subsistence - Merino - Breeding rams</t>
  </si>
  <si>
    <t>Subsistence - Merino - Lambs</t>
  </si>
  <si>
    <t>Subsistence - Merino - Weaners</t>
  </si>
  <si>
    <t>Subsistence - Merino - Young ewes</t>
  </si>
  <si>
    <t>Subsistence - Merino - Young rams</t>
  </si>
  <si>
    <t>Subsistence - Non-wool - Breeding ewes</t>
  </si>
  <si>
    <t>Subsistence - Non-wool - Breeding rams</t>
  </si>
  <si>
    <t>Subsistence - Non-wool - Lambs</t>
  </si>
  <si>
    <t>Subsistence - Non-wool - Weaners</t>
  </si>
  <si>
    <t>Subsistence - Non-wool - Young ewes</t>
  </si>
  <si>
    <t>Subsistence - Non-wool - Young rams</t>
  </si>
  <si>
    <t>Subsistence - Other wool - Breeding ewes</t>
  </si>
  <si>
    <t>Subsistence - Other wool - Breeding rams</t>
  </si>
  <si>
    <t>Subsistence - Other wool - Lambs</t>
  </si>
  <si>
    <t>Subsistence - Other wool - Weaners</t>
  </si>
  <si>
    <t>Subsistence - Other wool - Young ewes</t>
  </si>
  <si>
    <t>Subsistence - Other wool - Young rams</t>
  </si>
  <si>
    <t>Commercial - Angora - Breeding buck</t>
  </si>
  <si>
    <t>Commercial - Angora - Breeding does</t>
  </si>
  <si>
    <t>Commercial - Angora - Kids</t>
  </si>
  <si>
    <t>Commercial - Angora - Weaners</t>
  </si>
  <si>
    <t>Commercial - Angora - Young buck</t>
  </si>
  <si>
    <t>Commercial - Angora - Young does</t>
  </si>
  <si>
    <t>Commercial goats - Breeding buck</t>
  </si>
  <si>
    <t>Commercial goats - Breeding does</t>
  </si>
  <si>
    <t>Commercial goats - Kids</t>
  </si>
  <si>
    <t>Commercial goats - Weaners</t>
  </si>
  <si>
    <t>Commercial goats - Young buck</t>
  </si>
  <si>
    <t>Commercial goats - Young does</t>
  </si>
  <si>
    <t>Commercial - Milk - Breeding buck</t>
  </si>
  <si>
    <t>Commercial - Milk - Breeding does</t>
  </si>
  <si>
    <t>Commercial - Milk - Kids</t>
  </si>
  <si>
    <t>Commercial - Milk - Weaners</t>
  </si>
  <si>
    <t>Commercial - Milk - Young buck</t>
  </si>
  <si>
    <t>Commercial - Milk - Young does</t>
  </si>
  <si>
    <t>Subsistence goats - Breeding buck</t>
  </si>
  <si>
    <t>Subsistence goats - Breeding does</t>
  </si>
  <si>
    <t>Subsistence goats - Kids</t>
  </si>
  <si>
    <t>Subsistence goats - Weaners</t>
  </si>
  <si>
    <t>Subsistence goats - Young buck</t>
  </si>
  <si>
    <t>Subsistence goats - Young does</t>
  </si>
  <si>
    <t>Commercial swine - Baconers</t>
  </si>
  <si>
    <t>Commercial swine - Boars</t>
  </si>
  <si>
    <t>Commercial swine - Cull boars</t>
  </si>
  <si>
    <t>Commercial swine - Cull sows</t>
  </si>
  <si>
    <t>Commercial swine - Dry gestating sows</t>
  </si>
  <si>
    <t>Commercial swine - Lactating sows</t>
  </si>
  <si>
    <t>Commercial swine - Porkers</t>
  </si>
  <si>
    <t>Commercial swine - Pre-wean piglets</t>
  </si>
  <si>
    <t>Commercial swine - Replacement boars</t>
  </si>
  <si>
    <t>Commercial swine - Replacement sows</t>
  </si>
  <si>
    <t>Subsistence swine - Baconers</t>
  </si>
  <si>
    <t>Subsistence swine - Boars</t>
  </si>
  <si>
    <t>Subsistence swine - Cull boars</t>
  </si>
  <si>
    <t>Subsistence swine - Cull sows</t>
  </si>
  <si>
    <t>Subsistence swine - Dry gestating sows</t>
  </si>
  <si>
    <t>Subsistence swine - Lactating sows</t>
  </si>
  <si>
    <t>Subsistence swine - Porkers</t>
  </si>
  <si>
    <t>Subsistence swine - Pre-wean piglets</t>
  </si>
  <si>
    <t>Subsistence swine - Replacement boars</t>
  </si>
  <si>
    <t>Subsistence swine - Replacement sows</t>
  </si>
  <si>
    <t>Aggregated emission factors</t>
  </si>
  <si>
    <t>Livestock category</t>
  </si>
  <si>
    <t>EF</t>
  </si>
  <si>
    <t>Activity</t>
  </si>
  <si>
    <t>2010 Population</t>
  </si>
  <si>
    <t>Assumptions</t>
  </si>
  <si>
    <t>Notes</t>
  </si>
  <si>
    <t>Ratio</t>
  </si>
  <si>
    <t>EF x ratio</t>
  </si>
  <si>
    <t>Gg CH4</t>
  </si>
  <si>
    <t>Gg N2O</t>
  </si>
  <si>
    <t>Poultry</t>
  </si>
  <si>
    <t>Commercial poultry - Broilers</t>
  </si>
  <si>
    <t>Commercial poultry - Layers</t>
  </si>
  <si>
    <t>Subsistence poultry - Broilers</t>
  </si>
  <si>
    <t>Subsistence poultry - Layers</t>
  </si>
  <si>
    <t>Manure EF</t>
  </si>
  <si>
    <t>Lagoon</t>
  </si>
  <si>
    <t>Liquid/slurry</t>
  </si>
  <si>
    <t>Drylot</t>
  </si>
  <si>
    <t>Solid storage</t>
  </si>
  <si>
    <t>Daily spread</t>
  </si>
  <si>
    <t>Compost</t>
  </si>
  <si>
    <t>Manure with bedding</t>
  </si>
  <si>
    <t>Poultry manure without litter</t>
  </si>
  <si>
    <t>Poultry manure with litter</t>
  </si>
  <si>
    <t>Dailyspread</t>
  </si>
  <si>
    <t>Pasture, range and paddock</t>
  </si>
  <si>
    <t>Percentage</t>
  </si>
  <si>
    <t>MM</t>
  </si>
  <si>
    <t>Non-lactating</t>
  </si>
  <si>
    <t>Reference for projections</t>
  </si>
  <si>
    <t>Reference for historical</t>
  </si>
  <si>
    <t>Population data</t>
  </si>
  <si>
    <t>Excretion rate</t>
  </si>
  <si>
    <t>kg N/head/yr</t>
  </si>
  <si>
    <t>Summary</t>
  </si>
  <si>
    <t>Level 2 category</t>
  </si>
  <si>
    <t>Level 3 category</t>
  </si>
  <si>
    <t>Level 3/4 category</t>
  </si>
  <si>
    <t>Drivers</t>
  </si>
  <si>
    <t>Driver</t>
  </si>
  <si>
    <t>Beef consumption</t>
  </si>
  <si>
    <t>kg to tonne</t>
  </si>
  <si>
    <t>GVA/capita</t>
  </si>
  <si>
    <t>Beef production</t>
  </si>
  <si>
    <t>t</t>
  </si>
  <si>
    <t>t/capita</t>
  </si>
  <si>
    <t>Capita</t>
  </si>
  <si>
    <t>Input data</t>
  </si>
  <si>
    <t>Output data</t>
  </si>
  <si>
    <t>Livestock outputs</t>
  </si>
  <si>
    <t>Fraction</t>
  </si>
  <si>
    <t>Data relationships</t>
  </si>
  <si>
    <t>Data</t>
  </si>
  <si>
    <t>Milk consumption</t>
  </si>
  <si>
    <t>Beef/veal and cattle</t>
  </si>
  <si>
    <t>Milk and dairy cattle</t>
  </si>
  <si>
    <t>Cattle slaughtered</t>
  </si>
  <si>
    <t>Calves slaughtered</t>
  </si>
  <si>
    <t>Total cattle slaughtered</t>
  </si>
  <si>
    <t>Beef imports</t>
  </si>
  <si>
    <t>GVA (AA)</t>
  </si>
  <si>
    <t>Commercial cattle</t>
  </si>
  <si>
    <t>Subsistence cattle</t>
  </si>
  <si>
    <t>Milk production</t>
  </si>
  <si>
    <t>TMR dairy cattle fraction</t>
  </si>
  <si>
    <t>Fraction of dairy cattle that is TMR</t>
  </si>
  <si>
    <t>Lamb and sheep</t>
  </si>
  <si>
    <t>Lamb consumption</t>
  </si>
  <si>
    <t>Lamb and goat meat (not seperated in the statistics)</t>
  </si>
  <si>
    <t>Lamb production</t>
  </si>
  <si>
    <t>Lamb imports</t>
  </si>
  <si>
    <t>Lamb production plus imports</t>
  </si>
  <si>
    <t>Ratio of subsistence to commercial sheep</t>
  </si>
  <si>
    <t>Commercial sheep population</t>
  </si>
  <si>
    <t>Pork and swine</t>
  </si>
  <si>
    <t>Pork consumption</t>
  </si>
  <si>
    <t>Pork imports</t>
  </si>
  <si>
    <t>Pork production plus imports</t>
  </si>
  <si>
    <t>Pork production</t>
  </si>
  <si>
    <t>Commercial swine population</t>
  </si>
  <si>
    <t>Ratio of subsistence to commercial swine</t>
  </si>
  <si>
    <t>Eggs and layers</t>
  </si>
  <si>
    <t>Egg imports</t>
  </si>
  <si>
    <t>Egg imports plus production</t>
  </si>
  <si>
    <t>Egg consumption</t>
  </si>
  <si>
    <t>Egg production</t>
  </si>
  <si>
    <t>Commercial layer population</t>
  </si>
  <si>
    <t>Ratio of subsistence to commercial layers</t>
  </si>
  <si>
    <t>Chicken and broilers</t>
  </si>
  <si>
    <t>Chicken imports</t>
  </si>
  <si>
    <t>Chicken imports plus production</t>
  </si>
  <si>
    <t>Chicken consumption</t>
  </si>
  <si>
    <t>Chicken production</t>
  </si>
  <si>
    <t>Commercial broiler population</t>
  </si>
  <si>
    <t>Ratio of subsistence to commercial broilers</t>
  </si>
  <si>
    <t>Chevon consumption</t>
  </si>
  <si>
    <t>Chevon imports</t>
  </si>
  <si>
    <t>Chevon production plus imports</t>
  </si>
  <si>
    <t>Chevon production</t>
  </si>
  <si>
    <t>Commercial goat population</t>
  </si>
  <si>
    <t>Years</t>
  </si>
  <si>
    <t>Lamb and chevon consumption</t>
  </si>
  <si>
    <t>% chevon</t>
  </si>
  <si>
    <t>Average</t>
  </si>
  <si>
    <t>Chevon consumption (actual)</t>
  </si>
  <si>
    <t>Fraction of goat meat</t>
  </si>
  <si>
    <t>Fraction of sheep and goat meat that is goat meat</t>
  </si>
  <si>
    <t>Lamb and goat meat minus goat meat</t>
  </si>
  <si>
    <t>Lamb and chevon production</t>
  </si>
  <si>
    <t>Horse population</t>
  </si>
  <si>
    <t>Maize production</t>
  </si>
  <si>
    <t>Maize consumption (total)</t>
  </si>
  <si>
    <t>Ratio of subsistence to commercial goats</t>
  </si>
  <si>
    <t>Indigenous forests</t>
  </si>
  <si>
    <t>Thickets</t>
  </si>
  <si>
    <t>Woodlands</t>
  </si>
  <si>
    <t>Plantations</t>
  </si>
  <si>
    <t>Annual non-pivot</t>
  </si>
  <si>
    <t>Annual pivot</t>
  </si>
  <si>
    <t>Perennial orchards</t>
  </si>
  <si>
    <t>Perennial vineyards</t>
  </si>
  <si>
    <t>Cropland subsistence</t>
  </si>
  <si>
    <t>Grasslands</t>
  </si>
  <si>
    <t>Low shrublands</t>
  </si>
  <si>
    <t>Settlements</t>
  </si>
  <si>
    <t>Mines</t>
  </si>
  <si>
    <t>Bare ground</t>
  </si>
  <si>
    <t>Degraded land</t>
  </si>
  <si>
    <t>ha</t>
  </si>
  <si>
    <t>Biomass burning EF</t>
  </si>
  <si>
    <t>Biomass burning Cf</t>
  </si>
  <si>
    <t>Biomass burning Mb</t>
  </si>
  <si>
    <t>t/ha</t>
  </si>
  <si>
    <t>g gas/kg dm</t>
  </si>
  <si>
    <t>Maize</t>
  </si>
  <si>
    <t>Maize area</t>
  </si>
  <si>
    <t>Maize consumption</t>
  </si>
  <si>
    <t>Maize consumption (human</t>
  </si>
  <si>
    <t>Maize consumption (feed)</t>
  </si>
  <si>
    <t>Crop production</t>
  </si>
  <si>
    <t>3C Aggregated and non-CO2 emissions on land</t>
  </si>
  <si>
    <t>Maize exports</t>
  </si>
  <si>
    <t>Maize consumption + exports</t>
  </si>
  <si>
    <t>N fertiliser consumption</t>
  </si>
  <si>
    <t>Wheat</t>
  </si>
  <si>
    <t>Wheat consumption (feed)</t>
  </si>
  <si>
    <t>Wheat consumption (human</t>
  </si>
  <si>
    <t>Wheat consumption (total)</t>
  </si>
  <si>
    <t>Wheat production</t>
  </si>
  <si>
    <t>Wheat area</t>
  </si>
  <si>
    <t>Wheat consumption</t>
  </si>
  <si>
    <t>Wheat exports</t>
  </si>
  <si>
    <t>Wheat consumption + exports</t>
  </si>
  <si>
    <t>Sorghum</t>
  </si>
  <si>
    <t>Sorghum consumption (feed)</t>
  </si>
  <si>
    <t>Sorghum consumption (human</t>
  </si>
  <si>
    <t>Sorghum consumption (total)</t>
  </si>
  <si>
    <t>Sorghum production</t>
  </si>
  <si>
    <t>Sorghum area</t>
  </si>
  <si>
    <t>Sorghum consumption</t>
  </si>
  <si>
    <t>Sorghum exports</t>
  </si>
  <si>
    <t>Sorghum consumption + exports</t>
  </si>
  <si>
    <t>Fertilisers and lime</t>
  </si>
  <si>
    <t xml:space="preserve"> - wheat</t>
  </si>
  <si>
    <t xml:space="preserve"> - sorghum</t>
  </si>
  <si>
    <t xml:space="preserve"> - total</t>
  </si>
  <si>
    <t>fraction</t>
  </si>
  <si>
    <t>Lime application EF</t>
  </si>
  <si>
    <t>t C/t lime</t>
  </si>
  <si>
    <t>CO2</t>
  </si>
  <si>
    <t>Lime emissions</t>
  </si>
  <si>
    <t>Gg CO2</t>
  </si>
  <si>
    <t>Lime</t>
  </si>
  <si>
    <t>Lime consumption</t>
  </si>
  <si>
    <t>Inorganic N application</t>
  </si>
  <si>
    <t>Urea fertiliser</t>
  </si>
  <si>
    <t>Inorganic N fertiliser</t>
  </si>
  <si>
    <t>Urea EF</t>
  </si>
  <si>
    <t>t C/t urea</t>
  </si>
  <si>
    <t>Urea emissions</t>
  </si>
  <si>
    <t>CtoCO2</t>
  </si>
  <si>
    <t>tonne to Gg</t>
  </si>
  <si>
    <t>Compost N</t>
  </si>
  <si>
    <t>FracMM</t>
  </si>
  <si>
    <t xml:space="preserve"> - Diary cattle</t>
  </si>
  <si>
    <t xml:space="preserve"> - commercial other cattle</t>
  </si>
  <si>
    <t xml:space="preserve"> - feedlot other cattle</t>
  </si>
  <si>
    <t xml:space="preserve"> - subsistence other cattle</t>
  </si>
  <si>
    <t xml:space="preserve"> - commercial sheep</t>
  </si>
  <si>
    <t xml:space="preserve"> - subsistence sheep</t>
  </si>
  <si>
    <t xml:space="preserve"> - commercial goats</t>
  </si>
  <si>
    <t xml:space="preserve"> - subsistence goats</t>
  </si>
  <si>
    <t xml:space="preserve"> - commercial swine</t>
  </si>
  <si>
    <t xml:space="preserve"> - subsistence swine</t>
  </si>
  <si>
    <t xml:space="preserve"> - broilers</t>
  </si>
  <si>
    <t xml:space="preserve"> - layers</t>
  </si>
  <si>
    <t>FracLoss</t>
  </si>
  <si>
    <t>N for bedding</t>
  </si>
  <si>
    <t>Manure N</t>
  </si>
  <si>
    <t>kg N</t>
  </si>
  <si>
    <t>N bedding</t>
  </si>
  <si>
    <t>MM N available</t>
  </si>
  <si>
    <t>Urine &amp; dung</t>
  </si>
  <si>
    <t>Synthetic N</t>
  </si>
  <si>
    <t>Organic N</t>
  </si>
  <si>
    <t>SOM N</t>
  </si>
  <si>
    <t>Urine and dung N (CPP)</t>
  </si>
  <si>
    <t>Urine and dung N (SO)</t>
  </si>
  <si>
    <t>kg N2O-N/kg N input</t>
  </si>
  <si>
    <t xml:space="preserve"> - EF</t>
  </si>
  <si>
    <t>tonne to kg</t>
  </si>
  <si>
    <t>Synthetic fertlisers</t>
  </si>
  <si>
    <t>Organic fertilisers</t>
  </si>
  <si>
    <t>MM emissions</t>
  </si>
  <si>
    <t>U&amp;D emissions</t>
  </si>
  <si>
    <t>FracGASF</t>
  </si>
  <si>
    <t>FracGASM</t>
  </si>
  <si>
    <t>FracLEACH</t>
  </si>
  <si>
    <t xml:space="preserve"> - synthetic N</t>
  </si>
  <si>
    <t xml:space="preserve"> - Organic N</t>
  </si>
  <si>
    <t xml:space="preserve"> - N application</t>
  </si>
  <si>
    <t xml:space="preserve"> - U&amp;D</t>
  </si>
  <si>
    <t xml:space="preserve"> - volatilisation EF</t>
  </si>
  <si>
    <t xml:space="preserve"> - leaching EF</t>
  </si>
  <si>
    <t>Indirect MS</t>
  </si>
  <si>
    <t>kg N2O-N/kg N volatilized</t>
  </si>
  <si>
    <t>kg N2O-N/kg N leached</t>
  </si>
  <si>
    <t xml:space="preserve"> - Synthetic fertlisers</t>
  </si>
  <si>
    <t xml:space="preserve"> - Organic fertilisers</t>
  </si>
  <si>
    <t xml:space="preserve"> - Managed manure</t>
  </si>
  <si>
    <t xml:space="preserve"> - Urine &amp; dung</t>
  </si>
  <si>
    <t xml:space="preserve"> - crop residues</t>
  </si>
  <si>
    <t>FracLEACHMM</t>
  </si>
  <si>
    <t xml:space="preserve"> - manure management</t>
  </si>
  <si>
    <t>Indirect MM</t>
  </si>
  <si>
    <t>FracGasMS</t>
  </si>
  <si>
    <t>Maize residue N</t>
  </si>
  <si>
    <t>Wheat residue N</t>
  </si>
  <si>
    <t>Sorghum residue N</t>
  </si>
  <si>
    <t xml:space="preserve"> - maize</t>
  </si>
  <si>
    <t>Fraction of total N residue</t>
  </si>
  <si>
    <t>Maize, wheat, sorghum N residue</t>
  </si>
  <si>
    <t>Total N residue</t>
  </si>
  <si>
    <t>Crop residue</t>
  </si>
  <si>
    <t>Slope</t>
  </si>
  <si>
    <t>Intercept</t>
  </si>
  <si>
    <t>Non-lactating cattle</t>
  </si>
  <si>
    <t>head</t>
  </si>
  <si>
    <t>Maize area modelled</t>
  </si>
  <si>
    <t>Maize area actual</t>
  </si>
  <si>
    <t>TMR - Manure management - Lagoon</t>
  </si>
  <si>
    <t>TMR - Manure management - Liquid/slurry</t>
  </si>
  <si>
    <t>TMR - Manure management - Drylot</t>
  </si>
  <si>
    <t>TMR - Manure management - Solid storage</t>
  </si>
  <si>
    <t>TMR - Manure management - Dailyspread</t>
  </si>
  <si>
    <t>TMR - Manure management - Compost</t>
  </si>
  <si>
    <t>TMR - Manure management - Manure with bedding</t>
  </si>
  <si>
    <t>TMR - Manure management - Poultry manure without litter</t>
  </si>
  <si>
    <t>TMR - Manure management - Poultry manure with litter</t>
  </si>
  <si>
    <t>TMR - Manure management - Pasture, range and paddock</t>
  </si>
  <si>
    <t>Pasture - Manure management - Lagoon</t>
  </si>
  <si>
    <t>Pasture - Manure management - Liquid/slurry</t>
  </si>
  <si>
    <t>Pasture - Manure management - Drylot</t>
  </si>
  <si>
    <t>Pasture - Manure management - Solid storage</t>
  </si>
  <si>
    <t>Pasture - Manure management - Dailyspread</t>
  </si>
  <si>
    <t>Pasture - Manure management - Compost</t>
  </si>
  <si>
    <t>Pasture - Manure management - Manure with bedding</t>
  </si>
  <si>
    <t>Pasture - Manure management - Poultry manure without litter</t>
  </si>
  <si>
    <t>Pasture - Manure management - Poultry manure with litter</t>
  </si>
  <si>
    <t>Pasture - Manure management - Pasture, range and paddock</t>
  </si>
  <si>
    <t>Non-lactating - Manure management - Lagoon</t>
  </si>
  <si>
    <t>Non-lactating - Manure management - Liquid/slurry</t>
  </si>
  <si>
    <t>Non-lactating - Manure management - Drylot</t>
  </si>
  <si>
    <t>Non-lactating - Manure management - Solid storage</t>
  </si>
  <si>
    <t>Non-lactating - Manure management - Dailyspread</t>
  </si>
  <si>
    <t>Non-lactating - Manure management - Compost</t>
  </si>
  <si>
    <t>Non-lactating - Manure management - Manure with bedding</t>
  </si>
  <si>
    <t>Non-lactating - Manure management - Poultry manure without litter</t>
  </si>
  <si>
    <t>Non-lactating - Manure management - Poultry manure with litter</t>
  </si>
  <si>
    <t>Non-lactating - Manure management - Pasture, range and paddock</t>
  </si>
  <si>
    <t>Commercial cattle - Manure management - Lagoon</t>
  </si>
  <si>
    <t>Commercial cattle - Manure management - Liquid/slurry</t>
  </si>
  <si>
    <t>Commercial cattle - Manure management - Drylot</t>
  </si>
  <si>
    <t>Commercial cattle - Manure management - Solid storage</t>
  </si>
  <si>
    <t>Commercial cattle - Manure management - Dailyspread</t>
  </si>
  <si>
    <t>Commercial cattle - Manure management - Compost</t>
  </si>
  <si>
    <t>Commercial cattle - Manure management - Manure with bedding</t>
  </si>
  <si>
    <t>Commercial cattle - Manure management - Poultry manure without litter</t>
  </si>
  <si>
    <t>Commercial cattle - Manure management - Poultry manure with litter</t>
  </si>
  <si>
    <t>Commercial cattle - Manure management - Pasture, range and paddock</t>
  </si>
  <si>
    <t>Subsistence cattle - Manure management - Lagoon</t>
  </si>
  <si>
    <t>Subsistence cattle - Manure management - Liquid/slurry</t>
  </si>
  <si>
    <t>Subsistence cattle - Manure management - Drylot</t>
  </si>
  <si>
    <t>Subsistence cattle - Manure management - Solid storage</t>
  </si>
  <si>
    <t>Subsistence cattle - Manure management - Dailyspread</t>
  </si>
  <si>
    <t>Subsistence cattle - Manure management - Compost</t>
  </si>
  <si>
    <t>Subsistence cattle - Manure management - Manure with bedding</t>
  </si>
  <si>
    <t>Subsistence cattle - Manure management - Poultry manure without litter</t>
  </si>
  <si>
    <t>Subsistence cattle - Manure management - Poultry manure with litter</t>
  </si>
  <si>
    <t>Subsistence cattle - Manure management - Pasture, range and paddock</t>
  </si>
  <si>
    <t>Feedlot - Manure management - Lagoon</t>
  </si>
  <si>
    <t>Feedlot - Manure management - Liquid/slurry</t>
  </si>
  <si>
    <t>Feedlot - Manure management - Drylot</t>
  </si>
  <si>
    <t>Feedlot - Manure management - Solid storage</t>
  </si>
  <si>
    <t>Feedlot - Manure management - Dailyspread</t>
  </si>
  <si>
    <t>Feedlot - Manure management - Compost</t>
  </si>
  <si>
    <t>Feedlot - Manure management - Manure with bedding</t>
  </si>
  <si>
    <t>Feedlot - Manure management - Poultry manure without litter</t>
  </si>
  <si>
    <t>Feedlot - Manure management - Poultry manure with litter</t>
  </si>
  <si>
    <t>Feedlot - Manure management - Pasture, range and paddock</t>
  </si>
  <si>
    <t>Commercial sheep - Manure management - Lagoon</t>
  </si>
  <si>
    <t>Commercial sheep - Manure management - Liquid/slurry</t>
  </si>
  <si>
    <t>Commercial sheep - Manure management - Drylot</t>
  </si>
  <si>
    <t>Commercial sheep - Manure management - Solid storage</t>
  </si>
  <si>
    <t>Commercial sheep - Manure management - Dailyspread</t>
  </si>
  <si>
    <t>Commercial sheep - Manure management - Compost</t>
  </si>
  <si>
    <t>Commercial sheep - Manure management - Manure with bedding</t>
  </si>
  <si>
    <t>Commercial sheep - Manure management - Poultry manure without litter</t>
  </si>
  <si>
    <t>Commercial sheep - Manure management - Poultry manure with litter</t>
  </si>
  <si>
    <t>Commercial sheep - Manure management - Pasture, range and paddock</t>
  </si>
  <si>
    <t>Subsistence sheep - Manure management - Lagoon</t>
  </si>
  <si>
    <t>Subsistence sheep - Manure management - Liquid/slurry</t>
  </si>
  <si>
    <t>Subsistence sheep - Manure management - Drylot</t>
  </si>
  <si>
    <t>Subsistence sheep - Manure management - Solid storage</t>
  </si>
  <si>
    <t>Subsistence sheep - Manure management - Dailyspread</t>
  </si>
  <si>
    <t>Subsistence sheep - Manure management - Compost</t>
  </si>
  <si>
    <t>Subsistence sheep - Manure management - Manure with bedding</t>
  </si>
  <si>
    <t>Subsistence sheep - Manure management - Poultry manure without litter</t>
  </si>
  <si>
    <t>Subsistence sheep - Manure management - Poultry manure with litter</t>
  </si>
  <si>
    <t>Subsistence sheep - Manure management - Pasture, range and paddock</t>
  </si>
  <si>
    <t>Commercial goats - Manure management - Lagoon</t>
  </si>
  <si>
    <t>Commercial goats - Manure management - Liquid/slurry</t>
  </si>
  <si>
    <t>Commercial goats - Manure management - Drylot</t>
  </si>
  <si>
    <t>Commercial goats - Manure management - Solid storage</t>
  </si>
  <si>
    <t>Commercial goats - Manure management - Dailyspread</t>
  </si>
  <si>
    <t>Commercial goats - Manure management - Compost</t>
  </si>
  <si>
    <t>Commercial goats - Manure management - Manure with bedding</t>
  </si>
  <si>
    <t>Commercial goats - Manure management - Poultry manure without litter</t>
  </si>
  <si>
    <t>Commercial goats - Manure management - Poultry manure with litter</t>
  </si>
  <si>
    <t>Commercial goats - Manure management - Pasture, range and paddock</t>
  </si>
  <si>
    <t>Subsistence goats - Manure management - Lagoon</t>
  </si>
  <si>
    <t>Subsistence goats - Manure management - Liquid/slurry</t>
  </si>
  <si>
    <t>Subsistence goats - Manure management - Drylot</t>
  </si>
  <si>
    <t>Subsistence goats - Manure management - Solid storage</t>
  </si>
  <si>
    <t>Subsistence goats - Manure management - Dailyspread</t>
  </si>
  <si>
    <t>Subsistence goats - Manure management - Compost</t>
  </si>
  <si>
    <t>Subsistence goats - Manure management - Manure with bedding</t>
  </si>
  <si>
    <t>Subsistence goats - Manure management - Poultry manure without litter</t>
  </si>
  <si>
    <t>Subsistence goats - Manure management - Poultry manure with litter</t>
  </si>
  <si>
    <t>Subsistence goats - Manure management - Pasture, range and paddock</t>
  </si>
  <si>
    <t>Horses - Manure management - Lagoon</t>
  </si>
  <si>
    <t>Horses - Manure management - Liquid/slurry</t>
  </si>
  <si>
    <t>Horses - Manure management - Drylot</t>
  </si>
  <si>
    <t>Horses - Manure management - Solid storage</t>
  </si>
  <si>
    <t>Horses - Manure management - Dailyspread</t>
  </si>
  <si>
    <t>Horses - Manure management - Compost</t>
  </si>
  <si>
    <t>Horses - Manure management - Manure with bedding</t>
  </si>
  <si>
    <t>Horses - Manure management - Poultry manure without litter</t>
  </si>
  <si>
    <t>Horses - Manure management - Poultry manure with litter</t>
  </si>
  <si>
    <t>Horses - Manure management - Pasture, range and paddock</t>
  </si>
  <si>
    <t>Mules &amp; Asses - Manure management - Lagoon</t>
  </si>
  <si>
    <t>Mules &amp; Asses - Manure management - Liquid/slurry</t>
  </si>
  <si>
    <t>Mules &amp; Asses - Manure management - Drylot</t>
  </si>
  <si>
    <t>Mules &amp; Asses - Manure management - Solid storage</t>
  </si>
  <si>
    <t>Mules &amp; Asses - Manure management - Dailyspread</t>
  </si>
  <si>
    <t>Mules &amp; Asses - Manure management - Compost</t>
  </si>
  <si>
    <t>Mules &amp; Asses - Manure management - Manure with bedding</t>
  </si>
  <si>
    <t>Mules &amp; Asses - Manure management - Poultry manure without litter</t>
  </si>
  <si>
    <t>Mules &amp; Asses - Manure management - Poultry manure with litter</t>
  </si>
  <si>
    <t>Mules &amp; Asses - Manure management - Pasture, range and paddock</t>
  </si>
  <si>
    <t>Commercial swine - Manure management - Lagoon</t>
  </si>
  <si>
    <t>Commercial swine - Manure management - Liquid/slurry</t>
  </si>
  <si>
    <t>Commercial swine - Manure management - Drylot</t>
  </si>
  <si>
    <t>Commercial swine - Manure management - Solid storage</t>
  </si>
  <si>
    <t>Commercial swine - Manure management - Dailyspread</t>
  </si>
  <si>
    <t>Commercial swine - Manure management - Compost</t>
  </si>
  <si>
    <t>Commercial swine - Manure management - Manure with bedding</t>
  </si>
  <si>
    <t>Commercial swine - Manure management - Poultry manure without litter</t>
  </si>
  <si>
    <t>Commercial swine - Manure management - Poultry manure with litter</t>
  </si>
  <si>
    <t>Commercial swine - Manure management - Pasture, range and paddock</t>
  </si>
  <si>
    <t>Subsistence swine - Manure management - Lagoon</t>
  </si>
  <si>
    <t>Subsistence swine - Manure management - Liquid/slurry</t>
  </si>
  <si>
    <t>Subsistence swine - Manure management - Drylot</t>
  </si>
  <si>
    <t>Subsistence swine - Manure management - Solid storage</t>
  </si>
  <si>
    <t>Subsistence swine - Manure management - Dailyspread</t>
  </si>
  <si>
    <t>Subsistence swine - Manure management - Compost</t>
  </si>
  <si>
    <t>Subsistence swine - Manure management - Manure with bedding</t>
  </si>
  <si>
    <t>Subsistence swine - Manure management - Poultry manure without litter</t>
  </si>
  <si>
    <t>Subsistence swine - Manure management - Poultry manure with litter</t>
  </si>
  <si>
    <t>Subsistence swine - Manure management - Pasture, range and paddock</t>
  </si>
  <si>
    <t>Commercial layers - Manure management - Lagoon</t>
  </si>
  <si>
    <t>Commercial layers - Manure management - Liquid/slurry</t>
  </si>
  <si>
    <t>Commercial layers - Manure management - Drylot</t>
  </si>
  <si>
    <t>Commercial layers - Manure management - Solid storage</t>
  </si>
  <si>
    <t>Commercial layers - Manure management - Dailyspread</t>
  </si>
  <si>
    <t>Commercial layers - Manure management - Compost</t>
  </si>
  <si>
    <t>Commercial layers - Manure management - Manure with bedding</t>
  </si>
  <si>
    <t>Commercial layers - Manure management - Poultry manure without litter</t>
  </si>
  <si>
    <t>Commercial layers - Manure management - Poultry manure with litter</t>
  </si>
  <si>
    <t>Commercial layers - Manure management - Pasture, range and paddock</t>
  </si>
  <si>
    <t>Commercial broilers - Manure management - Lagoon</t>
  </si>
  <si>
    <t>Commercial broilers - Manure management - Liquid/slurry</t>
  </si>
  <si>
    <t>Commercial broilers - Manure management - Drylot</t>
  </si>
  <si>
    <t>Commercial broilers - Manure management - Solid storage</t>
  </si>
  <si>
    <t>Commercial broilers - Manure management - Dailyspread</t>
  </si>
  <si>
    <t>Commercial broilers - Manure management - Compost</t>
  </si>
  <si>
    <t>Commercial broilers - Manure management - Manure with bedding</t>
  </si>
  <si>
    <t>Commercial broilers - Manure management - Poultry manure without litter</t>
  </si>
  <si>
    <t>Commercial broilers - Manure management - Poultry manure with litter</t>
  </si>
  <si>
    <t>Commercial broilers - Manure management - Pasture, range and paddock</t>
  </si>
  <si>
    <t>Subsistence layers - Manure management - Lagoon</t>
  </si>
  <si>
    <t>Subsistence layers - Manure management - Liquid/slurry</t>
  </si>
  <si>
    <t>Subsistence layers - Manure management - Drylot</t>
  </si>
  <si>
    <t>Subsistence layers - Manure management - Solid storage</t>
  </si>
  <si>
    <t>Subsistence layers - Manure management - Dailyspread</t>
  </si>
  <si>
    <t>Subsistence layers - Manure management - Compost</t>
  </si>
  <si>
    <t>Subsistence layers - Manure management - Manure with bedding</t>
  </si>
  <si>
    <t>Subsistence layers - Manure management - Poultry manure without litter</t>
  </si>
  <si>
    <t>Subsistence layers - Manure management - Poultry manure with litter</t>
  </si>
  <si>
    <t>Subsistence layers - Manure management - Pasture, range and paddock</t>
  </si>
  <si>
    <t>Subsistence broilers - Manure management - Lagoon</t>
  </si>
  <si>
    <t>Subsistence broilers - Manure management - Liquid/slurry</t>
  </si>
  <si>
    <t>Subsistence broilers - Manure management - Drylot</t>
  </si>
  <si>
    <t>Subsistence broilers - Manure management - Solid storage</t>
  </si>
  <si>
    <t>Subsistence broilers - Manure management - Dailyspread</t>
  </si>
  <si>
    <t>Subsistence broilers - Manure management - Compost</t>
  </si>
  <si>
    <t>Subsistence broilers - Manure management - Manure with bedding</t>
  </si>
  <si>
    <t>Subsistence broilers - Manure management - Poultry manure without litter</t>
  </si>
  <si>
    <t>Subsistence broilers - Manure management - Poultry manure with litter</t>
  </si>
  <si>
    <t>Subsistence broilers - Manure management - Pasture, range and paddock</t>
  </si>
  <si>
    <t>Manure N and organic inputs</t>
  </si>
  <si>
    <t>Gg CO2e</t>
  </si>
  <si>
    <t>Enteric</t>
  </si>
  <si>
    <t>Manure CH4</t>
  </si>
  <si>
    <t>Manure N2O</t>
  </si>
  <si>
    <t>Biomass burning CH4</t>
  </si>
  <si>
    <t>Biomass burning N2O</t>
  </si>
  <si>
    <t>Urea</t>
  </si>
  <si>
    <t>Direct N2O</t>
  </si>
  <si>
    <t>Indirect N2O from MM</t>
  </si>
  <si>
    <t>Indirect N2O from MS</t>
  </si>
  <si>
    <t>FF</t>
  </si>
  <si>
    <t>OO</t>
  </si>
  <si>
    <t>Ft</t>
  </si>
  <si>
    <t>Fw</t>
  </si>
  <si>
    <t>Fp</t>
  </si>
  <si>
    <t>Cnp</t>
  </si>
  <si>
    <t>Cp</t>
  </si>
  <si>
    <t>Co</t>
  </si>
  <si>
    <t>Cv</t>
  </si>
  <si>
    <t>Cs</t>
  </si>
  <si>
    <t>GG</t>
  </si>
  <si>
    <t>Gs</t>
  </si>
  <si>
    <t>WW</t>
  </si>
  <si>
    <t>SS</t>
  </si>
  <si>
    <t>Sm</t>
  </si>
  <si>
    <t>Ob</t>
  </si>
  <si>
    <t>Mitigation levers</t>
  </si>
  <si>
    <t>3A2 Manure management (N2O)</t>
  </si>
  <si>
    <t>Agricultural emission projections - Baseline</t>
  </si>
  <si>
    <t>Compost N application</t>
  </si>
  <si>
    <t>Crop residue N application</t>
  </si>
  <si>
    <t>Crop residue N</t>
  </si>
  <si>
    <t>Conservation agriculture area</t>
  </si>
  <si>
    <t>kg/capita</t>
  </si>
  <si>
    <t>Lamb and chevon</t>
  </si>
  <si>
    <t>GVA</t>
  </si>
  <si>
    <t>BFAP projections data</t>
  </si>
  <si>
    <t>Chicken production (BFAP)</t>
  </si>
  <si>
    <t>Chicken consumption (BFAP)</t>
  </si>
  <si>
    <t>Chicken production (model)</t>
  </si>
  <si>
    <t>Chicken consumption (model)</t>
  </si>
  <si>
    <t>Egg production (BFAP)</t>
  </si>
  <si>
    <t>Egg consumption (BFAP)</t>
  </si>
  <si>
    <t>Egg production (model)</t>
  </si>
  <si>
    <t>Egg consumption (model)</t>
  </si>
  <si>
    <t>Beef production (BFAP)</t>
  </si>
  <si>
    <t>Beef consumption (BFAP)</t>
  </si>
  <si>
    <t>Beef production (model)</t>
  </si>
  <si>
    <t>Beef consumption (model)</t>
  </si>
  <si>
    <t>Pork production (BFAP)</t>
  </si>
  <si>
    <t>Pork Domestic Use (BFAP)</t>
  </si>
  <si>
    <t>Pork production (model)</t>
  </si>
  <si>
    <t>Pork Domestic Use (model)</t>
  </si>
  <si>
    <t>Fluid milk production (BFAP)</t>
  </si>
  <si>
    <t>Fluid milk fresh utilization (BFAP)</t>
  </si>
  <si>
    <t>Fluid Milk factory utilization (BFAP)</t>
  </si>
  <si>
    <t>Milk production (model)</t>
  </si>
  <si>
    <t>Milk consumption (model)</t>
  </si>
  <si>
    <t>Sheep meat production (BFAP)</t>
  </si>
  <si>
    <t>Sheep meat domestic Use (BFAP)</t>
  </si>
  <si>
    <t>Sheep meat production (model)</t>
  </si>
  <si>
    <t>Sheep meat domestic Use (model)</t>
  </si>
  <si>
    <t>Beef production minus</t>
  </si>
  <si>
    <t>subsistence goats</t>
  </si>
  <si>
    <t>population</t>
  </si>
  <si>
    <t>capita</t>
  </si>
  <si>
    <t>Name</t>
  </si>
  <si>
    <t>Agriculture model_v1.5</t>
  </si>
  <si>
    <t>File details</t>
  </si>
  <si>
    <t>Last modified by</t>
  </si>
  <si>
    <t>Date</t>
  </si>
  <si>
    <t>LS</t>
  </si>
  <si>
    <t>Worksheet details</t>
  </si>
  <si>
    <t>20-06-2020</t>
  </si>
  <si>
    <t>Aggregtaed EF</t>
  </si>
  <si>
    <t>Function</t>
  </si>
  <si>
    <t>This contains a list of the IPCC categrioes and the levels. These are referred to throughout the worksheet.</t>
  </si>
  <si>
    <t>These are the main drivers - GDP (GVA) and population.</t>
  </si>
  <si>
    <t>Currently it has the population sent to LS by Faaiqa, and the GVA is from the Abstracts of Agricultural Statistics (2019). This data was to 2018 and after that LS just exstrpolated a straightline trend just to test the model. These will be replaced by economic data from Faaiqa - LS will need to QC model when this data becomes available.</t>
  </si>
  <si>
    <t>Colour coding</t>
  </si>
  <si>
    <t>Calculation</t>
  </si>
  <si>
    <t>Linked</t>
  </si>
  <si>
    <t>Coefficient</t>
  </si>
  <si>
    <t>Linked to another spreadsheet</t>
  </si>
  <si>
    <t>Data that is input into the model. In this case it is the drivers and then the activity data for the inventory for 1990-2017.</t>
  </si>
  <si>
    <t>Assumption</t>
  </si>
  <si>
    <t>Agriculture model_v1.6</t>
  </si>
  <si>
    <t>Cleaned up the model and took out any unnecessary information</t>
  </si>
  <si>
    <t>Conservation agriculture involves mulching which is the incorporation of crop residues into the soil. If more crop residues are used there would be an increase in crop residue emissions, and a reduction in inorgonic fertiliser and other compost use.</t>
  </si>
  <si>
    <t>Mitigation action: Conservation agriculture</t>
  </si>
  <si>
    <t>Mitigation action: Biodigesters</t>
  </si>
  <si>
    <t>IPCC default</t>
  </si>
  <si>
    <t>Constants from inventory</t>
  </si>
  <si>
    <t>Comparison with 2017 inventory</t>
  </si>
  <si>
    <t>Value</t>
  </si>
  <si>
    <t>Forest remaining forest land</t>
  </si>
  <si>
    <t>ton C</t>
  </si>
  <si>
    <t>NO</t>
  </si>
  <si>
    <t>Wetland remaining wetland</t>
  </si>
  <si>
    <t>C:N ratio for forest land converted to cropland</t>
  </si>
  <si>
    <t>C:N ratio for grassland converted to cropland</t>
  </si>
  <si>
    <t>C:N ratio of cropland remaining cropland</t>
  </si>
  <si>
    <t>C:N ratio for other land use types and conversions</t>
  </si>
  <si>
    <t>Total agriculture (model)</t>
  </si>
  <si>
    <t>Total agricuture (inventory)</t>
  </si>
  <si>
    <t>Percentage difference</t>
  </si>
  <si>
    <t>There are spome difference with the inventory due to the use of aggregated emission factors, and also a correction was made to the FSOM indirect emission data which led to a slight increase in emissions.</t>
  </si>
  <si>
    <t>These are all the constant factors in the equations.</t>
  </si>
  <si>
    <t>Currently there are no mitigation actions included for the agriculture sector as there are no policy targets for this component (see further discussion in the Mitigation scenario worksheet).</t>
  </si>
  <si>
    <t>Activity data required for calculations.</t>
  </si>
  <si>
    <t>Emission factors required in the calculations.</t>
  </si>
  <si>
    <t>Factors are taken from inventory, but in many cases the inventory EF were aggregated (see Aggregated EF for calculations) to reduce complexity.</t>
  </si>
  <si>
    <t>This is where the inventory emission factors are along with data for calculating the weighted EF.</t>
  </si>
  <si>
    <t>Worksheet where emisions are calculated.</t>
  </si>
  <si>
    <t>Summary of emissions.</t>
  </si>
  <si>
    <t>21-06-2020</t>
  </si>
  <si>
    <t>Livestock emissions (modelled)</t>
  </si>
  <si>
    <t>Livestock emissions (2017 inventory)</t>
  </si>
  <si>
    <t>Aggregated non-CO2 emissions (modelled)</t>
  </si>
  <si>
    <t>Aggregated non-CO2 emissions (2017 inventory)</t>
  </si>
  <si>
    <t>Biomass burning CH4 (inventory)</t>
  </si>
  <si>
    <t>Biomass burning N2O (inventory)</t>
  </si>
  <si>
    <t>Liming (inventory)</t>
  </si>
  <si>
    <t>Urea (inventory)</t>
  </si>
  <si>
    <t>Direct N2O (inventory)</t>
  </si>
  <si>
    <t>Indirect N2O from MS (inventory)</t>
  </si>
  <si>
    <t>Indirect N2O from MM (inventory)</t>
  </si>
  <si>
    <t>Wealth (GVA)</t>
  </si>
  <si>
    <t>Urban population percentage</t>
  </si>
  <si>
    <t>Rural population</t>
  </si>
  <si>
    <t>rural population</t>
  </si>
  <si>
    <t>Billion</t>
  </si>
  <si>
    <t>Population number from Faaiqa</t>
  </si>
  <si>
    <t>1990-2011 from agricultural abstracts, 2012 onwards 2017 GDP from Faaiqa</t>
  </si>
  <si>
    <t>Maize consumption (animal feed)</t>
  </si>
  <si>
    <t>Maize consumption (human)</t>
  </si>
  <si>
    <t>Livestock population</t>
  </si>
  <si>
    <t>Total animal population</t>
  </si>
  <si>
    <t>Sorghum consumption (human)</t>
  </si>
  <si>
    <t>1990-2017</t>
  </si>
  <si>
    <t>TMR - Manure management - Anaerobic digester</t>
  </si>
  <si>
    <t>Pasture - Manure management - Anaerobic biodigester</t>
  </si>
  <si>
    <t>Non-lactating - Manure management - Anaerobic biodigesters</t>
  </si>
  <si>
    <t>Subsistence cattle - Manure management - Anaerobic biodigesters</t>
  </si>
  <si>
    <t>Feedlot - Manure management - Anaerobic biodigesters</t>
  </si>
  <si>
    <t>Commercial sheep - Manure management - Anaerobic biodigesters</t>
  </si>
  <si>
    <t>Subsistence sheep - Manure management - Anaerobic biodigesters</t>
  </si>
  <si>
    <t>Commercial goats - Manure management - Anaerobic biodigesters</t>
  </si>
  <si>
    <t>Subsistence goats - Manure management - Anaerobic biodigesters</t>
  </si>
  <si>
    <t>Horses - Manure management - Anaerobic biodigesters</t>
  </si>
  <si>
    <t>Mules &amp; Asses - Manure management - Anaerobic biodigesters</t>
  </si>
  <si>
    <t>Commercial swine - Manure management - Anaerobic biodigesters</t>
  </si>
  <si>
    <t>Subsistence swine - Manure management - Anaerobic biodigesters</t>
  </si>
  <si>
    <t>Commercial layers - Manure management - Anaerobic biodigesters</t>
  </si>
  <si>
    <t>Commercial broilers - Manure management - Anaerobic biodigesters</t>
  </si>
  <si>
    <t>Subsistence layers - Manure management - Anaerobic biodigesters</t>
  </si>
  <si>
    <t>Subsistence broilers - Manure management - Anaerobic biodigesters</t>
  </si>
  <si>
    <t>Anaerobic biodigesters</t>
  </si>
  <si>
    <t>Commercial cattle - Manure management - Anaerobic digesters</t>
  </si>
  <si>
    <t>Dairy cattle manure management</t>
  </si>
  <si>
    <t>Other cattle manure management</t>
  </si>
  <si>
    <t>Sheep manure management</t>
  </si>
  <si>
    <t>Goat manure management</t>
  </si>
  <si>
    <t>Horse and mule manure management</t>
  </si>
  <si>
    <t>Swine manure management</t>
  </si>
  <si>
    <t>Poultry manure management</t>
  </si>
  <si>
    <t>Biodigester will driver manure away from other manure management practices and thereby reduce manure management emissions. Assumed that only manure from feedlots, commercial swine farms and poultry farms are likeley to be used for biodigesters due to the type of manure and the quantity.</t>
  </si>
  <si>
    <t>Most likely livestock for anaerobic biodigesters are highlighted in pink</t>
  </si>
  <si>
    <t>Check total adds to 100</t>
  </si>
  <si>
    <t>Intermediate calcs</t>
  </si>
  <si>
    <t xml:space="preserve">These are just intermediate calculation outputs where some output checks and verification can be done. </t>
  </si>
  <si>
    <t>These are the factors related to mitigation actions that would need to be inut into the model to obtain reducton estimates.</t>
  </si>
  <si>
    <t>Mitigation drivers</t>
  </si>
  <si>
    <t>Emissions</t>
  </si>
  <si>
    <t>Emission summary</t>
  </si>
  <si>
    <t>Land converted to forest</t>
  </si>
  <si>
    <t>Land converted to croplands</t>
  </si>
  <si>
    <t>Land converted to grasslands</t>
  </si>
  <si>
    <t>Land converted to wetlands</t>
  </si>
  <si>
    <t>Lands convertde to settlements</t>
  </si>
  <si>
    <t>Lands converted to other lands</t>
  </si>
  <si>
    <t>Land converted to wetland</t>
  </si>
  <si>
    <t>Land converted to other lands</t>
  </si>
  <si>
    <t>CO2toC</t>
  </si>
  <si>
    <t>Gg to tonne</t>
  </si>
  <si>
    <t>NOTE: There are currently no mitigation activities included for agriculture as there are no policies or targets. Have incorportaed digesters incase there is a need for a link with waste - perhaps there is a waste/energy target related to this? There is also very little data on the percentage of manure that is managed that is diverted to digesters.</t>
  </si>
  <si>
    <t>Agriculture model_v1.7</t>
  </si>
  <si>
    <t>27-06-2020</t>
  </si>
  <si>
    <t>Added in manure management under mitigation drivers; added all links to driver data to make it more active; combined calculated drivers with intermediate calculations.</t>
  </si>
  <si>
    <t>NOTES</t>
  </si>
  <si>
    <r>
      <t xml:space="preserve">Currently 1990-2027 data from inventory, then projections take over and are driven by the various drivers. </t>
    </r>
    <r>
      <rPr>
        <b/>
        <i/>
        <sz val="11"/>
        <color theme="1"/>
        <rFont val="Calibri"/>
        <family val="2"/>
        <scheme val="minor"/>
      </rPr>
      <t>NOTE: there are some links in this sheet to the Land model so need to check they are linked.</t>
    </r>
  </si>
  <si>
    <t>Agriculture model_v1.8</t>
  </si>
  <si>
    <t>29-06-2020</t>
  </si>
  <si>
    <t>Fixed problem with FSOM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</si>
</sst>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0.000"/>
    <numFmt numFmtId="165" formatCode="0_ ;\-0\ "/>
    <numFmt numFmtId="166" formatCode="0.0"/>
    <numFmt numFmtId="167" formatCode="0.0000"/>
    <numFmt numFmtId="168" formatCode="#,##0.000"/>
  </numFmts>
  <fonts count="21" x14ac:knownFonts="1">
    <font>
      <sz val="11"/>
      <color theme="1"/>
      <name val="Calibri"/>
      <family val="2"/>
      <scheme val="minor"/>
    </font>
    <font>
      <sz val="11"/>
      <color theme="0"/>
      <name val="Calibri"/>
      <family val="2"/>
      <scheme val="minor"/>
    </font>
    <font>
      <sz val="10"/>
      <name val="Arial"/>
      <family val="2"/>
    </font>
    <font>
      <sz val="11"/>
      <name val="Calibri"/>
      <family val="2"/>
      <scheme val="minor"/>
    </font>
    <font>
      <b/>
      <sz val="11"/>
      <color theme="1"/>
      <name val="Calibri"/>
      <family val="2"/>
      <scheme val="minor"/>
    </font>
    <font>
      <sz val="10"/>
      <color theme="1"/>
      <name val="Arial"/>
      <family val="2"/>
    </font>
    <font>
      <b/>
      <sz val="14"/>
      <color theme="1"/>
      <name val="Calibri"/>
      <family val="2"/>
      <scheme val="minor"/>
    </font>
    <font>
      <b/>
      <i/>
      <sz val="11"/>
      <color theme="1"/>
      <name val="Calibri"/>
      <family val="2"/>
      <scheme val="minor"/>
    </font>
    <font>
      <b/>
      <sz val="12"/>
      <color theme="1"/>
      <name val="Calibri"/>
      <family val="2"/>
      <scheme val="minor"/>
    </font>
    <font>
      <b/>
      <sz val="13"/>
      <color theme="1"/>
      <name val="Calibri"/>
      <family val="2"/>
      <scheme val="minor"/>
    </font>
    <font>
      <i/>
      <sz val="11"/>
      <color theme="0" tint="-0.34998626667073579"/>
      <name val="Calibri"/>
      <family val="2"/>
      <scheme val="minor"/>
    </font>
    <font>
      <b/>
      <sz val="12"/>
      <color theme="0"/>
      <name val="Calibri"/>
      <family val="2"/>
      <scheme val="minor"/>
    </font>
    <font>
      <sz val="11"/>
      <color theme="1"/>
      <name val="Calibri"/>
      <family val="2"/>
      <scheme val="minor"/>
    </font>
    <font>
      <b/>
      <sz val="10"/>
      <name val="Arial"/>
      <family val="2"/>
    </font>
    <font>
      <b/>
      <sz val="10"/>
      <color rgb="FF0070C0"/>
      <name val="Arial"/>
      <family val="2"/>
    </font>
    <font>
      <sz val="10"/>
      <color rgb="FF0070C0"/>
      <name val="Arial"/>
      <family val="2"/>
    </font>
    <font>
      <b/>
      <sz val="12"/>
      <name val="Calibri"/>
      <family val="2"/>
      <scheme val="minor"/>
    </font>
    <font>
      <sz val="12"/>
      <color theme="1"/>
      <name val="Calibri"/>
      <family val="2"/>
      <scheme val="minor"/>
    </font>
    <font>
      <sz val="12"/>
      <name val="Calibri"/>
      <family val="2"/>
      <scheme val="minor"/>
    </font>
    <font>
      <b/>
      <i/>
      <sz val="10"/>
      <color theme="1"/>
      <name val="Calibri"/>
      <family val="2"/>
      <scheme val="minor"/>
    </font>
    <font>
      <i/>
      <sz val="11"/>
      <color rgb="FFFF0000"/>
      <name val="Calibri"/>
      <family val="2"/>
      <scheme val="minor"/>
    </font>
  </fonts>
  <fills count="28">
    <fill>
      <patternFill patternType="none"/>
    </fill>
    <fill>
      <patternFill patternType="gray125"/>
    </fill>
    <fill>
      <patternFill patternType="solid">
        <fgColor rgb="FFB482FF"/>
        <bgColor indexed="64"/>
      </patternFill>
    </fill>
    <fill>
      <patternFill patternType="solid">
        <fgColor rgb="FF32415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FF99"/>
        <bgColor indexed="64"/>
      </patternFill>
    </fill>
    <fill>
      <patternFill patternType="solid">
        <fgColor rgb="FFFFC5E2"/>
        <bgColor indexed="64"/>
      </patternFill>
    </fill>
    <fill>
      <patternFill patternType="solid">
        <fgColor rgb="FFCAEAB4"/>
        <bgColor indexed="64"/>
      </patternFill>
    </fill>
    <fill>
      <patternFill patternType="solid">
        <fgColor theme="0" tint="-0.249977111117893"/>
        <bgColor indexed="64"/>
      </patternFill>
    </fill>
    <fill>
      <patternFill patternType="solid">
        <fgColor rgb="FFCC6600"/>
        <bgColor indexed="64"/>
      </patternFill>
    </fill>
    <fill>
      <patternFill patternType="solid">
        <fgColor rgb="FFAADC9B"/>
        <bgColor indexed="64"/>
      </patternFill>
    </fill>
    <fill>
      <patternFill patternType="solid">
        <fgColor theme="0" tint="-0.14999847407452621"/>
        <bgColor indexed="64"/>
      </patternFill>
    </fill>
    <fill>
      <patternFill patternType="solid">
        <fgColor theme="9" tint="0.59996337778862885"/>
        <bgColor indexed="64"/>
      </patternFill>
    </fill>
    <fill>
      <patternFill patternType="solid">
        <fgColor theme="2" tint="0.79998168889431442"/>
        <bgColor indexed="64"/>
      </patternFill>
    </fill>
    <fill>
      <patternFill patternType="solid">
        <fgColor theme="8" tint="0.79998168889431442"/>
        <bgColor indexed="64"/>
      </patternFill>
    </fill>
    <fill>
      <patternFill patternType="solid">
        <fgColor rgb="FF0070C0"/>
        <bgColor indexed="64"/>
      </patternFill>
    </fill>
    <fill>
      <patternFill patternType="solid">
        <fgColor rgb="FFCCCCFF"/>
        <bgColor indexed="64"/>
      </patternFill>
    </fill>
    <fill>
      <patternFill patternType="solid">
        <fgColor rgb="FFFFFF00"/>
        <bgColor indexed="64"/>
      </patternFill>
    </fill>
    <fill>
      <patternFill patternType="solid">
        <fgColor theme="5"/>
        <bgColor indexed="64"/>
      </patternFill>
    </fill>
    <fill>
      <patternFill patternType="solid">
        <fgColor rgb="FF7030A0"/>
        <bgColor indexed="64"/>
      </patternFill>
    </fill>
    <fill>
      <patternFill patternType="solid">
        <fgColor theme="8"/>
        <bgColor indexed="64"/>
      </patternFill>
    </fill>
    <fill>
      <patternFill patternType="solid">
        <fgColor theme="2" tint="0.59999389629810485"/>
        <bgColor indexed="64"/>
      </patternFill>
    </fill>
    <fill>
      <patternFill patternType="solid">
        <fgColor rgb="FF92D050"/>
        <bgColor indexed="64"/>
      </patternFill>
    </fill>
    <fill>
      <patternFill patternType="solid">
        <fgColor rgb="FF009900"/>
        <bgColor indexed="64"/>
      </patternFill>
    </fill>
    <fill>
      <patternFill patternType="solid">
        <fgColor theme="0"/>
        <bgColor indexed="64"/>
      </patternFill>
    </fill>
    <fill>
      <patternFill patternType="solid">
        <fgColor rgb="FFFFCCFF"/>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double">
        <color rgb="FF3F3F3F"/>
      </left>
      <right style="double">
        <color rgb="FF3F3F3F"/>
      </right>
      <top style="double">
        <color rgb="FF3F3F3F"/>
      </top>
      <bottom style="double">
        <color rgb="FF3F3F3F"/>
      </bottom>
      <diagonal/>
    </border>
  </borders>
  <cellStyleXfs count="14">
    <xf numFmtId="0" fontId="0" fillId="0" borderId="0"/>
    <xf numFmtId="0" fontId="2" fillId="0" borderId="0"/>
    <xf numFmtId="0" fontId="5" fillId="0" borderId="0"/>
    <xf numFmtId="0" fontId="1" fillId="2" borderId="0" applyAlignment="0" applyProtection="0"/>
    <xf numFmtId="0" fontId="3" fillId="9" borderId="0" applyNumberFormat="0" applyAlignment="0" applyProtection="0"/>
    <xf numFmtId="0" fontId="3" fillId="7" borderId="0" applyNumberFormat="0" applyAlignment="0" applyProtection="0"/>
    <xf numFmtId="0" fontId="3" fillId="8" borderId="6" applyNumberFormat="0" applyAlignment="0" applyProtection="0"/>
    <xf numFmtId="0" fontId="1" fillId="11" borderId="0" applyAlignment="0" applyProtection="0"/>
    <xf numFmtId="0" fontId="3" fillId="12" borderId="0" applyAlignment="0" applyProtection="0"/>
    <xf numFmtId="43" fontId="12" fillId="0" borderId="0" applyFont="0" applyFill="0" applyBorder="0" applyAlignment="0" applyProtection="0"/>
    <xf numFmtId="4" fontId="3" fillId="14" borderId="0"/>
    <xf numFmtId="0" fontId="3" fillId="15" borderId="0"/>
    <xf numFmtId="0" fontId="12" fillId="16" borderId="0"/>
    <xf numFmtId="0" fontId="12" fillId="18" borderId="0"/>
  </cellStyleXfs>
  <cellXfs count="100">
    <xf numFmtId="0" fontId="0" fillId="0" borderId="0" xfId="0"/>
    <xf numFmtId="0" fontId="6" fillId="0" borderId="0" xfId="0" applyFont="1"/>
    <xf numFmtId="0" fontId="8" fillId="5" borderId="1" xfId="0" applyFont="1" applyFill="1" applyBorder="1"/>
    <xf numFmtId="0" fontId="0" fillId="0" borderId="1" xfId="0" applyBorder="1"/>
    <xf numFmtId="0" fontId="0" fillId="0" borderId="1" xfId="0" applyBorder="1" applyAlignment="1">
      <alignment vertical="center"/>
    </xf>
    <xf numFmtId="0" fontId="10" fillId="0" borderId="1" xfId="0" applyFont="1" applyBorder="1"/>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8" fillId="5" borderId="5" xfId="0" applyFont="1" applyFill="1" applyBorder="1"/>
    <xf numFmtId="3" fontId="0" fillId="0" borderId="0" xfId="0" applyNumberFormat="1"/>
    <xf numFmtId="0" fontId="3" fillId="0" borderId="0" xfId="0" applyFont="1"/>
    <xf numFmtId="0" fontId="7" fillId="6" borderId="0" xfId="0" applyFont="1" applyFill="1"/>
    <xf numFmtId="0" fontId="0" fillId="0" borderId="0" xfId="0" applyAlignment="1">
      <alignment wrapText="1"/>
    </xf>
    <xf numFmtId="0" fontId="1" fillId="10" borderId="0" xfId="0" applyFont="1" applyFill="1"/>
    <xf numFmtId="0" fontId="1" fillId="10" borderId="0" xfId="0" applyFont="1" applyFill="1" applyAlignment="1">
      <alignment wrapText="1"/>
    </xf>
    <xf numFmtId="0" fontId="11" fillId="3" borderId="0" xfId="0" applyFont="1" applyFill="1"/>
    <xf numFmtId="0" fontId="11" fillId="3" borderId="0" xfId="0" applyFont="1" applyFill="1" applyAlignment="1">
      <alignment wrapText="1"/>
    </xf>
    <xf numFmtId="0" fontId="8" fillId="0" borderId="0" xfId="0" applyFont="1"/>
    <xf numFmtId="0" fontId="8" fillId="10" borderId="0" xfId="0" applyFont="1" applyFill="1"/>
    <xf numFmtId="1" fontId="0" fillId="0" borderId="0" xfId="0" applyNumberFormat="1"/>
    <xf numFmtId="0" fontId="3" fillId="9" borderId="0" xfId="4"/>
    <xf numFmtId="0" fontId="3" fillId="7" borderId="0" xfId="5"/>
    <xf numFmtId="0" fontId="0" fillId="0" borderId="0" xfId="0" applyFill="1"/>
    <xf numFmtId="3" fontId="3" fillId="7" borderId="0" xfId="5" applyNumberFormat="1"/>
    <xf numFmtId="2" fontId="3" fillId="9" borderId="0" xfId="4" applyNumberFormat="1"/>
    <xf numFmtId="164" fontId="3" fillId="7" borderId="0" xfId="5" applyNumberFormat="1"/>
    <xf numFmtId="0" fontId="1" fillId="11" borderId="0" xfId="7"/>
    <xf numFmtId="4" fontId="3" fillId="7" borderId="0" xfId="5" applyNumberFormat="1"/>
    <xf numFmtId="0" fontId="0" fillId="0" borderId="1" xfId="0" applyBorder="1" applyAlignment="1">
      <alignment vertical="center"/>
    </xf>
    <xf numFmtId="0" fontId="13" fillId="0" borderId="0" xfId="0" applyFont="1"/>
    <xf numFmtId="0" fontId="13" fillId="0" borderId="0" xfId="0" applyFont="1" applyFill="1"/>
    <xf numFmtId="0" fontId="2" fillId="0" borderId="0" xfId="0" applyFont="1" applyFill="1"/>
    <xf numFmtId="165" fontId="13" fillId="0" borderId="0" xfId="9" applyNumberFormat="1" applyFont="1" applyFill="1" applyProtection="1"/>
    <xf numFmtId="165" fontId="14" fillId="0" borderId="0" xfId="9" applyNumberFormat="1" applyFont="1" applyFill="1" applyProtection="1"/>
    <xf numFmtId="2" fontId="2" fillId="0" borderId="0" xfId="0" applyNumberFormat="1" applyFont="1" applyFill="1"/>
    <xf numFmtId="2" fontId="15" fillId="0" borderId="0" xfId="0" applyNumberFormat="1" applyFont="1" applyFill="1"/>
    <xf numFmtId="0" fontId="2" fillId="0" borderId="0" xfId="0" applyFont="1"/>
    <xf numFmtId="2" fontId="2" fillId="0" borderId="0" xfId="0" applyNumberFormat="1" applyFont="1"/>
    <xf numFmtId="2" fontId="15" fillId="0" borderId="0" xfId="0" applyNumberFormat="1" applyFont="1"/>
    <xf numFmtId="2" fontId="2" fillId="0" borderId="0" xfId="0" applyNumberFormat="1" applyFont="1" applyFill="1" applyAlignment="1">
      <alignment horizontal="right"/>
    </xf>
    <xf numFmtId="2" fontId="15" fillId="0" borderId="0" xfId="0" applyNumberFormat="1" applyFont="1" applyFill="1" applyAlignment="1">
      <alignment horizontal="right"/>
    </xf>
    <xf numFmtId="0" fontId="4" fillId="13" borderId="0" xfId="0" applyFont="1" applyFill="1"/>
    <xf numFmtId="3" fontId="3" fillId="9" borderId="0" xfId="4" applyNumberFormat="1"/>
    <xf numFmtId="4" fontId="3" fillId="9" borderId="0" xfId="4" applyNumberFormat="1"/>
    <xf numFmtId="0" fontId="3" fillId="15" borderId="0" xfId="11"/>
    <xf numFmtId="4" fontId="16" fillId="7" borderId="0" xfId="5" applyNumberFormat="1" applyFont="1"/>
    <xf numFmtId="0" fontId="17" fillId="0" borderId="0" xfId="0" applyFont="1"/>
    <xf numFmtId="4" fontId="18" fillId="7" borderId="0" xfId="5" applyNumberFormat="1" applyFont="1"/>
    <xf numFmtId="0" fontId="16" fillId="7" borderId="0" xfId="5" applyFont="1"/>
    <xf numFmtId="0" fontId="12" fillId="16" borderId="0" xfId="12"/>
    <xf numFmtId="0" fontId="8" fillId="13" borderId="0" xfId="0" applyFont="1" applyFill="1"/>
    <xf numFmtId="0" fontId="0" fillId="13" borderId="0" xfId="0" applyFill="1"/>
    <xf numFmtId="2" fontId="3" fillId="7" borderId="0" xfId="5" applyNumberFormat="1"/>
    <xf numFmtId="0" fontId="19" fillId="13" borderId="0" xfId="0" applyFont="1" applyFill="1"/>
    <xf numFmtId="0" fontId="1" fillId="17" borderId="0" xfId="0" applyFont="1" applyFill="1"/>
    <xf numFmtId="0" fontId="12" fillId="18" borderId="0" xfId="13"/>
    <xf numFmtId="10" fontId="0" fillId="0" borderId="0" xfId="0" applyNumberFormat="1"/>
    <xf numFmtId="0" fontId="0" fillId="19" borderId="1" xfId="0" applyFill="1" applyBorder="1" applyAlignment="1">
      <alignment vertical="center"/>
    </xf>
    <xf numFmtId="0" fontId="0" fillId="20" borderId="1" xfId="0" applyFill="1" applyBorder="1" applyAlignment="1">
      <alignment vertical="center"/>
    </xf>
    <xf numFmtId="0" fontId="0" fillId="0" borderId="1" xfId="0" applyBorder="1" applyAlignment="1">
      <alignment vertical="center" wrapText="1"/>
    </xf>
    <xf numFmtId="0" fontId="1" fillId="21" borderId="1" xfId="0" applyFont="1" applyFill="1" applyBorder="1" applyAlignment="1">
      <alignment vertical="center"/>
    </xf>
    <xf numFmtId="0" fontId="1" fillId="22" borderId="1" xfId="0" applyFont="1" applyFill="1" applyBorder="1" applyAlignment="1">
      <alignment vertical="center"/>
    </xf>
    <xf numFmtId="0" fontId="0" fillId="23" borderId="1" xfId="0" applyFill="1" applyBorder="1" applyAlignment="1">
      <alignment vertical="center"/>
    </xf>
    <xf numFmtId="0" fontId="0" fillId="24" borderId="1" xfId="0" applyFill="1" applyBorder="1" applyAlignment="1">
      <alignment vertical="center"/>
    </xf>
    <xf numFmtId="0" fontId="0" fillId="25" borderId="1" xfId="0" applyFill="1" applyBorder="1" applyAlignment="1">
      <alignment vertical="center"/>
    </xf>
    <xf numFmtId="0" fontId="3" fillId="9" borderId="1" xfId="4" applyBorder="1" applyAlignment="1">
      <alignment vertical="center"/>
    </xf>
    <xf numFmtId="0" fontId="3" fillId="7" borderId="1" xfId="5" applyBorder="1" applyAlignment="1">
      <alignment vertical="center"/>
    </xf>
    <xf numFmtId="0" fontId="3" fillId="15" borderId="1" xfId="11" applyBorder="1" applyAlignment="1">
      <alignment vertical="center"/>
    </xf>
    <xf numFmtId="0" fontId="0" fillId="16" borderId="1" xfId="12" applyFont="1" applyBorder="1"/>
    <xf numFmtId="0" fontId="1" fillId="11" borderId="1" xfId="7" applyBorder="1"/>
    <xf numFmtId="0" fontId="12" fillId="18" borderId="1" xfId="13" applyBorder="1"/>
    <xf numFmtId="166" fontId="3" fillId="9" borderId="0" xfId="4" applyNumberFormat="1"/>
    <xf numFmtId="0" fontId="3" fillId="0" borderId="0" xfId="5" applyFill="1"/>
    <xf numFmtId="2" fontId="3" fillId="0" borderId="0" xfId="5" applyNumberFormat="1" applyFill="1"/>
    <xf numFmtId="167" fontId="3" fillId="7" borderId="0" xfId="5" applyNumberFormat="1"/>
    <xf numFmtId="0" fontId="8" fillId="6" borderId="0" xfId="0" applyFont="1" applyFill="1"/>
    <xf numFmtId="0" fontId="19" fillId="6" borderId="0" xfId="0" applyFont="1" applyFill="1"/>
    <xf numFmtId="0" fontId="0" fillId="6" borderId="0" xfId="0" applyFill="1"/>
    <xf numFmtId="0" fontId="0" fillId="27" borderId="0" xfId="0" applyFill="1"/>
    <xf numFmtId="0" fontId="20" fillId="26" borderId="0" xfId="0" applyFont="1" applyFill="1"/>
    <xf numFmtId="2" fontId="20" fillId="26" borderId="0" xfId="4" applyNumberFormat="1" applyFont="1" applyFill="1"/>
    <xf numFmtId="3" fontId="3" fillId="0" borderId="0" xfId="4" applyNumberFormat="1" applyFill="1"/>
    <xf numFmtId="0" fontId="12" fillId="0" borderId="0" xfId="12" applyFill="1"/>
    <xf numFmtId="0" fontId="3" fillId="0" borderId="0" xfId="11" applyFill="1"/>
    <xf numFmtId="168" fontId="3" fillId="9" borderId="0" xfId="4" applyNumberFormat="1"/>
    <xf numFmtId="0" fontId="4" fillId="0" borderId="1" xfId="0" applyFont="1" applyBorder="1" applyAlignment="1">
      <alignment vertical="center" wrapText="1"/>
    </xf>
    <xf numFmtId="0" fontId="19" fillId="0" borderId="0" xfId="0" applyFont="1"/>
    <xf numFmtId="0" fontId="0" fillId="0" borderId="2" xfId="0" applyBorder="1" applyAlignment="1">
      <alignment horizontal="center"/>
    </xf>
    <xf numFmtId="0" fontId="0" fillId="0" borderId="4" xfId="0" applyBorder="1" applyAlignment="1">
      <alignment horizontal="center"/>
    </xf>
    <xf numFmtId="0" fontId="0" fillId="0" borderId="1" xfId="0" applyBorder="1" applyAlignment="1">
      <alignment horizontal="left" vertical="center" wrapText="1"/>
    </xf>
    <xf numFmtId="0" fontId="0" fillId="0" borderId="1" xfId="0" applyBorder="1" applyAlignment="1">
      <alignment horizontal="center"/>
    </xf>
    <xf numFmtId="0" fontId="8" fillId="10" borderId="0" xfId="0" applyFont="1" applyFill="1" applyAlignment="1">
      <alignment horizontal="center"/>
    </xf>
    <xf numFmtId="0" fontId="0" fillId="0" borderId="1" xfId="0" applyBorder="1" applyAlignment="1">
      <alignment horizontal="center" wrapText="1"/>
    </xf>
    <xf numFmtId="0" fontId="4" fillId="13" borderId="0" xfId="0" applyFont="1" applyFill="1" applyAlignment="1">
      <alignment horizontal="center"/>
    </xf>
    <xf numFmtId="0" fontId="0" fillId="0" borderId="1" xfId="0" applyBorder="1" applyAlignment="1">
      <alignment vertical="center"/>
    </xf>
    <xf numFmtId="0" fontId="9" fillId="4" borderId="2" xfId="0" applyFont="1" applyFill="1" applyBorder="1" applyAlignment="1">
      <alignment horizontal="center"/>
    </xf>
    <xf numFmtId="0" fontId="9" fillId="4" borderId="3" xfId="0" applyFont="1" applyFill="1" applyBorder="1" applyAlignment="1">
      <alignment horizontal="center"/>
    </xf>
    <xf numFmtId="0" fontId="9" fillId="4" borderId="4" xfId="0" applyFont="1" applyFill="1" applyBorder="1" applyAlignment="1">
      <alignment horizontal="center"/>
    </xf>
  </cellXfs>
  <cellStyles count="14">
    <cellStyle name="Assumption" xfId="12"/>
    <cellStyle name="Calculation" xfId="5" builtinId="22" customBuiltin="1"/>
    <cellStyle name="Check Cell" xfId="6" builtinId="23" customBuiltin="1"/>
    <cellStyle name="Comma" xfId="9" builtinId="3"/>
    <cellStyle name="Conversion" xfId="3"/>
    <cellStyle name="Input" xfId="4" builtinId="20" customBuiltin="1"/>
    <cellStyle name="Interpolation" xfId="10"/>
    <cellStyle name="Inventory constants" xfId="13"/>
    <cellStyle name="IPCC" xfId="7"/>
    <cellStyle name="Linked" xfId="11"/>
    <cellStyle name="Normal" xfId="0" builtinId="0"/>
    <cellStyle name="Normal 2" xfId="2"/>
    <cellStyle name="Normal 3" xfId="1"/>
    <cellStyle name="Spreadsheet" xfId="8"/>
  </cellStyles>
  <dxfs count="0"/>
  <tableStyles count="0" defaultTableStyle="TableStyleMedium2" defaultPivotStyle="PivotStyleLight16"/>
  <colors>
    <mruColors>
      <color rgb="FFFFCCFF"/>
      <color rgb="FF009900"/>
      <color rgb="FFCCCCFF"/>
      <color rgb="FFCC99FF"/>
      <color rgb="FFFFCC00"/>
      <color rgb="FFCAEAB4"/>
      <color rgb="FFFFC5E2"/>
      <color rgb="FFFFCCCC"/>
      <color rgb="FFFFFF99"/>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8.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9.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61.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62.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63.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4.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5.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6.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7.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Relationships!$A$17:$B$17</c:f>
              <c:strCache>
                <c:ptCount val="2"/>
                <c:pt idx="0">
                  <c:v>Beef consumption</c:v>
                </c:pt>
                <c:pt idx="1">
                  <c:v>t/capita</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4.4073053368328959E-2"/>
                  <c:y val="-0.1203120443277923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Relationships!$E$16:$AG$16</c:f>
              <c:numCache>
                <c:formatCode>General</c:formatCode>
                <c:ptCount val="29"/>
                <c:pt idx="0">
                  <c:v>7.3995172186341224E-6</c:v>
                </c:pt>
                <c:pt idx="1">
                  <c:v>8.3160321270873128E-6</c:v>
                </c:pt>
                <c:pt idx="2">
                  <c:v>9.1809688444329608E-6</c:v>
                </c:pt>
                <c:pt idx="3">
                  <c:v>1.0183063676790614E-5</c:v>
                </c:pt>
                <c:pt idx="4">
                  <c:v>1.1198558803003417E-5</c:v>
                </c:pt>
                <c:pt idx="5">
                  <c:v>1.2456004786976505E-5</c:v>
                </c:pt>
                <c:pt idx="6">
                  <c:v>1.5023575074943164E-5</c:v>
                </c:pt>
                <c:pt idx="7">
                  <c:v>1.4993976964585091E-5</c:v>
                </c:pt>
                <c:pt idx="8">
                  <c:v>1.5889974557177216E-5</c:v>
                </c:pt>
                <c:pt idx="9">
                  <c:v>1.7139534783540361E-5</c:v>
                </c:pt>
                <c:pt idx="10">
                  <c:v>1.9178073296508686E-5</c:v>
                </c:pt>
                <c:pt idx="11">
                  <c:v>2.0941920561623974E-5</c:v>
                </c:pt>
                <c:pt idx="12">
                  <c:v>2.4092156096673536E-5</c:v>
                </c:pt>
                <c:pt idx="13">
                  <c:v>2.5864721644610491E-5</c:v>
                </c:pt>
                <c:pt idx="14">
                  <c:v>2.816463639110616E-5</c:v>
                </c:pt>
                <c:pt idx="15">
                  <c:v>3.0685475313895917E-5</c:v>
                </c:pt>
                <c:pt idx="16">
                  <c:v>3.3867608215633009E-5</c:v>
                </c:pt>
                <c:pt idx="17">
                  <c:v>3.8369935813406575E-5</c:v>
                </c:pt>
                <c:pt idx="18">
                  <c:v>4.2933160137438985E-5</c:v>
                </c:pt>
                <c:pt idx="19">
                  <c:v>4.5112536477249022E-5</c:v>
                </c:pt>
                <c:pt idx="20">
                  <c:v>4.8711594853611398E-5</c:v>
                </c:pt>
                <c:pt idx="21">
                  <c:v>5.2388104554380752E-5</c:v>
                </c:pt>
                <c:pt idx="22">
                  <c:v>7.2008674666107316E-5</c:v>
                </c:pt>
                <c:pt idx="23">
                  <c:v>7.3128862350936422E-5</c:v>
                </c:pt>
                <c:pt idx="24">
                  <c:v>7.3832053087208803E-5</c:v>
                </c:pt>
                <c:pt idx="25">
                  <c:v>7.4099569652362116E-5</c:v>
                </c:pt>
                <c:pt idx="26">
                  <c:v>7.3966728660027013E-5</c:v>
                </c:pt>
                <c:pt idx="27">
                  <c:v>7.4125058503467776E-5</c:v>
                </c:pt>
                <c:pt idx="28">
                  <c:v>7.4164408302538267E-5</c:v>
                </c:pt>
              </c:numCache>
            </c:numRef>
          </c:xVal>
          <c:yVal>
            <c:numRef>
              <c:f>Relationships!$E$17:$AG$17</c:f>
              <c:numCache>
                <c:formatCode>General</c:formatCode>
                <c:ptCount val="29"/>
                <c:pt idx="0">
                  <c:v>1.8151922844328049E-2</c:v>
                </c:pt>
                <c:pt idx="1">
                  <c:v>1.8929477093079208E-2</c:v>
                </c:pt>
                <c:pt idx="2">
                  <c:v>1.9160849435363898E-2</c:v>
                </c:pt>
                <c:pt idx="3">
                  <c:v>1.8115873466426971E-2</c:v>
                </c:pt>
                <c:pt idx="4">
                  <c:v>1.6344518185421236E-2</c:v>
                </c:pt>
                <c:pt idx="5">
                  <c:v>1.4166508067741876E-2</c:v>
                </c:pt>
                <c:pt idx="6">
                  <c:v>1.3991142399503649E-2</c:v>
                </c:pt>
                <c:pt idx="7">
                  <c:v>1.3329468330311484E-2</c:v>
                </c:pt>
                <c:pt idx="8">
                  <c:v>1.2819849522437712E-2</c:v>
                </c:pt>
                <c:pt idx="9">
                  <c:v>1.2607541028129859E-2</c:v>
                </c:pt>
                <c:pt idx="10">
                  <c:v>1.4921819008431562E-2</c:v>
                </c:pt>
                <c:pt idx="11">
                  <c:v>1.21567810458843E-2</c:v>
                </c:pt>
                <c:pt idx="12">
                  <c:v>1.3044162311588505E-2</c:v>
                </c:pt>
                <c:pt idx="13">
                  <c:v>1.3763079313265579E-2</c:v>
                </c:pt>
                <c:pt idx="14">
                  <c:v>1.4273144855926876E-2</c:v>
                </c:pt>
                <c:pt idx="15">
                  <c:v>1.5100061087370227E-2</c:v>
                </c:pt>
                <c:pt idx="16">
                  <c:v>1.701400710616301E-2</c:v>
                </c:pt>
                <c:pt idx="17">
                  <c:v>1.7610021254379524E-2</c:v>
                </c:pt>
                <c:pt idx="18">
                  <c:v>1.5407958031534726E-2</c:v>
                </c:pt>
                <c:pt idx="19">
                  <c:v>1.553182299165852E-2</c:v>
                </c:pt>
                <c:pt idx="20">
                  <c:v>1.7181807184041598E-2</c:v>
                </c:pt>
                <c:pt idx="21">
                  <c:v>1.6902490054067201E-2</c:v>
                </c:pt>
                <c:pt idx="22">
                  <c:v>1.6310786969267743E-2</c:v>
                </c:pt>
                <c:pt idx="23">
                  <c:v>1.7004893504801423E-2</c:v>
                </c:pt>
                <c:pt idx="24">
                  <c:v>1.8166666666666668E-2</c:v>
                </c:pt>
                <c:pt idx="25">
                  <c:v>1.8773947105477615E-2</c:v>
                </c:pt>
                <c:pt idx="26">
                  <c:v>1.9482092183173511E-2</c:v>
                </c:pt>
                <c:pt idx="27">
                  <c:v>1.8448731277798228E-2</c:v>
                </c:pt>
                <c:pt idx="28">
                  <c:v>1.8148153444693928E-2</c:v>
                </c:pt>
              </c:numCache>
            </c:numRef>
          </c:yVal>
          <c:smooth val="0"/>
          <c:extLst>
            <c:ext xmlns:c16="http://schemas.microsoft.com/office/drawing/2014/chart" uri="{C3380CC4-5D6E-409C-BE32-E72D297353CC}">
              <c16:uniqueId val="{00000000-9E8A-4F36-AD04-F5E02F1E1B82}"/>
            </c:ext>
          </c:extLst>
        </c:ser>
        <c:dLbls>
          <c:showLegendKey val="0"/>
          <c:showVal val="0"/>
          <c:showCatName val="0"/>
          <c:showSerName val="0"/>
          <c:showPercent val="0"/>
          <c:showBubbleSize val="0"/>
        </c:dLbls>
        <c:axId val="1449833295"/>
        <c:axId val="1449831631"/>
      </c:scatterChart>
      <c:valAx>
        <c:axId val="14498332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Wealth (GVA/capita)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831631"/>
        <c:crosses val="autoZero"/>
        <c:crossBetween val="midCat"/>
      </c:valAx>
      <c:valAx>
        <c:axId val="1449831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Beef consumption (t/capita)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83329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Relationships!$A$173:$B$173</c:f>
              <c:strCache>
                <c:ptCount val="2"/>
                <c:pt idx="0">
                  <c:v>Pork production</c:v>
                </c:pt>
                <c:pt idx="1">
                  <c:v>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6841644794400701E-4"/>
                  <c:y val="0.3108143773694954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Relationships!$E$172:$AG$172</c:f>
              <c:numCache>
                <c:formatCode>General</c:formatCode>
                <c:ptCount val="29"/>
                <c:pt idx="0">
                  <c:v>125000</c:v>
                </c:pt>
                <c:pt idx="1">
                  <c:v>130000</c:v>
                </c:pt>
                <c:pt idx="2">
                  <c:v>112000</c:v>
                </c:pt>
                <c:pt idx="3">
                  <c:v>129000</c:v>
                </c:pt>
                <c:pt idx="4">
                  <c:v>122000</c:v>
                </c:pt>
                <c:pt idx="5">
                  <c:v>124000</c:v>
                </c:pt>
                <c:pt idx="6">
                  <c:v>131000</c:v>
                </c:pt>
                <c:pt idx="7">
                  <c:v>133000</c:v>
                </c:pt>
                <c:pt idx="8">
                  <c:v>130000</c:v>
                </c:pt>
                <c:pt idx="9">
                  <c:v>126000</c:v>
                </c:pt>
                <c:pt idx="10">
                  <c:v>131000</c:v>
                </c:pt>
                <c:pt idx="11">
                  <c:v>115000</c:v>
                </c:pt>
                <c:pt idx="12">
                  <c:v>123000</c:v>
                </c:pt>
                <c:pt idx="13">
                  <c:v>146000</c:v>
                </c:pt>
                <c:pt idx="14">
                  <c:v>174000</c:v>
                </c:pt>
                <c:pt idx="15">
                  <c:v>182000</c:v>
                </c:pt>
                <c:pt idx="16">
                  <c:v>193000</c:v>
                </c:pt>
                <c:pt idx="17">
                  <c:v>206000</c:v>
                </c:pt>
                <c:pt idx="18">
                  <c:v>198000</c:v>
                </c:pt>
                <c:pt idx="19">
                  <c:v>199000</c:v>
                </c:pt>
                <c:pt idx="20">
                  <c:v>215000</c:v>
                </c:pt>
                <c:pt idx="21">
                  <c:v>231000</c:v>
                </c:pt>
                <c:pt idx="22">
                  <c:v>237000</c:v>
                </c:pt>
                <c:pt idx="23">
                  <c:v>245000</c:v>
                </c:pt>
                <c:pt idx="24">
                  <c:v>236000</c:v>
                </c:pt>
                <c:pt idx="25">
                  <c:v>254000</c:v>
                </c:pt>
                <c:pt idx="26">
                  <c:v>263000</c:v>
                </c:pt>
                <c:pt idx="27">
                  <c:v>254000</c:v>
                </c:pt>
                <c:pt idx="28">
                  <c:v>282000</c:v>
                </c:pt>
              </c:numCache>
            </c:numRef>
          </c:xVal>
          <c:yVal>
            <c:numRef>
              <c:f>Relationships!$E$173:$AG$173</c:f>
              <c:numCache>
                <c:formatCode>General</c:formatCode>
                <c:ptCount val="29"/>
                <c:pt idx="0">
                  <c:v>126200</c:v>
                </c:pt>
                <c:pt idx="1">
                  <c:v>130800</c:v>
                </c:pt>
                <c:pt idx="2">
                  <c:v>112700</c:v>
                </c:pt>
                <c:pt idx="3">
                  <c:v>129600</c:v>
                </c:pt>
                <c:pt idx="4">
                  <c:v>119600</c:v>
                </c:pt>
                <c:pt idx="5">
                  <c:v>119000</c:v>
                </c:pt>
                <c:pt idx="6">
                  <c:v>126500</c:v>
                </c:pt>
                <c:pt idx="7">
                  <c:v>127900</c:v>
                </c:pt>
                <c:pt idx="8">
                  <c:v>125000</c:v>
                </c:pt>
                <c:pt idx="9">
                  <c:v>119200</c:v>
                </c:pt>
                <c:pt idx="10">
                  <c:v>123000</c:v>
                </c:pt>
                <c:pt idx="11">
                  <c:v>106900</c:v>
                </c:pt>
                <c:pt idx="12">
                  <c:v>116600</c:v>
                </c:pt>
                <c:pt idx="13">
                  <c:v>135000</c:v>
                </c:pt>
                <c:pt idx="14">
                  <c:v>156800</c:v>
                </c:pt>
                <c:pt idx="15">
                  <c:v>159700</c:v>
                </c:pt>
                <c:pt idx="16">
                  <c:v>171400</c:v>
                </c:pt>
                <c:pt idx="17">
                  <c:v>187100</c:v>
                </c:pt>
                <c:pt idx="18">
                  <c:v>181700</c:v>
                </c:pt>
                <c:pt idx="19">
                  <c:v>180700</c:v>
                </c:pt>
                <c:pt idx="20">
                  <c:v>191900</c:v>
                </c:pt>
                <c:pt idx="21">
                  <c:v>205100</c:v>
                </c:pt>
                <c:pt idx="22">
                  <c:v>206000</c:v>
                </c:pt>
                <c:pt idx="23">
                  <c:v>213500</c:v>
                </c:pt>
                <c:pt idx="24">
                  <c:v>224200</c:v>
                </c:pt>
                <c:pt idx="25">
                  <c:v>233000</c:v>
                </c:pt>
                <c:pt idx="26">
                  <c:v>243100</c:v>
                </c:pt>
                <c:pt idx="27">
                  <c:v>231800</c:v>
                </c:pt>
                <c:pt idx="28">
                  <c:v>260000</c:v>
                </c:pt>
              </c:numCache>
            </c:numRef>
          </c:yVal>
          <c:smooth val="0"/>
          <c:extLst>
            <c:ext xmlns:c16="http://schemas.microsoft.com/office/drawing/2014/chart" uri="{C3380CC4-5D6E-409C-BE32-E72D297353CC}">
              <c16:uniqueId val="{00000000-498C-49C2-8AFA-007DCC459CFB}"/>
            </c:ext>
          </c:extLst>
        </c:ser>
        <c:dLbls>
          <c:showLegendKey val="0"/>
          <c:showVal val="0"/>
          <c:showCatName val="0"/>
          <c:showSerName val="0"/>
          <c:showPercent val="0"/>
          <c:showBubbleSize val="0"/>
        </c:dLbls>
        <c:axId val="346787279"/>
        <c:axId val="346794767"/>
      </c:scatterChart>
      <c:valAx>
        <c:axId val="3467872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Pork consumption (t)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794767"/>
        <c:crosses val="autoZero"/>
        <c:crossBetween val="midCat"/>
      </c:valAx>
      <c:valAx>
        <c:axId val="346794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Pork production (t)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78727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Relationships!$A$174:$B$174</c:f>
              <c:strCache>
                <c:ptCount val="2"/>
                <c:pt idx="0">
                  <c:v>Commercial swine population</c:v>
                </c:pt>
                <c:pt idx="1">
                  <c:v>Head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9766229221347331"/>
                  <c:y val="0.1613568095654709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Relationships!$E$173:$AF$173</c:f>
              <c:numCache>
                <c:formatCode>General</c:formatCode>
                <c:ptCount val="28"/>
                <c:pt idx="0">
                  <c:v>126200</c:v>
                </c:pt>
                <c:pt idx="1">
                  <c:v>130800</c:v>
                </c:pt>
                <c:pt idx="2">
                  <c:v>112700</c:v>
                </c:pt>
                <c:pt idx="3">
                  <c:v>129600</c:v>
                </c:pt>
                <c:pt idx="4">
                  <c:v>119600</c:v>
                </c:pt>
                <c:pt idx="5">
                  <c:v>119000</c:v>
                </c:pt>
                <c:pt idx="6">
                  <c:v>126500</c:v>
                </c:pt>
                <c:pt idx="7">
                  <c:v>127900</c:v>
                </c:pt>
                <c:pt idx="8">
                  <c:v>125000</c:v>
                </c:pt>
                <c:pt idx="9">
                  <c:v>119200</c:v>
                </c:pt>
                <c:pt idx="10">
                  <c:v>123000</c:v>
                </c:pt>
                <c:pt idx="11">
                  <c:v>106900</c:v>
                </c:pt>
                <c:pt idx="12">
                  <c:v>116600</c:v>
                </c:pt>
                <c:pt idx="13">
                  <c:v>135000</c:v>
                </c:pt>
                <c:pt idx="14">
                  <c:v>156800</c:v>
                </c:pt>
                <c:pt idx="15">
                  <c:v>159700</c:v>
                </c:pt>
                <c:pt idx="16">
                  <c:v>171400</c:v>
                </c:pt>
                <c:pt idx="17">
                  <c:v>187100</c:v>
                </c:pt>
                <c:pt idx="18">
                  <c:v>181700</c:v>
                </c:pt>
                <c:pt idx="19">
                  <c:v>180700</c:v>
                </c:pt>
                <c:pt idx="20">
                  <c:v>191900</c:v>
                </c:pt>
                <c:pt idx="21">
                  <c:v>205100</c:v>
                </c:pt>
                <c:pt idx="22">
                  <c:v>206000</c:v>
                </c:pt>
                <c:pt idx="23">
                  <c:v>213500</c:v>
                </c:pt>
                <c:pt idx="24">
                  <c:v>224200</c:v>
                </c:pt>
                <c:pt idx="25">
                  <c:v>233000</c:v>
                </c:pt>
                <c:pt idx="26">
                  <c:v>243100</c:v>
                </c:pt>
                <c:pt idx="27">
                  <c:v>231800</c:v>
                </c:pt>
              </c:numCache>
            </c:numRef>
          </c:xVal>
          <c:yVal>
            <c:numRef>
              <c:f>Relationships!$E$174:$AF$174</c:f>
              <c:numCache>
                <c:formatCode>General</c:formatCode>
                <c:ptCount val="28"/>
                <c:pt idx="0">
                  <c:v>1524000</c:v>
                </c:pt>
                <c:pt idx="1">
                  <c:v>1665000</c:v>
                </c:pt>
                <c:pt idx="2">
                  <c:v>1654000</c:v>
                </c:pt>
                <c:pt idx="3">
                  <c:v>1653000</c:v>
                </c:pt>
                <c:pt idx="4">
                  <c:v>1570000</c:v>
                </c:pt>
                <c:pt idx="5">
                  <c:v>1585000</c:v>
                </c:pt>
                <c:pt idx="6">
                  <c:v>1707000</c:v>
                </c:pt>
                <c:pt idx="7">
                  <c:v>1699000</c:v>
                </c:pt>
                <c:pt idx="8">
                  <c:v>1736000</c:v>
                </c:pt>
                <c:pt idx="9">
                  <c:v>1780000</c:v>
                </c:pt>
                <c:pt idx="10">
                  <c:v>1647000</c:v>
                </c:pt>
                <c:pt idx="11">
                  <c:v>1678000</c:v>
                </c:pt>
                <c:pt idx="12">
                  <c:v>1710000</c:v>
                </c:pt>
                <c:pt idx="13">
                  <c:v>1663000</c:v>
                </c:pt>
                <c:pt idx="14">
                  <c:v>1663000</c:v>
                </c:pt>
                <c:pt idx="15">
                  <c:v>1651000</c:v>
                </c:pt>
                <c:pt idx="16">
                  <c:v>1622000</c:v>
                </c:pt>
                <c:pt idx="17">
                  <c:v>1651000</c:v>
                </c:pt>
                <c:pt idx="18">
                  <c:v>1615000</c:v>
                </c:pt>
                <c:pt idx="19">
                  <c:v>1613000</c:v>
                </c:pt>
                <c:pt idx="20">
                  <c:v>1594000</c:v>
                </c:pt>
                <c:pt idx="21">
                  <c:v>1584000</c:v>
                </c:pt>
                <c:pt idx="22">
                  <c:v>1579000</c:v>
                </c:pt>
                <c:pt idx="23">
                  <c:v>1574000</c:v>
                </c:pt>
                <c:pt idx="24">
                  <c:v>1562000</c:v>
                </c:pt>
                <c:pt idx="25">
                  <c:v>1523000</c:v>
                </c:pt>
                <c:pt idx="26">
                  <c:v>1512000</c:v>
                </c:pt>
                <c:pt idx="27">
                  <c:v>1481000</c:v>
                </c:pt>
              </c:numCache>
            </c:numRef>
          </c:yVal>
          <c:smooth val="0"/>
          <c:extLst>
            <c:ext xmlns:c16="http://schemas.microsoft.com/office/drawing/2014/chart" uri="{C3380CC4-5D6E-409C-BE32-E72D297353CC}">
              <c16:uniqueId val="{00000000-3894-4BEB-99B2-19FD8D586BAE}"/>
            </c:ext>
          </c:extLst>
        </c:ser>
        <c:dLbls>
          <c:showLegendKey val="0"/>
          <c:showVal val="0"/>
          <c:showCatName val="0"/>
          <c:showSerName val="0"/>
          <c:showPercent val="0"/>
          <c:showBubbleSize val="0"/>
        </c:dLbls>
        <c:axId val="346804335"/>
        <c:axId val="346787279"/>
      </c:scatterChart>
      <c:valAx>
        <c:axId val="3468043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Pork production (t)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787279"/>
        <c:crosses val="autoZero"/>
        <c:crossBetween val="midCat"/>
      </c:valAx>
      <c:valAx>
        <c:axId val="346787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Commercial swine population (head)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80433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Relationships!$A$205:$B$205</c:f>
              <c:strCache>
                <c:ptCount val="2"/>
                <c:pt idx="0">
                  <c:v>Egg consumption</c:v>
                </c:pt>
                <c:pt idx="1">
                  <c:v>t/capita</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3.2826334208223971E-2"/>
                  <c:y val="0.1944444444444444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Relationships!$O$204:$AG$204</c:f>
              <c:numCache>
                <c:formatCode>General</c:formatCode>
                <c:ptCount val="19"/>
                <c:pt idx="0">
                  <c:v>1.9178073296508686E-5</c:v>
                </c:pt>
                <c:pt idx="1">
                  <c:v>2.0941920561623974E-5</c:v>
                </c:pt>
                <c:pt idx="2">
                  <c:v>2.4092156096673536E-5</c:v>
                </c:pt>
                <c:pt idx="3">
                  <c:v>2.5864721644610491E-5</c:v>
                </c:pt>
                <c:pt idx="4">
                  <c:v>2.816463639110616E-5</c:v>
                </c:pt>
                <c:pt idx="5">
                  <c:v>3.0685475313895917E-5</c:v>
                </c:pt>
                <c:pt idx="6">
                  <c:v>3.3867608215633009E-5</c:v>
                </c:pt>
                <c:pt idx="7">
                  <c:v>3.8369935813406575E-5</c:v>
                </c:pt>
                <c:pt idx="8">
                  <c:v>4.2933160137438985E-5</c:v>
                </c:pt>
                <c:pt idx="9">
                  <c:v>4.5112536477249022E-5</c:v>
                </c:pt>
                <c:pt idx="10">
                  <c:v>4.8711594853611398E-5</c:v>
                </c:pt>
                <c:pt idx="11">
                  <c:v>5.2388104554380752E-5</c:v>
                </c:pt>
                <c:pt idx="12">
                  <c:v>7.2008674666107316E-5</c:v>
                </c:pt>
                <c:pt idx="13">
                  <c:v>7.3128862350936422E-5</c:v>
                </c:pt>
                <c:pt idx="14">
                  <c:v>7.3832053087208803E-5</c:v>
                </c:pt>
                <c:pt idx="15">
                  <c:v>7.4099569652362116E-5</c:v>
                </c:pt>
                <c:pt idx="16">
                  <c:v>7.3966728660027013E-5</c:v>
                </c:pt>
                <c:pt idx="17">
                  <c:v>7.4125058503467776E-5</c:v>
                </c:pt>
                <c:pt idx="18">
                  <c:v>7.4164408302538267E-5</c:v>
                </c:pt>
              </c:numCache>
            </c:numRef>
          </c:xVal>
          <c:yVal>
            <c:numRef>
              <c:f>Relationships!$O$205:$AG$205</c:f>
              <c:numCache>
                <c:formatCode>General</c:formatCode>
                <c:ptCount val="19"/>
                <c:pt idx="0">
                  <c:v>6.8938359055347002E-3</c:v>
                </c:pt>
                <c:pt idx="1">
                  <c:v>6.7586436139573363E-3</c:v>
                </c:pt>
                <c:pt idx="2">
                  <c:v>6.7820976802777447E-3</c:v>
                </c:pt>
                <c:pt idx="3">
                  <c:v>6.5283657706780738E-3</c:v>
                </c:pt>
                <c:pt idx="4">
                  <c:v>6.9568365297776923E-3</c:v>
                </c:pt>
                <c:pt idx="5">
                  <c:v>7.456046760983639E-3</c:v>
                </c:pt>
                <c:pt idx="6">
                  <c:v>8.0842312552920001E-3</c:v>
                </c:pt>
                <c:pt idx="7">
                  <c:v>8.4690969269617146E-3</c:v>
                </c:pt>
                <c:pt idx="8">
                  <c:v>8.1157953647197252E-3</c:v>
                </c:pt>
                <c:pt idx="9">
                  <c:v>7.5083685125492076E-3</c:v>
                </c:pt>
                <c:pt idx="10">
                  <c:v>7.5365654239091563E-3</c:v>
                </c:pt>
                <c:pt idx="11">
                  <c:v>8.191650469889223E-3</c:v>
                </c:pt>
                <c:pt idx="12">
                  <c:v>8.4288113008817115E-3</c:v>
                </c:pt>
                <c:pt idx="13">
                  <c:v>8.0913394369000174E-3</c:v>
                </c:pt>
                <c:pt idx="14">
                  <c:v>7.7407407407407407E-3</c:v>
                </c:pt>
                <c:pt idx="15">
                  <c:v>8.0381122504390948E-3</c:v>
                </c:pt>
                <c:pt idx="16">
                  <c:v>8.0145547134137293E-3</c:v>
                </c:pt>
                <c:pt idx="17">
                  <c:v>7.4154900355637762E-3</c:v>
                </c:pt>
                <c:pt idx="18">
                  <c:v>7.5409321287873594E-3</c:v>
                </c:pt>
              </c:numCache>
            </c:numRef>
          </c:yVal>
          <c:smooth val="0"/>
          <c:extLst>
            <c:ext xmlns:c16="http://schemas.microsoft.com/office/drawing/2014/chart" uri="{C3380CC4-5D6E-409C-BE32-E72D297353CC}">
              <c16:uniqueId val="{00000000-EBE3-4814-93E7-E645D3B36475}"/>
            </c:ext>
          </c:extLst>
        </c:ser>
        <c:dLbls>
          <c:showLegendKey val="0"/>
          <c:showVal val="0"/>
          <c:showCatName val="0"/>
          <c:showSerName val="0"/>
          <c:showPercent val="0"/>
          <c:showBubbleSize val="0"/>
        </c:dLbls>
        <c:axId val="346768143"/>
        <c:axId val="346762319"/>
      </c:scatterChart>
      <c:valAx>
        <c:axId val="3467681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Wealth (GVA/capita)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762319"/>
        <c:crosses val="autoZero"/>
        <c:crossBetween val="midCat"/>
      </c:valAx>
      <c:valAx>
        <c:axId val="346762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Egg consumption (t/capita)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76814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Relationships!$A$202:$B$202</c:f>
              <c:strCache>
                <c:ptCount val="2"/>
                <c:pt idx="0">
                  <c:v>Egg production</c:v>
                </c:pt>
                <c:pt idx="1">
                  <c:v>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9466535433070867E-2"/>
                  <c:y val="-3.9260717410323709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Relationships!$O$201:$AG$201</c:f>
              <c:numCache>
                <c:formatCode>General</c:formatCode>
                <c:ptCount val="19"/>
                <c:pt idx="0">
                  <c:v>310000</c:v>
                </c:pt>
                <c:pt idx="1">
                  <c:v>308000</c:v>
                </c:pt>
                <c:pt idx="2">
                  <c:v>313000</c:v>
                </c:pt>
                <c:pt idx="3">
                  <c:v>305000</c:v>
                </c:pt>
                <c:pt idx="4">
                  <c:v>329000</c:v>
                </c:pt>
                <c:pt idx="5">
                  <c:v>357000</c:v>
                </c:pt>
                <c:pt idx="6">
                  <c:v>392000</c:v>
                </c:pt>
                <c:pt idx="7">
                  <c:v>416000</c:v>
                </c:pt>
                <c:pt idx="8">
                  <c:v>404000</c:v>
                </c:pt>
                <c:pt idx="9">
                  <c:v>379000</c:v>
                </c:pt>
                <c:pt idx="10">
                  <c:v>386000</c:v>
                </c:pt>
                <c:pt idx="11">
                  <c:v>426000</c:v>
                </c:pt>
                <c:pt idx="12">
                  <c:v>447000</c:v>
                </c:pt>
                <c:pt idx="13">
                  <c:v>433000</c:v>
                </c:pt>
                <c:pt idx="14">
                  <c:v>418000</c:v>
                </c:pt>
                <c:pt idx="15">
                  <c:v>438000</c:v>
                </c:pt>
                <c:pt idx="16">
                  <c:v>441000</c:v>
                </c:pt>
                <c:pt idx="17">
                  <c:v>412000</c:v>
                </c:pt>
                <c:pt idx="18">
                  <c:v>423000</c:v>
                </c:pt>
              </c:numCache>
            </c:numRef>
          </c:xVal>
          <c:yVal>
            <c:numRef>
              <c:f>Relationships!$O$202:$AG$202</c:f>
              <c:numCache>
                <c:formatCode>General</c:formatCode>
                <c:ptCount val="19"/>
                <c:pt idx="0">
                  <c:v>329000</c:v>
                </c:pt>
                <c:pt idx="1">
                  <c:v>330000</c:v>
                </c:pt>
                <c:pt idx="2">
                  <c:v>340000</c:v>
                </c:pt>
                <c:pt idx="3">
                  <c:v>328000</c:v>
                </c:pt>
                <c:pt idx="4">
                  <c:v>348000</c:v>
                </c:pt>
                <c:pt idx="5">
                  <c:v>375000</c:v>
                </c:pt>
                <c:pt idx="6">
                  <c:v>412000</c:v>
                </c:pt>
                <c:pt idx="7">
                  <c:v>438000</c:v>
                </c:pt>
                <c:pt idx="8">
                  <c:v>426000</c:v>
                </c:pt>
                <c:pt idx="9">
                  <c:v>404000</c:v>
                </c:pt>
                <c:pt idx="10">
                  <c:v>413000</c:v>
                </c:pt>
                <c:pt idx="11">
                  <c:v>452000</c:v>
                </c:pt>
                <c:pt idx="12">
                  <c:v>477000</c:v>
                </c:pt>
                <c:pt idx="13">
                  <c:v>468000</c:v>
                </c:pt>
                <c:pt idx="14">
                  <c:v>453000</c:v>
                </c:pt>
                <c:pt idx="15">
                  <c:v>477000</c:v>
                </c:pt>
                <c:pt idx="16">
                  <c:v>478000</c:v>
                </c:pt>
                <c:pt idx="17">
                  <c:v>445000</c:v>
                </c:pt>
                <c:pt idx="18">
                  <c:v>454000</c:v>
                </c:pt>
              </c:numCache>
            </c:numRef>
          </c:yVal>
          <c:smooth val="0"/>
          <c:extLst>
            <c:ext xmlns:c16="http://schemas.microsoft.com/office/drawing/2014/chart" uri="{C3380CC4-5D6E-409C-BE32-E72D297353CC}">
              <c16:uniqueId val="{00000000-2EC4-459B-A97A-22B684CCA420}"/>
            </c:ext>
          </c:extLst>
        </c:ser>
        <c:dLbls>
          <c:showLegendKey val="0"/>
          <c:showVal val="0"/>
          <c:showCatName val="0"/>
          <c:showSerName val="0"/>
          <c:showPercent val="0"/>
          <c:showBubbleSize val="0"/>
        </c:dLbls>
        <c:axId val="346559311"/>
        <c:axId val="346551407"/>
      </c:scatterChart>
      <c:valAx>
        <c:axId val="3465593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Egg consumption (t)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551407"/>
        <c:crosses val="autoZero"/>
        <c:crossBetween val="midCat"/>
      </c:valAx>
      <c:valAx>
        <c:axId val="346551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Egg production (t)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55931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Relationships!$A$203:$B$203</c:f>
              <c:strCache>
                <c:ptCount val="2"/>
                <c:pt idx="0">
                  <c:v>Commercial layer population</c:v>
                </c:pt>
                <c:pt idx="1">
                  <c:v>Head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2.7595800524934384E-2"/>
                  <c:y val="-3.4631087780694081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Relationships!$O$202:$AF$202</c:f>
              <c:numCache>
                <c:formatCode>General</c:formatCode>
                <c:ptCount val="18"/>
                <c:pt idx="0">
                  <c:v>329000</c:v>
                </c:pt>
                <c:pt idx="1">
                  <c:v>330000</c:v>
                </c:pt>
                <c:pt idx="2">
                  <c:v>340000</c:v>
                </c:pt>
                <c:pt idx="3">
                  <c:v>328000</c:v>
                </c:pt>
                <c:pt idx="4">
                  <c:v>348000</c:v>
                </c:pt>
                <c:pt idx="5">
                  <c:v>375000</c:v>
                </c:pt>
                <c:pt idx="6">
                  <c:v>412000</c:v>
                </c:pt>
                <c:pt idx="7">
                  <c:v>438000</c:v>
                </c:pt>
                <c:pt idx="8">
                  <c:v>426000</c:v>
                </c:pt>
                <c:pt idx="9">
                  <c:v>404000</c:v>
                </c:pt>
                <c:pt idx="10">
                  <c:v>413000</c:v>
                </c:pt>
                <c:pt idx="11">
                  <c:v>452000</c:v>
                </c:pt>
                <c:pt idx="12">
                  <c:v>477000</c:v>
                </c:pt>
                <c:pt idx="13">
                  <c:v>468000</c:v>
                </c:pt>
                <c:pt idx="14">
                  <c:v>453000</c:v>
                </c:pt>
                <c:pt idx="15">
                  <c:v>477000</c:v>
                </c:pt>
                <c:pt idx="16">
                  <c:v>478000</c:v>
                </c:pt>
                <c:pt idx="17">
                  <c:v>445000</c:v>
                </c:pt>
              </c:numCache>
            </c:numRef>
          </c:xVal>
          <c:yVal>
            <c:numRef>
              <c:f>Relationships!$O$203:$AF$203</c:f>
              <c:numCache>
                <c:formatCode>#,##0</c:formatCode>
                <c:ptCount val="18"/>
                <c:pt idx="0">
                  <c:v>17355030.714458548</c:v>
                </c:pt>
                <c:pt idx="1">
                  <c:v>17818001.024886843</c:v>
                </c:pt>
                <c:pt idx="2">
                  <c:v>17678155.288284503</c:v>
                </c:pt>
                <c:pt idx="3">
                  <c:v>16972399.104253348</c:v>
                </c:pt>
                <c:pt idx="4">
                  <c:v>17587835.89054852</c:v>
                </c:pt>
                <c:pt idx="5">
                  <c:v>18648391.6209228</c:v>
                </c:pt>
                <c:pt idx="6">
                  <c:v>20580691.805783488</c:v>
                </c:pt>
                <c:pt idx="7">
                  <c:v>22776081.657241259</c:v>
                </c:pt>
                <c:pt idx="8">
                  <c:v>23076039.863330547</c:v>
                </c:pt>
                <c:pt idx="9">
                  <c:v>22225308.649488669</c:v>
                </c:pt>
                <c:pt idx="10">
                  <c:v>23091061.215630483</c:v>
                </c:pt>
                <c:pt idx="11">
                  <c:v>24156882.687047753</c:v>
                </c:pt>
                <c:pt idx="12">
                  <c:v>25036870.403128054</c:v>
                </c:pt>
                <c:pt idx="13">
                  <c:v>24549576.616170555</c:v>
                </c:pt>
                <c:pt idx="14">
                  <c:v>24340499.841357533</c:v>
                </c:pt>
                <c:pt idx="15">
                  <c:v>24851160.720602136</c:v>
                </c:pt>
                <c:pt idx="16">
                  <c:v>24800000</c:v>
                </c:pt>
                <c:pt idx="17">
                  <c:v>23160000</c:v>
                </c:pt>
              </c:numCache>
            </c:numRef>
          </c:yVal>
          <c:smooth val="0"/>
          <c:extLst>
            <c:ext xmlns:c16="http://schemas.microsoft.com/office/drawing/2014/chart" uri="{C3380CC4-5D6E-409C-BE32-E72D297353CC}">
              <c16:uniqueId val="{00000000-8528-4C85-9E24-F15A16080AFD}"/>
            </c:ext>
          </c:extLst>
        </c:ser>
        <c:dLbls>
          <c:showLegendKey val="0"/>
          <c:showVal val="0"/>
          <c:showCatName val="0"/>
          <c:showSerName val="0"/>
          <c:showPercent val="0"/>
          <c:showBubbleSize val="0"/>
        </c:dLbls>
        <c:axId val="346776879"/>
        <c:axId val="346771055"/>
      </c:scatterChart>
      <c:valAx>
        <c:axId val="3467768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Egg production (t)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771055"/>
        <c:crosses val="autoZero"/>
        <c:crossBetween val="midCat"/>
      </c:valAx>
      <c:valAx>
        <c:axId val="346771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Commercial layer population (head)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77687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Relationships!$A$233:$B$233</c:f>
              <c:strCache>
                <c:ptCount val="2"/>
                <c:pt idx="0">
                  <c:v>Chicken consumption</c:v>
                </c:pt>
                <c:pt idx="1">
                  <c:v>t/capita</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1.8729221347331584E-2"/>
                  <c:y val="0.2222222222222222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Relationships!$E$232:$AG$232</c:f>
              <c:numCache>
                <c:formatCode>General</c:formatCode>
                <c:ptCount val="29"/>
                <c:pt idx="0">
                  <c:v>7.3995172186341224E-6</c:v>
                </c:pt>
                <c:pt idx="1">
                  <c:v>8.3160321270873128E-6</c:v>
                </c:pt>
                <c:pt idx="2">
                  <c:v>9.1809688444329608E-6</c:v>
                </c:pt>
                <c:pt idx="3">
                  <c:v>1.0183063676790614E-5</c:v>
                </c:pt>
                <c:pt idx="4">
                  <c:v>1.1198558803003417E-5</c:v>
                </c:pt>
                <c:pt idx="5">
                  <c:v>1.2456004786976505E-5</c:v>
                </c:pt>
                <c:pt idx="6">
                  <c:v>1.5023575074943164E-5</c:v>
                </c:pt>
                <c:pt idx="7">
                  <c:v>1.4993976964585091E-5</c:v>
                </c:pt>
                <c:pt idx="8">
                  <c:v>1.5889974557177216E-5</c:v>
                </c:pt>
                <c:pt idx="9">
                  <c:v>1.7139534783540361E-5</c:v>
                </c:pt>
                <c:pt idx="10">
                  <c:v>1.9178073296508686E-5</c:v>
                </c:pt>
                <c:pt idx="11">
                  <c:v>2.0941920561623974E-5</c:v>
                </c:pt>
                <c:pt idx="12">
                  <c:v>2.4092156096673536E-5</c:v>
                </c:pt>
                <c:pt idx="13">
                  <c:v>2.5864721644610491E-5</c:v>
                </c:pt>
                <c:pt idx="14">
                  <c:v>2.816463639110616E-5</c:v>
                </c:pt>
                <c:pt idx="15">
                  <c:v>3.0685475313895917E-5</c:v>
                </c:pt>
                <c:pt idx="16">
                  <c:v>3.3867608215633009E-5</c:v>
                </c:pt>
                <c:pt idx="17">
                  <c:v>3.8369935813406575E-5</c:v>
                </c:pt>
                <c:pt idx="18">
                  <c:v>4.2933160137438985E-5</c:v>
                </c:pt>
                <c:pt idx="19">
                  <c:v>4.5112536477249022E-5</c:v>
                </c:pt>
                <c:pt idx="20">
                  <c:v>4.8711594853611398E-5</c:v>
                </c:pt>
                <c:pt idx="21">
                  <c:v>5.2388104554380752E-5</c:v>
                </c:pt>
                <c:pt idx="22">
                  <c:v>7.2008674666107316E-5</c:v>
                </c:pt>
                <c:pt idx="23">
                  <c:v>7.3128862350936422E-5</c:v>
                </c:pt>
                <c:pt idx="24">
                  <c:v>7.3832053087208803E-5</c:v>
                </c:pt>
                <c:pt idx="25">
                  <c:v>7.4099569652362116E-5</c:v>
                </c:pt>
                <c:pt idx="26">
                  <c:v>7.3966728660027013E-5</c:v>
                </c:pt>
                <c:pt idx="27">
                  <c:v>7.4125058503467776E-5</c:v>
                </c:pt>
                <c:pt idx="28">
                  <c:v>7.4164408302538267E-5</c:v>
                </c:pt>
              </c:numCache>
            </c:numRef>
          </c:xVal>
          <c:yVal>
            <c:numRef>
              <c:f>Relationships!$E$233:$AG$233</c:f>
              <c:numCache>
                <c:formatCode>General</c:formatCode>
                <c:ptCount val="29"/>
                <c:pt idx="0">
                  <c:v>1.6439990001225254E-2</c:v>
                </c:pt>
                <c:pt idx="1">
                  <c:v>1.5721540498873907E-2</c:v>
                </c:pt>
                <c:pt idx="2">
                  <c:v>1.4764973046683923E-2</c:v>
                </c:pt>
                <c:pt idx="3">
                  <c:v>1.4633992493771092E-2</c:v>
                </c:pt>
                <c:pt idx="4">
                  <c:v>1.5013290459911816E-2</c:v>
                </c:pt>
                <c:pt idx="5">
                  <c:v>1.5976538911150123E-2</c:v>
                </c:pt>
                <c:pt idx="6">
                  <c:v>1.7471172742527397E-2</c:v>
                </c:pt>
                <c:pt idx="7">
                  <c:v>1.9214905481391424E-2</c:v>
                </c:pt>
                <c:pt idx="8">
                  <c:v>1.9550270521717511E-2</c:v>
                </c:pt>
                <c:pt idx="9">
                  <c:v>1.9711969335573339E-2</c:v>
                </c:pt>
                <c:pt idx="10">
                  <c:v>2.0614793175582798E-2</c:v>
                </c:pt>
                <c:pt idx="11">
                  <c:v>2.0583141915233708E-2</c:v>
                </c:pt>
                <c:pt idx="12">
                  <c:v>2.0909662177214131E-2</c:v>
                </c:pt>
                <c:pt idx="13">
                  <c:v>2.2089421230622203E-2</c:v>
                </c:pt>
                <c:pt idx="14">
                  <c:v>2.5289898144723769E-2</c:v>
                </c:pt>
                <c:pt idx="15">
                  <c:v>3.0388089740143405E-2</c:v>
                </c:pt>
                <c:pt idx="16">
                  <c:v>3.4316736757157879E-2</c:v>
                </c:pt>
                <c:pt idx="17">
                  <c:v>3.5973303533512857E-2</c:v>
                </c:pt>
                <c:pt idx="18">
                  <c:v>3.6420636129299161E-2</c:v>
                </c:pt>
                <c:pt idx="19">
                  <c:v>3.6472048632198134E-2</c:v>
                </c:pt>
                <c:pt idx="20">
                  <c:v>3.6843261541234656E-2</c:v>
                </c:pt>
                <c:pt idx="21">
                  <c:v>3.8208472966361234E-2</c:v>
                </c:pt>
                <c:pt idx="22">
                  <c:v>3.8617909494867438E-2</c:v>
                </c:pt>
                <c:pt idx="23">
                  <c:v>3.8513280783951352E-2</c:v>
                </c:pt>
                <c:pt idx="24">
                  <c:v>3.7314814814814815E-2</c:v>
                </c:pt>
                <c:pt idx="25">
                  <c:v>3.8098449844546946E-2</c:v>
                </c:pt>
                <c:pt idx="26">
                  <c:v>3.9981905599796384E-2</c:v>
                </c:pt>
                <c:pt idx="27">
                  <c:v>3.878733258893189E-2</c:v>
                </c:pt>
                <c:pt idx="28">
                  <c:v>4.2642812416215987E-2</c:v>
                </c:pt>
              </c:numCache>
            </c:numRef>
          </c:yVal>
          <c:smooth val="0"/>
          <c:extLst>
            <c:ext xmlns:c16="http://schemas.microsoft.com/office/drawing/2014/chart" uri="{C3380CC4-5D6E-409C-BE32-E72D297353CC}">
              <c16:uniqueId val="{00000000-A3AB-437A-8118-F507B6408CBF}"/>
            </c:ext>
          </c:extLst>
        </c:ser>
        <c:dLbls>
          <c:showLegendKey val="0"/>
          <c:showVal val="0"/>
          <c:showCatName val="0"/>
          <c:showSerName val="0"/>
          <c:showPercent val="0"/>
          <c:showBubbleSize val="0"/>
        </c:dLbls>
        <c:axId val="346571791"/>
        <c:axId val="346590095"/>
      </c:scatterChart>
      <c:valAx>
        <c:axId val="3465717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Wealth (GVA/capita)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590095"/>
        <c:crosses val="autoZero"/>
        <c:crossBetween val="midCat"/>
      </c:valAx>
      <c:valAx>
        <c:axId val="346590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Chicken consumption (t/capita)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57179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Relationships!$A$230:$B$230</c:f>
              <c:strCache>
                <c:ptCount val="2"/>
                <c:pt idx="0">
                  <c:v>Chicken production</c:v>
                </c:pt>
                <c:pt idx="1">
                  <c:v>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217082239720035"/>
                  <c:y val="2.1974336541265463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Relationships!$O$229:$AG$229</c:f>
              <c:numCache>
                <c:formatCode>General</c:formatCode>
                <c:ptCount val="19"/>
                <c:pt idx="0">
                  <c:v>927000</c:v>
                </c:pt>
                <c:pt idx="1">
                  <c:v>938000</c:v>
                </c:pt>
                <c:pt idx="2">
                  <c:v>965000</c:v>
                </c:pt>
                <c:pt idx="3">
                  <c:v>1032000</c:v>
                </c:pt>
                <c:pt idx="4">
                  <c:v>1196000</c:v>
                </c:pt>
                <c:pt idx="5">
                  <c:v>1455000</c:v>
                </c:pt>
                <c:pt idx="6">
                  <c:v>1664000</c:v>
                </c:pt>
                <c:pt idx="7">
                  <c:v>1767000</c:v>
                </c:pt>
                <c:pt idx="8">
                  <c:v>1813000</c:v>
                </c:pt>
                <c:pt idx="9">
                  <c:v>1841000</c:v>
                </c:pt>
                <c:pt idx="10">
                  <c:v>1887000</c:v>
                </c:pt>
                <c:pt idx="11">
                  <c:v>1987000</c:v>
                </c:pt>
                <c:pt idx="12">
                  <c:v>2048000</c:v>
                </c:pt>
                <c:pt idx="13">
                  <c:v>2061000</c:v>
                </c:pt>
                <c:pt idx="14">
                  <c:v>2015000</c:v>
                </c:pt>
                <c:pt idx="15">
                  <c:v>2076000</c:v>
                </c:pt>
                <c:pt idx="16">
                  <c:v>2200000</c:v>
                </c:pt>
                <c:pt idx="17">
                  <c:v>2155000</c:v>
                </c:pt>
                <c:pt idx="18">
                  <c:v>2392000</c:v>
                </c:pt>
              </c:numCache>
            </c:numRef>
          </c:xVal>
          <c:yVal>
            <c:numRef>
              <c:f>Relationships!$O$230:$AG$230</c:f>
              <c:numCache>
                <c:formatCode>General</c:formatCode>
                <c:ptCount val="19"/>
                <c:pt idx="0">
                  <c:v>850000</c:v>
                </c:pt>
                <c:pt idx="1">
                  <c:v>869000</c:v>
                </c:pt>
                <c:pt idx="2">
                  <c:v>896000</c:v>
                </c:pt>
                <c:pt idx="3">
                  <c:v>925000</c:v>
                </c:pt>
                <c:pt idx="4">
                  <c:v>1043000</c:v>
                </c:pt>
                <c:pt idx="5">
                  <c:v>1273000</c:v>
                </c:pt>
                <c:pt idx="6">
                  <c:v>1427000</c:v>
                </c:pt>
                <c:pt idx="7">
                  <c:v>1499000</c:v>
                </c:pt>
                <c:pt idx="8">
                  <c:v>1584000</c:v>
                </c:pt>
                <c:pt idx="9">
                  <c:v>1644000</c:v>
                </c:pt>
                <c:pt idx="10">
                  <c:v>1681000</c:v>
                </c:pt>
                <c:pt idx="11">
                  <c:v>1721000</c:v>
                </c:pt>
                <c:pt idx="12">
                  <c:v>1681000</c:v>
                </c:pt>
                <c:pt idx="13">
                  <c:v>1691000</c:v>
                </c:pt>
                <c:pt idx="14">
                  <c:v>1668000</c:v>
                </c:pt>
                <c:pt idx="15">
                  <c:v>1709000</c:v>
                </c:pt>
                <c:pt idx="16">
                  <c:v>1704000</c:v>
                </c:pt>
                <c:pt idx="17">
                  <c:v>1663000</c:v>
                </c:pt>
                <c:pt idx="18">
                  <c:v>1702000</c:v>
                </c:pt>
              </c:numCache>
            </c:numRef>
          </c:yVal>
          <c:smooth val="0"/>
          <c:extLst>
            <c:ext xmlns:c16="http://schemas.microsoft.com/office/drawing/2014/chart" uri="{C3380CC4-5D6E-409C-BE32-E72D297353CC}">
              <c16:uniqueId val="{00000000-CE66-4471-9892-5AB0FEF17AB7}"/>
            </c:ext>
          </c:extLst>
        </c:ser>
        <c:dLbls>
          <c:showLegendKey val="0"/>
          <c:showVal val="0"/>
          <c:showCatName val="0"/>
          <c:showSerName val="0"/>
          <c:showPercent val="0"/>
          <c:showBubbleSize val="0"/>
        </c:dLbls>
        <c:axId val="346588015"/>
        <c:axId val="346575535"/>
      </c:scatterChart>
      <c:valAx>
        <c:axId val="3465880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Chicken consumption (t)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575535"/>
        <c:crosses val="autoZero"/>
        <c:crossBetween val="midCat"/>
      </c:valAx>
      <c:valAx>
        <c:axId val="346575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Chicken production (t)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58801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Relationships!$A$231:$B$231</c:f>
              <c:strCache>
                <c:ptCount val="2"/>
                <c:pt idx="0">
                  <c:v>Commercial broiler population</c:v>
                </c:pt>
                <c:pt idx="1">
                  <c:v>Head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8915135608048993E-2"/>
                  <c:y val="0.2842235345581802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Relationships!$C$230:$AF$230</c:f>
              <c:numCache>
                <c:formatCode>General</c:formatCode>
                <c:ptCount val="30"/>
                <c:pt idx="2">
                  <c:v>609000</c:v>
                </c:pt>
                <c:pt idx="3">
                  <c:v>593000</c:v>
                </c:pt>
                <c:pt idx="4">
                  <c:v>564000</c:v>
                </c:pt>
                <c:pt idx="5">
                  <c:v>577000</c:v>
                </c:pt>
                <c:pt idx="6">
                  <c:v>607000</c:v>
                </c:pt>
                <c:pt idx="7">
                  <c:v>647000</c:v>
                </c:pt>
                <c:pt idx="8">
                  <c:v>699000</c:v>
                </c:pt>
                <c:pt idx="9">
                  <c:v>753000</c:v>
                </c:pt>
                <c:pt idx="10">
                  <c:v>777000</c:v>
                </c:pt>
                <c:pt idx="11">
                  <c:v>803000</c:v>
                </c:pt>
                <c:pt idx="12">
                  <c:v>850000</c:v>
                </c:pt>
                <c:pt idx="13">
                  <c:v>869000</c:v>
                </c:pt>
                <c:pt idx="14">
                  <c:v>896000</c:v>
                </c:pt>
                <c:pt idx="15">
                  <c:v>925000</c:v>
                </c:pt>
                <c:pt idx="16">
                  <c:v>1043000</c:v>
                </c:pt>
                <c:pt idx="17">
                  <c:v>1273000</c:v>
                </c:pt>
                <c:pt idx="18">
                  <c:v>1427000</c:v>
                </c:pt>
                <c:pt idx="19">
                  <c:v>1499000</c:v>
                </c:pt>
                <c:pt idx="20">
                  <c:v>1584000</c:v>
                </c:pt>
                <c:pt idx="21">
                  <c:v>1644000</c:v>
                </c:pt>
                <c:pt idx="22">
                  <c:v>1681000</c:v>
                </c:pt>
                <c:pt idx="23">
                  <c:v>1721000</c:v>
                </c:pt>
                <c:pt idx="24">
                  <c:v>1681000</c:v>
                </c:pt>
                <c:pt idx="25">
                  <c:v>1691000</c:v>
                </c:pt>
                <c:pt idx="26">
                  <c:v>1668000</c:v>
                </c:pt>
                <c:pt idx="27">
                  <c:v>1709000</c:v>
                </c:pt>
                <c:pt idx="28">
                  <c:v>1704000</c:v>
                </c:pt>
                <c:pt idx="29">
                  <c:v>1663000</c:v>
                </c:pt>
              </c:numCache>
            </c:numRef>
          </c:xVal>
          <c:yVal>
            <c:numRef>
              <c:f>Relationships!$C$231:$AF$231</c:f>
              <c:numCache>
                <c:formatCode>General</c:formatCode>
                <c:ptCount val="30"/>
                <c:pt idx="2" formatCode="#,##0">
                  <c:v>40304488.125775687</c:v>
                </c:pt>
                <c:pt idx="3" formatCode="#,##0">
                  <c:v>37886218.887128815</c:v>
                </c:pt>
                <c:pt idx="4" formatCode="#,##0">
                  <c:v>35805187.036307976</c:v>
                </c:pt>
                <c:pt idx="5" formatCode="#,##0">
                  <c:v>40268107.368938237</c:v>
                </c:pt>
                <c:pt idx="6" formatCode="#,##0">
                  <c:v>39890443.299430735</c:v>
                </c:pt>
                <c:pt idx="7" formatCode="#,##0">
                  <c:v>45660443.796231762</c:v>
                </c:pt>
                <c:pt idx="8" formatCode="#,##0">
                  <c:v>53091326.838711366</c:v>
                </c:pt>
                <c:pt idx="9" formatCode="#,##0">
                  <c:v>54040901.985378392</c:v>
                </c:pt>
                <c:pt idx="10" formatCode="#,##0">
                  <c:v>59214394.697576575</c:v>
                </c:pt>
                <c:pt idx="11" formatCode="#,##0">
                  <c:v>61819163.842046939</c:v>
                </c:pt>
                <c:pt idx="12" formatCode="#,##0">
                  <c:v>66512864.907880791</c:v>
                </c:pt>
                <c:pt idx="13" formatCode="#,##0">
                  <c:v>64225159.968942329</c:v>
                </c:pt>
                <c:pt idx="14" formatCode="#,##0">
                  <c:v>71182309.580183759</c:v>
                </c:pt>
                <c:pt idx="15" formatCode="#,##0">
                  <c:v>67705122.244331256</c:v>
                </c:pt>
                <c:pt idx="16" formatCode="#,##0">
                  <c:v>69339582.95804137</c:v>
                </c:pt>
                <c:pt idx="17" formatCode="#,##0">
                  <c:v>76722494.212373629</c:v>
                </c:pt>
                <c:pt idx="18" formatCode="#,##0">
                  <c:v>82061878.307196394</c:v>
                </c:pt>
                <c:pt idx="19" formatCode="#,##0">
                  <c:v>85859218.536646262</c:v>
                </c:pt>
                <c:pt idx="20" formatCode="#,##0">
                  <c:v>91416754.470852047</c:v>
                </c:pt>
                <c:pt idx="21" formatCode="#,##0">
                  <c:v>86261715.79298</c:v>
                </c:pt>
                <c:pt idx="22" formatCode="#,##0">
                  <c:v>88431266.728296682</c:v>
                </c:pt>
                <c:pt idx="23" formatCode="#,##0">
                  <c:v>91461113.859690607</c:v>
                </c:pt>
                <c:pt idx="24" formatCode="#,##0">
                  <c:v>93498642.184348121</c:v>
                </c:pt>
                <c:pt idx="25" formatCode="#,##0">
                  <c:v>91051385.328801513</c:v>
                </c:pt>
                <c:pt idx="26" formatCode="#,##0">
                  <c:v>95192509.839774087</c:v>
                </c:pt>
                <c:pt idx="27" formatCode="#,##0">
                  <c:v>99033153.399708137</c:v>
                </c:pt>
                <c:pt idx="28" formatCode="#,##0">
                  <c:v>92093884</c:v>
                </c:pt>
                <c:pt idx="29" formatCode="#,##0">
                  <c:v>91976041</c:v>
                </c:pt>
              </c:numCache>
            </c:numRef>
          </c:yVal>
          <c:smooth val="0"/>
          <c:extLst>
            <c:ext xmlns:c16="http://schemas.microsoft.com/office/drawing/2014/chart" uri="{C3380CC4-5D6E-409C-BE32-E72D297353CC}">
              <c16:uniqueId val="{00000000-6AB6-4162-8294-344CC5C44553}"/>
            </c:ext>
          </c:extLst>
        </c:ser>
        <c:dLbls>
          <c:showLegendKey val="0"/>
          <c:showVal val="0"/>
          <c:showCatName val="0"/>
          <c:showSerName val="0"/>
          <c:showPercent val="0"/>
          <c:showBubbleSize val="0"/>
        </c:dLbls>
        <c:axId val="346570127"/>
        <c:axId val="346593423"/>
      </c:scatterChart>
      <c:valAx>
        <c:axId val="3465701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Chicken production (t)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593423"/>
        <c:crosses val="autoZero"/>
        <c:crossBetween val="midCat"/>
      </c:valAx>
      <c:valAx>
        <c:axId val="346593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Commercial broiler population (head)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57012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Relationships!$A$118:$B$118</c:f>
              <c:strCache>
                <c:ptCount val="2"/>
                <c:pt idx="0">
                  <c:v>Chevon consumption</c:v>
                </c:pt>
                <c:pt idx="1">
                  <c:v>t/capita</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9.1526684164479448E-3"/>
                  <c:y val="-0.1367308253135024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Relationships!$J$117:$AF$117</c:f>
              <c:numCache>
                <c:formatCode>General</c:formatCode>
                <c:ptCount val="23"/>
                <c:pt idx="0">
                  <c:v>1.2456004786976505E-5</c:v>
                </c:pt>
                <c:pt idx="1">
                  <c:v>1.5023575074943164E-5</c:v>
                </c:pt>
                <c:pt idx="2">
                  <c:v>1.4993976964585091E-5</c:v>
                </c:pt>
                <c:pt idx="3">
                  <c:v>1.5889974557177216E-5</c:v>
                </c:pt>
                <c:pt idx="4">
                  <c:v>1.7139534783540361E-5</c:v>
                </c:pt>
                <c:pt idx="5">
                  <c:v>1.9178073296508686E-5</c:v>
                </c:pt>
                <c:pt idx="6">
                  <c:v>2.0941920561623974E-5</c:v>
                </c:pt>
                <c:pt idx="7">
                  <c:v>2.4092156096673536E-5</c:v>
                </c:pt>
                <c:pt idx="8">
                  <c:v>2.5864721644610491E-5</c:v>
                </c:pt>
                <c:pt idx="9">
                  <c:v>2.816463639110616E-5</c:v>
                </c:pt>
                <c:pt idx="10">
                  <c:v>3.0685475313895917E-5</c:v>
                </c:pt>
                <c:pt idx="11">
                  <c:v>3.3867608215633009E-5</c:v>
                </c:pt>
                <c:pt idx="12">
                  <c:v>3.8369935813406575E-5</c:v>
                </c:pt>
                <c:pt idx="13">
                  <c:v>4.2933160137438985E-5</c:v>
                </c:pt>
                <c:pt idx="14">
                  <c:v>4.5112536477249022E-5</c:v>
                </c:pt>
                <c:pt idx="15">
                  <c:v>4.8711594853611398E-5</c:v>
                </c:pt>
                <c:pt idx="16">
                  <c:v>5.2388104554380752E-5</c:v>
                </c:pt>
                <c:pt idx="17">
                  <c:v>7.2008674666107316E-5</c:v>
                </c:pt>
                <c:pt idx="18">
                  <c:v>7.3128862350936422E-5</c:v>
                </c:pt>
                <c:pt idx="19">
                  <c:v>7.3832053087208803E-5</c:v>
                </c:pt>
                <c:pt idx="20">
                  <c:v>7.4099569652362116E-5</c:v>
                </c:pt>
                <c:pt idx="21">
                  <c:v>7.3966728660027013E-5</c:v>
                </c:pt>
                <c:pt idx="22">
                  <c:v>7.4125058503467776E-5</c:v>
                </c:pt>
              </c:numCache>
            </c:numRef>
          </c:xVal>
          <c:yVal>
            <c:numRef>
              <c:f>Relationships!$J$118:$AF$118</c:f>
              <c:numCache>
                <c:formatCode>General</c:formatCode>
                <c:ptCount val="23"/>
                <c:pt idx="0">
                  <c:v>1.7086691161773848E-4</c:v>
                </c:pt>
                <c:pt idx="1">
                  <c:v>2.0312013838873316E-4</c:v>
                </c:pt>
                <c:pt idx="2">
                  <c:v>1.9819733014703986E-4</c:v>
                </c:pt>
                <c:pt idx="3">
                  <c:v>1.9916551936644304E-4</c:v>
                </c:pt>
                <c:pt idx="4">
                  <c:v>2.0839656368500879E-4</c:v>
                </c:pt>
                <c:pt idx="5">
                  <c:v>2.1748940372944957E-4</c:v>
                </c:pt>
                <c:pt idx="6">
                  <c:v>2.093424028478993E-4</c:v>
                </c:pt>
                <c:pt idx="7">
                  <c:v>1.8981206287294901E-4</c:v>
                </c:pt>
                <c:pt idx="8">
                  <c:v>1.8750322672504894E-4</c:v>
                </c:pt>
                <c:pt idx="9">
                  <c:v>1.941147700406055E-4</c:v>
                </c:pt>
                <c:pt idx="10">
                  <c:v>2.1052367325130275E-4</c:v>
                </c:pt>
                <c:pt idx="11">
                  <c:v>2.1777929095888654E-4</c:v>
                </c:pt>
                <c:pt idx="12">
                  <c:v>2.4796538598652329E-4</c:v>
                </c:pt>
                <c:pt idx="13">
                  <c:v>2.2780475107901408E-4</c:v>
                </c:pt>
                <c:pt idx="14">
                  <c:v>2.1395878610958166E-4</c:v>
                </c:pt>
                <c:pt idx="15">
                  <c:v>2.0383871250158445E-4</c:v>
                </c:pt>
                <c:pt idx="16">
                  <c:v>1.788318060327929E-4</c:v>
                </c:pt>
                <c:pt idx="17">
                  <c:v>1.776272985554938E-4</c:v>
                </c:pt>
                <c:pt idx="18">
                  <c:v>1.9172550259259624E-4</c:v>
                </c:pt>
                <c:pt idx="19">
                  <c:v>2.0888888888888888E-4</c:v>
                </c:pt>
                <c:pt idx="20">
                  <c:v>2.125144745664035E-4</c:v>
                </c:pt>
                <c:pt idx="21">
                  <c:v>2.0826938098803024E-4</c:v>
                </c:pt>
                <c:pt idx="22">
                  <c:v>2.0086618640022269E-4</c:v>
                </c:pt>
              </c:numCache>
            </c:numRef>
          </c:yVal>
          <c:smooth val="0"/>
          <c:extLst>
            <c:ext xmlns:c16="http://schemas.microsoft.com/office/drawing/2014/chart" uri="{C3380CC4-5D6E-409C-BE32-E72D297353CC}">
              <c16:uniqueId val="{00000000-BC11-4BE6-841A-31331154524C}"/>
            </c:ext>
          </c:extLst>
        </c:ser>
        <c:dLbls>
          <c:showLegendKey val="0"/>
          <c:showVal val="0"/>
          <c:showCatName val="0"/>
          <c:showSerName val="0"/>
          <c:showPercent val="0"/>
          <c:showBubbleSize val="0"/>
        </c:dLbls>
        <c:axId val="346705327"/>
        <c:axId val="346705743"/>
      </c:scatterChart>
      <c:valAx>
        <c:axId val="3467053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Wealth (GVA/capita)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705743"/>
        <c:crosses val="autoZero"/>
        <c:crossBetween val="midCat"/>
      </c:valAx>
      <c:valAx>
        <c:axId val="346705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Chevon consumption (t/capita)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70532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Relationships!$A$149:$B$149</c:f>
              <c:strCache>
                <c:ptCount val="2"/>
                <c:pt idx="0">
                  <c:v>Horse population</c:v>
                </c:pt>
                <c:pt idx="1">
                  <c:v>Head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9652230971128607E-3"/>
                  <c:y val="9.259259259259257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Relationships!$O$148:$AF$148</c:f>
              <c:numCache>
                <c:formatCode>General</c:formatCode>
                <c:ptCount val="18"/>
                <c:pt idx="0">
                  <c:v>1.9178073296508686E-5</c:v>
                </c:pt>
                <c:pt idx="1">
                  <c:v>2.0941920561623974E-5</c:v>
                </c:pt>
                <c:pt idx="2">
                  <c:v>2.4092156096673536E-5</c:v>
                </c:pt>
                <c:pt idx="3">
                  <c:v>2.5864721644610491E-5</c:v>
                </c:pt>
                <c:pt idx="4">
                  <c:v>2.816463639110616E-5</c:v>
                </c:pt>
                <c:pt idx="5">
                  <c:v>3.0685475313895917E-5</c:v>
                </c:pt>
                <c:pt idx="6">
                  <c:v>3.3867608215633009E-5</c:v>
                </c:pt>
                <c:pt idx="7">
                  <c:v>3.8369935813406575E-5</c:v>
                </c:pt>
                <c:pt idx="8">
                  <c:v>4.2933160137438985E-5</c:v>
                </c:pt>
                <c:pt idx="9">
                  <c:v>4.5112536477249022E-5</c:v>
                </c:pt>
                <c:pt idx="10">
                  <c:v>4.8711594853611398E-5</c:v>
                </c:pt>
                <c:pt idx="11">
                  <c:v>5.2388104554380752E-5</c:v>
                </c:pt>
                <c:pt idx="12">
                  <c:v>7.2008674666107316E-5</c:v>
                </c:pt>
                <c:pt idx="13">
                  <c:v>7.3128862350936422E-5</c:v>
                </c:pt>
                <c:pt idx="14">
                  <c:v>7.3832053087208803E-5</c:v>
                </c:pt>
                <c:pt idx="15">
                  <c:v>7.4099569652362116E-5</c:v>
                </c:pt>
                <c:pt idx="16">
                  <c:v>7.3966728660027013E-5</c:v>
                </c:pt>
                <c:pt idx="17">
                  <c:v>7.4125058503467776E-5</c:v>
                </c:pt>
              </c:numCache>
            </c:numRef>
          </c:xVal>
          <c:yVal>
            <c:numRef>
              <c:f>Relationships!$O$149:$AF$149</c:f>
              <c:numCache>
                <c:formatCode>General</c:formatCode>
                <c:ptCount val="18"/>
                <c:pt idx="0">
                  <c:v>270000</c:v>
                </c:pt>
                <c:pt idx="1">
                  <c:v>270000</c:v>
                </c:pt>
                <c:pt idx="2">
                  <c:v>270000</c:v>
                </c:pt>
                <c:pt idx="3">
                  <c:v>270000</c:v>
                </c:pt>
                <c:pt idx="4">
                  <c:v>270000</c:v>
                </c:pt>
                <c:pt idx="5">
                  <c:v>270000</c:v>
                </c:pt>
                <c:pt idx="6">
                  <c:v>280000</c:v>
                </c:pt>
                <c:pt idx="7">
                  <c:v>290000</c:v>
                </c:pt>
                <c:pt idx="8">
                  <c:v>298000</c:v>
                </c:pt>
                <c:pt idx="9">
                  <c:v>300000</c:v>
                </c:pt>
                <c:pt idx="10">
                  <c:v>300000</c:v>
                </c:pt>
                <c:pt idx="11">
                  <c:v>305000</c:v>
                </c:pt>
                <c:pt idx="12">
                  <c:v>308000</c:v>
                </c:pt>
                <c:pt idx="13">
                  <c:v>310000</c:v>
                </c:pt>
                <c:pt idx="14">
                  <c:v>312000</c:v>
                </c:pt>
                <c:pt idx="15">
                  <c:v>314825</c:v>
                </c:pt>
                <c:pt idx="16">
                  <c:v>320860</c:v>
                </c:pt>
                <c:pt idx="17">
                  <c:v>322771</c:v>
                </c:pt>
              </c:numCache>
            </c:numRef>
          </c:yVal>
          <c:smooth val="0"/>
          <c:extLst>
            <c:ext xmlns:c16="http://schemas.microsoft.com/office/drawing/2014/chart" uri="{C3380CC4-5D6E-409C-BE32-E72D297353CC}">
              <c16:uniqueId val="{00000000-51DF-437A-97AF-C878917997C7}"/>
            </c:ext>
          </c:extLst>
        </c:ser>
        <c:dLbls>
          <c:showLegendKey val="0"/>
          <c:showVal val="0"/>
          <c:showCatName val="0"/>
          <c:showSerName val="0"/>
          <c:showPercent val="0"/>
          <c:showBubbleSize val="0"/>
        </c:dLbls>
        <c:axId val="346632111"/>
        <c:axId val="346647087"/>
      </c:scatterChart>
      <c:valAx>
        <c:axId val="3466321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Wealth (GVA/capita)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647087"/>
        <c:crosses val="autoZero"/>
        <c:crossBetween val="midCat"/>
      </c:valAx>
      <c:valAx>
        <c:axId val="346647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Horse population (head)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63211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Relationships!$A$51:$B$51</c:f>
              <c:strCache>
                <c:ptCount val="2"/>
                <c:pt idx="0">
                  <c:v>Milk consumption</c:v>
                </c:pt>
                <c:pt idx="1">
                  <c:v>t/capita</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2.5622265966754154E-2"/>
                  <c:y val="0.1311563137941090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Relationships!$E$50:$AG$50</c:f>
              <c:numCache>
                <c:formatCode>General</c:formatCode>
                <c:ptCount val="29"/>
                <c:pt idx="0">
                  <c:v>7.3995172186341224E-6</c:v>
                </c:pt>
                <c:pt idx="1">
                  <c:v>8.3160321270873128E-6</c:v>
                </c:pt>
                <c:pt idx="2">
                  <c:v>9.1809688444329608E-6</c:v>
                </c:pt>
                <c:pt idx="3">
                  <c:v>1.0183063676790614E-5</c:v>
                </c:pt>
                <c:pt idx="4">
                  <c:v>1.1198558803003417E-5</c:v>
                </c:pt>
                <c:pt idx="5">
                  <c:v>1.2456004786976505E-5</c:v>
                </c:pt>
                <c:pt idx="6">
                  <c:v>1.5023575074943164E-5</c:v>
                </c:pt>
                <c:pt idx="7">
                  <c:v>1.4993976964585091E-5</c:v>
                </c:pt>
                <c:pt idx="8">
                  <c:v>1.5889974557177216E-5</c:v>
                </c:pt>
                <c:pt idx="9">
                  <c:v>1.7139534783540361E-5</c:v>
                </c:pt>
                <c:pt idx="10">
                  <c:v>1.9178073296508686E-5</c:v>
                </c:pt>
                <c:pt idx="11">
                  <c:v>2.0941920561623974E-5</c:v>
                </c:pt>
                <c:pt idx="12">
                  <c:v>2.4092156096673536E-5</c:v>
                </c:pt>
                <c:pt idx="13">
                  <c:v>2.5864721644610491E-5</c:v>
                </c:pt>
                <c:pt idx="14">
                  <c:v>2.816463639110616E-5</c:v>
                </c:pt>
                <c:pt idx="15">
                  <c:v>3.0685475313895917E-5</c:v>
                </c:pt>
                <c:pt idx="16">
                  <c:v>3.3867608215633009E-5</c:v>
                </c:pt>
                <c:pt idx="17">
                  <c:v>3.8369935813406575E-5</c:v>
                </c:pt>
                <c:pt idx="18">
                  <c:v>4.2933160137438985E-5</c:v>
                </c:pt>
                <c:pt idx="19">
                  <c:v>4.5112536477249022E-5</c:v>
                </c:pt>
                <c:pt idx="20">
                  <c:v>4.8711594853611398E-5</c:v>
                </c:pt>
                <c:pt idx="21">
                  <c:v>5.2388104554380752E-5</c:v>
                </c:pt>
                <c:pt idx="22">
                  <c:v>7.2008674666107316E-5</c:v>
                </c:pt>
                <c:pt idx="23">
                  <c:v>7.3128862350936422E-5</c:v>
                </c:pt>
                <c:pt idx="24">
                  <c:v>7.3832053087208803E-5</c:v>
                </c:pt>
                <c:pt idx="25">
                  <c:v>7.4099569652362116E-5</c:v>
                </c:pt>
                <c:pt idx="26">
                  <c:v>7.3966728660027013E-5</c:v>
                </c:pt>
                <c:pt idx="27">
                  <c:v>7.4125058503467776E-5</c:v>
                </c:pt>
                <c:pt idx="28">
                  <c:v>7.4164408302538267E-5</c:v>
                </c:pt>
              </c:numCache>
            </c:numRef>
          </c:xVal>
          <c:yVal>
            <c:numRef>
              <c:f>Relationships!$E$51:$AG$51</c:f>
              <c:numCache>
                <c:formatCode>General</c:formatCode>
                <c:ptCount val="29"/>
                <c:pt idx="0">
                  <c:v>3.1711517903189872E-2</c:v>
                </c:pt>
                <c:pt idx="1">
                  <c:v>3.0568189199328188E-2</c:v>
                </c:pt>
                <c:pt idx="2">
                  <c:v>3.035740517829584E-2</c:v>
                </c:pt>
                <c:pt idx="3">
                  <c:v>2.7552275522755229E-2</c:v>
                </c:pt>
                <c:pt idx="4">
                  <c:v>2.6821773432486134E-2</c:v>
                </c:pt>
                <c:pt idx="5">
                  <c:v>3.3714841176550943E-2</c:v>
                </c:pt>
                <c:pt idx="6">
                  <c:v>3.5202755918886504E-2</c:v>
                </c:pt>
                <c:pt idx="7">
                  <c:v>3.654554057053986E-2</c:v>
                </c:pt>
                <c:pt idx="8">
                  <c:v>3.6811282200142577E-2</c:v>
                </c:pt>
                <c:pt idx="9">
                  <c:v>3.6221307497632478E-2</c:v>
                </c:pt>
                <c:pt idx="10">
                  <c:v>2.855382355711792E-2</c:v>
                </c:pt>
                <c:pt idx="11">
                  <c:v>3.4561245753190924E-2</c:v>
                </c:pt>
                <c:pt idx="12">
                  <c:v>3.4907218411908775E-2</c:v>
                </c:pt>
                <c:pt idx="13">
                  <c:v>3.2706042287200317E-2</c:v>
                </c:pt>
                <c:pt idx="14">
                  <c:v>3.4382420052943855E-2</c:v>
                </c:pt>
                <c:pt idx="15">
                  <c:v>3.8324498057156799E-2</c:v>
                </c:pt>
                <c:pt idx="16">
                  <c:v>3.4997297041404404E-2</c:v>
                </c:pt>
                <c:pt idx="17">
                  <c:v>3.6624772527894527E-2</c:v>
                </c:pt>
                <c:pt idx="18">
                  <c:v>3.6541167743626687E-2</c:v>
                </c:pt>
                <c:pt idx="19">
                  <c:v>3.5422065700364075E-2</c:v>
                </c:pt>
                <c:pt idx="20">
                  <c:v>3.6472290704306486E-2</c:v>
                </c:pt>
                <c:pt idx="21">
                  <c:v>3.5612527394917472E-2</c:v>
                </c:pt>
                <c:pt idx="22">
                  <c:v>3.612886454695606E-2</c:v>
                </c:pt>
                <c:pt idx="23">
                  <c:v>3.6084010283265432E-2</c:v>
                </c:pt>
                <c:pt idx="24">
                  <c:v>3.6592592592592593E-2</c:v>
                </c:pt>
                <c:pt idx="25">
                  <c:v>3.8924283294934525E-2</c:v>
                </c:pt>
                <c:pt idx="26">
                  <c:v>3.863705968416687E-2</c:v>
                </c:pt>
                <c:pt idx="27">
                  <c:v>3.9723268224488482E-2</c:v>
                </c:pt>
                <c:pt idx="28">
                  <c:v>4.0146995636002679E-2</c:v>
                </c:pt>
              </c:numCache>
            </c:numRef>
          </c:yVal>
          <c:smooth val="0"/>
          <c:extLst>
            <c:ext xmlns:c16="http://schemas.microsoft.com/office/drawing/2014/chart" uri="{C3380CC4-5D6E-409C-BE32-E72D297353CC}">
              <c16:uniqueId val="{00000000-11EA-4BF3-A6B8-A0F8F53128A9}"/>
            </c:ext>
          </c:extLst>
        </c:ser>
        <c:dLbls>
          <c:showLegendKey val="0"/>
          <c:showVal val="0"/>
          <c:showCatName val="0"/>
          <c:showSerName val="0"/>
          <c:showPercent val="0"/>
          <c:showBubbleSize val="0"/>
        </c:dLbls>
        <c:axId val="1449824143"/>
        <c:axId val="1449836207"/>
      </c:scatterChart>
      <c:valAx>
        <c:axId val="14498241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Wealth (GVA/capita)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836207"/>
        <c:crosses val="autoZero"/>
        <c:crossBetween val="midCat"/>
      </c:valAx>
      <c:valAx>
        <c:axId val="1449836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Milk consumption (t/capita)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82414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Relationships!$A$115:$C$115</c:f>
              <c:strCache>
                <c:ptCount val="3"/>
                <c:pt idx="0">
                  <c:v>Chevon production</c:v>
                </c:pt>
                <c:pt idx="1">
                  <c:v>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5.0952974628171478E-2"/>
                  <c:y val="-2.959536307961504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Relationships!$O$114:$AF$114</c:f>
              <c:numCache>
                <c:formatCode>0</c:formatCode>
                <c:ptCount val="18"/>
                <c:pt idx="0">
                  <c:v>9780</c:v>
                </c:pt>
                <c:pt idx="1">
                  <c:v>9540</c:v>
                </c:pt>
                <c:pt idx="2">
                  <c:v>8760</c:v>
                </c:pt>
                <c:pt idx="3">
                  <c:v>8760</c:v>
                </c:pt>
                <c:pt idx="4">
                  <c:v>9180</c:v>
                </c:pt>
                <c:pt idx="5">
                  <c:v>10080</c:v>
                </c:pt>
                <c:pt idx="6">
                  <c:v>10560</c:v>
                </c:pt>
                <c:pt idx="7">
                  <c:v>12180</c:v>
                </c:pt>
                <c:pt idx="8">
                  <c:v>11340</c:v>
                </c:pt>
                <c:pt idx="9">
                  <c:v>10800</c:v>
                </c:pt>
                <c:pt idx="10">
                  <c:v>10440</c:v>
                </c:pt>
                <c:pt idx="11">
                  <c:v>9300</c:v>
                </c:pt>
                <c:pt idx="12">
                  <c:v>9420</c:v>
                </c:pt>
                <c:pt idx="13">
                  <c:v>10260</c:v>
                </c:pt>
                <c:pt idx="14">
                  <c:v>11280</c:v>
                </c:pt>
                <c:pt idx="15">
                  <c:v>11580</c:v>
                </c:pt>
                <c:pt idx="16">
                  <c:v>11460</c:v>
                </c:pt>
                <c:pt idx="17">
                  <c:v>11160</c:v>
                </c:pt>
              </c:numCache>
            </c:numRef>
          </c:xVal>
          <c:yVal>
            <c:numRef>
              <c:f>Relationships!$O$115:$AF$115</c:f>
              <c:numCache>
                <c:formatCode>0</c:formatCode>
                <c:ptCount val="18"/>
                <c:pt idx="0">
                  <c:v>9780</c:v>
                </c:pt>
                <c:pt idx="1">
                  <c:v>9540</c:v>
                </c:pt>
                <c:pt idx="2">
                  <c:v>8760</c:v>
                </c:pt>
                <c:pt idx="3">
                  <c:v>8760</c:v>
                </c:pt>
                <c:pt idx="4">
                  <c:v>9180</c:v>
                </c:pt>
                <c:pt idx="5">
                  <c:v>10080</c:v>
                </c:pt>
                <c:pt idx="6">
                  <c:v>10560</c:v>
                </c:pt>
                <c:pt idx="7">
                  <c:v>12180</c:v>
                </c:pt>
                <c:pt idx="8">
                  <c:v>11340</c:v>
                </c:pt>
                <c:pt idx="9">
                  <c:v>10800</c:v>
                </c:pt>
                <c:pt idx="10">
                  <c:v>10440</c:v>
                </c:pt>
                <c:pt idx="11">
                  <c:v>9300</c:v>
                </c:pt>
                <c:pt idx="12">
                  <c:v>9420</c:v>
                </c:pt>
                <c:pt idx="13">
                  <c:v>10260</c:v>
                </c:pt>
                <c:pt idx="14">
                  <c:v>11280</c:v>
                </c:pt>
                <c:pt idx="15">
                  <c:v>11580</c:v>
                </c:pt>
                <c:pt idx="16">
                  <c:v>11460</c:v>
                </c:pt>
                <c:pt idx="17">
                  <c:v>11160</c:v>
                </c:pt>
              </c:numCache>
            </c:numRef>
          </c:yVal>
          <c:smooth val="0"/>
          <c:extLst>
            <c:ext xmlns:c16="http://schemas.microsoft.com/office/drawing/2014/chart" uri="{C3380CC4-5D6E-409C-BE32-E72D297353CC}">
              <c16:uniqueId val="{00000000-508A-462F-9A5C-21171A235C7C}"/>
            </c:ext>
          </c:extLst>
        </c:ser>
        <c:dLbls>
          <c:showLegendKey val="0"/>
          <c:showVal val="0"/>
          <c:showCatName val="0"/>
          <c:showSerName val="0"/>
          <c:showPercent val="0"/>
          <c:showBubbleSize val="0"/>
        </c:dLbls>
        <c:axId val="1756914576"/>
        <c:axId val="2086522800"/>
      </c:scatterChart>
      <c:valAx>
        <c:axId val="17569145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Chevon consumption (t)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522800"/>
        <c:crosses val="autoZero"/>
        <c:crossBetween val="midCat"/>
      </c:valAx>
      <c:valAx>
        <c:axId val="2086522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Chevon production (t)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9145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Relationships!$A$116:$B$116</c:f>
              <c:strCache>
                <c:ptCount val="2"/>
                <c:pt idx="0">
                  <c:v>Commercial goat population</c:v>
                </c:pt>
                <c:pt idx="1">
                  <c:v>Head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5711198600174978"/>
                  <c:y val="7.382145413641476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Relationships!$F$115:$AF$115</c:f>
              <c:numCache>
                <c:formatCode>0</c:formatCode>
                <c:ptCount val="27"/>
                <c:pt idx="0">
                  <c:v>12360</c:v>
                </c:pt>
                <c:pt idx="1">
                  <c:v>11940</c:v>
                </c:pt>
                <c:pt idx="2">
                  <c:v>11340</c:v>
                </c:pt>
                <c:pt idx="3">
                  <c:v>9360</c:v>
                </c:pt>
                <c:pt idx="4">
                  <c:v>7080</c:v>
                </c:pt>
                <c:pt idx="5">
                  <c:v>8580</c:v>
                </c:pt>
                <c:pt idx="6">
                  <c:v>8520</c:v>
                </c:pt>
                <c:pt idx="7">
                  <c:v>8700</c:v>
                </c:pt>
                <c:pt idx="8">
                  <c:v>9240</c:v>
                </c:pt>
                <c:pt idx="9">
                  <c:v>9780</c:v>
                </c:pt>
                <c:pt idx="10">
                  <c:v>9540</c:v>
                </c:pt>
                <c:pt idx="11">
                  <c:v>8760</c:v>
                </c:pt>
                <c:pt idx="12">
                  <c:v>8760</c:v>
                </c:pt>
                <c:pt idx="13">
                  <c:v>9180</c:v>
                </c:pt>
                <c:pt idx="14">
                  <c:v>10080</c:v>
                </c:pt>
                <c:pt idx="15">
                  <c:v>10560</c:v>
                </c:pt>
                <c:pt idx="16">
                  <c:v>12180</c:v>
                </c:pt>
                <c:pt idx="17">
                  <c:v>11340</c:v>
                </c:pt>
                <c:pt idx="18">
                  <c:v>10800</c:v>
                </c:pt>
                <c:pt idx="19">
                  <c:v>10440</c:v>
                </c:pt>
                <c:pt idx="20">
                  <c:v>9300</c:v>
                </c:pt>
                <c:pt idx="21">
                  <c:v>9420</c:v>
                </c:pt>
                <c:pt idx="22">
                  <c:v>10260</c:v>
                </c:pt>
                <c:pt idx="23">
                  <c:v>11280</c:v>
                </c:pt>
                <c:pt idx="24">
                  <c:v>11580</c:v>
                </c:pt>
                <c:pt idx="25">
                  <c:v>11460</c:v>
                </c:pt>
                <c:pt idx="26">
                  <c:v>11160</c:v>
                </c:pt>
              </c:numCache>
            </c:numRef>
          </c:xVal>
          <c:yVal>
            <c:numRef>
              <c:f>Relationships!$F$116:$AF$116</c:f>
              <c:numCache>
                <c:formatCode>General</c:formatCode>
                <c:ptCount val="27"/>
                <c:pt idx="0">
                  <c:v>2453000</c:v>
                </c:pt>
                <c:pt idx="1">
                  <c:v>2285000</c:v>
                </c:pt>
                <c:pt idx="2">
                  <c:v>2159000</c:v>
                </c:pt>
                <c:pt idx="3">
                  <c:v>2337000</c:v>
                </c:pt>
                <c:pt idx="4">
                  <c:v>2369000</c:v>
                </c:pt>
                <c:pt idx="5">
                  <c:v>2406000</c:v>
                </c:pt>
                <c:pt idx="6">
                  <c:v>2394000</c:v>
                </c:pt>
                <c:pt idx="7">
                  <c:v>2360000</c:v>
                </c:pt>
                <c:pt idx="8">
                  <c:v>2325000</c:v>
                </c:pt>
                <c:pt idx="9">
                  <c:v>2355000</c:v>
                </c:pt>
                <c:pt idx="10">
                  <c:v>2427000</c:v>
                </c:pt>
                <c:pt idx="11">
                  <c:v>2216000</c:v>
                </c:pt>
                <c:pt idx="12">
                  <c:v>2160000</c:v>
                </c:pt>
                <c:pt idx="13">
                  <c:v>2164000</c:v>
                </c:pt>
                <c:pt idx="14">
                  <c:v>2136000</c:v>
                </c:pt>
                <c:pt idx="15">
                  <c:v>2181000</c:v>
                </c:pt>
                <c:pt idx="16">
                  <c:v>2116000</c:v>
                </c:pt>
                <c:pt idx="17">
                  <c:v>2114000</c:v>
                </c:pt>
                <c:pt idx="18">
                  <c:v>2077000</c:v>
                </c:pt>
                <c:pt idx="19">
                  <c:v>2052000</c:v>
                </c:pt>
                <c:pt idx="20">
                  <c:v>2033000</c:v>
                </c:pt>
                <c:pt idx="21">
                  <c:v>2028000</c:v>
                </c:pt>
                <c:pt idx="22">
                  <c:v>2005000</c:v>
                </c:pt>
                <c:pt idx="23">
                  <c:v>1987000</c:v>
                </c:pt>
                <c:pt idx="24">
                  <c:v>1960000</c:v>
                </c:pt>
                <c:pt idx="25">
                  <c:v>1901000</c:v>
                </c:pt>
                <c:pt idx="26">
                  <c:v>1843000</c:v>
                </c:pt>
              </c:numCache>
            </c:numRef>
          </c:yVal>
          <c:smooth val="0"/>
          <c:extLst>
            <c:ext xmlns:c16="http://schemas.microsoft.com/office/drawing/2014/chart" uri="{C3380CC4-5D6E-409C-BE32-E72D297353CC}">
              <c16:uniqueId val="{00000000-3D4D-42BC-8F3A-82C62B57D20A}"/>
            </c:ext>
          </c:extLst>
        </c:ser>
        <c:dLbls>
          <c:showLegendKey val="0"/>
          <c:showVal val="0"/>
          <c:showCatName val="0"/>
          <c:showSerName val="0"/>
          <c:showPercent val="0"/>
          <c:showBubbleSize val="0"/>
        </c:dLbls>
        <c:axId val="1611362144"/>
        <c:axId val="1611364224"/>
      </c:scatterChart>
      <c:valAx>
        <c:axId val="16113621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Chevon production (t)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364224"/>
        <c:crosses val="autoZero"/>
        <c:crossBetween val="midCat"/>
      </c:valAx>
      <c:valAx>
        <c:axId val="1611364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Commercial goat population (head)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3621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Relationships!$A$263:$B$263</c:f>
              <c:strCache>
                <c:ptCount val="2"/>
                <c:pt idx="0">
                  <c:v>Maize consumption</c:v>
                </c:pt>
                <c:pt idx="1">
                  <c:v>t/capita</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4.1447944006999123E-4"/>
                  <c:y val="0.1519258530183726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Relationships!$E$262:$AG$262</c:f>
              <c:numCache>
                <c:formatCode>General</c:formatCode>
                <c:ptCount val="29"/>
                <c:pt idx="0">
                  <c:v>7.3995172186341224E-6</c:v>
                </c:pt>
                <c:pt idx="1">
                  <c:v>8.3160321270873128E-6</c:v>
                </c:pt>
                <c:pt idx="2">
                  <c:v>9.1809688444329608E-6</c:v>
                </c:pt>
                <c:pt idx="3">
                  <c:v>1.0183063676790614E-5</c:v>
                </c:pt>
                <c:pt idx="4">
                  <c:v>1.1198558803003417E-5</c:v>
                </c:pt>
                <c:pt idx="5">
                  <c:v>1.2456004786976505E-5</c:v>
                </c:pt>
                <c:pt idx="6">
                  <c:v>1.5023575074943164E-5</c:v>
                </c:pt>
                <c:pt idx="7">
                  <c:v>1.4993976964585091E-5</c:v>
                </c:pt>
                <c:pt idx="8">
                  <c:v>1.5889974557177216E-5</c:v>
                </c:pt>
                <c:pt idx="9">
                  <c:v>1.7139534783540361E-5</c:v>
                </c:pt>
                <c:pt idx="10">
                  <c:v>1.9178073296508686E-5</c:v>
                </c:pt>
                <c:pt idx="11">
                  <c:v>2.0941920561623974E-5</c:v>
                </c:pt>
                <c:pt idx="12">
                  <c:v>2.4092156096673536E-5</c:v>
                </c:pt>
                <c:pt idx="13">
                  <c:v>2.5864721644610491E-5</c:v>
                </c:pt>
                <c:pt idx="14">
                  <c:v>2.816463639110616E-5</c:v>
                </c:pt>
                <c:pt idx="15">
                  <c:v>3.0685475313895917E-5</c:v>
                </c:pt>
                <c:pt idx="16">
                  <c:v>3.3867608215633009E-5</c:v>
                </c:pt>
                <c:pt idx="17">
                  <c:v>3.8369935813406575E-5</c:v>
                </c:pt>
                <c:pt idx="18">
                  <c:v>4.2933160137438985E-5</c:v>
                </c:pt>
                <c:pt idx="19">
                  <c:v>4.5112536477249022E-5</c:v>
                </c:pt>
                <c:pt idx="20">
                  <c:v>4.8711594853611398E-5</c:v>
                </c:pt>
                <c:pt idx="21">
                  <c:v>5.2388104554380752E-5</c:v>
                </c:pt>
                <c:pt idx="22">
                  <c:v>7.2008674666107316E-5</c:v>
                </c:pt>
                <c:pt idx="23">
                  <c:v>7.3128862350936422E-5</c:v>
                </c:pt>
                <c:pt idx="24">
                  <c:v>7.3832053087208803E-5</c:v>
                </c:pt>
                <c:pt idx="25">
                  <c:v>7.4099569652362116E-5</c:v>
                </c:pt>
                <c:pt idx="26">
                  <c:v>7.3966728660027013E-5</c:v>
                </c:pt>
                <c:pt idx="27">
                  <c:v>7.4125058503467776E-5</c:v>
                </c:pt>
                <c:pt idx="28">
                  <c:v>7.4164408302538267E-5</c:v>
                </c:pt>
              </c:numCache>
            </c:numRef>
          </c:xVal>
          <c:yVal>
            <c:numRef>
              <c:f>Relationships!$E$263:$AG$263</c:f>
              <c:numCache>
                <c:formatCode>General</c:formatCode>
                <c:ptCount val="29"/>
                <c:pt idx="0">
                  <c:v>6.3939333013029787E-2</c:v>
                </c:pt>
                <c:pt idx="1">
                  <c:v>6.7181085369555624E-2</c:v>
                </c:pt>
                <c:pt idx="2">
                  <c:v>6.6377733469067654E-2</c:v>
                </c:pt>
                <c:pt idx="3">
                  <c:v>6.9208692086920875E-2</c:v>
                </c:pt>
                <c:pt idx="4">
                  <c:v>7.1935601908083208E-2</c:v>
                </c:pt>
                <c:pt idx="5">
                  <c:v>6.1299711230092618E-2</c:v>
                </c:pt>
                <c:pt idx="6">
                  <c:v>6.6452007978691607E-2</c:v>
                </c:pt>
                <c:pt idx="7">
                  <c:v>6.7740683731007043E-2</c:v>
                </c:pt>
                <c:pt idx="8">
                  <c:v>7.7422734080150615E-2</c:v>
                </c:pt>
                <c:pt idx="9">
                  <c:v>7.6254197166560025E-2</c:v>
                </c:pt>
                <c:pt idx="10">
                  <c:v>7.6188005846328663E-2</c:v>
                </c:pt>
                <c:pt idx="11">
                  <c:v>7.8755753021080774E-2</c:v>
                </c:pt>
                <c:pt idx="12">
                  <c:v>8.4007005451874811E-2</c:v>
                </c:pt>
                <c:pt idx="13">
                  <c:v>7.9367804189096058E-2</c:v>
                </c:pt>
                <c:pt idx="14">
                  <c:v>7.8491724007704544E-2</c:v>
                </c:pt>
                <c:pt idx="15">
                  <c:v>7.8110966067447649E-2</c:v>
                </c:pt>
                <c:pt idx="16">
                  <c:v>7.8883123855846685E-2</c:v>
                </c:pt>
                <c:pt idx="17">
                  <c:v>7.7687677580014186E-2</c:v>
                </c:pt>
                <c:pt idx="18">
                  <c:v>7.6517486495587705E-2</c:v>
                </c:pt>
                <c:pt idx="19">
                  <c:v>8.9624958181458089E-2</c:v>
                </c:pt>
                <c:pt idx="20">
                  <c:v>8.7295295363465905E-2</c:v>
                </c:pt>
                <c:pt idx="21">
                  <c:v>8.6781498992042405E-2</c:v>
                </c:pt>
                <c:pt idx="22">
                  <c:v>8.5080081855879827E-2</c:v>
                </c:pt>
                <c:pt idx="23">
                  <c:v>8.407144601989186E-2</c:v>
                </c:pt>
                <c:pt idx="24">
                  <c:v>8.4851851851851845E-2</c:v>
                </c:pt>
                <c:pt idx="25">
                  <c:v>8.8822975552797306E-2</c:v>
                </c:pt>
                <c:pt idx="26">
                  <c:v>8.5379542049019735E-2</c:v>
                </c:pt>
                <c:pt idx="27">
                  <c:v>8.6556047526762617E-2</c:v>
                </c:pt>
                <c:pt idx="28">
                  <c:v>8.9011522740036125E-2</c:v>
                </c:pt>
              </c:numCache>
            </c:numRef>
          </c:yVal>
          <c:smooth val="0"/>
          <c:extLst>
            <c:ext xmlns:c16="http://schemas.microsoft.com/office/drawing/2014/chart" uri="{C3380CC4-5D6E-409C-BE32-E72D297353CC}">
              <c16:uniqueId val="{00000000-30E9-443F-B675-1D7C9913892E}"/>
            </c:ext>
          </c:extLst>
        </c:ser>
        <c:dLbls>
          <c:showLegendKey val="0"/>
          <c:showVal val="0"/>
          <c:showCatName val="0"/>
          <c:showSerName val="0"/>
          <c:showPercent val="0"/>
          <c:showBubbleSize val="0"/>
        </c:dLbls>
        <c:axId val="655382768"/>
        <c:axId val="655381520"/>
      </c:scatterChart>
      <c:valAx>
        <c:axId val="6553827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Wealth (GVA/capita)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381520"/>
        <c:crosses val="autoZero"/>
        <c:crossBetween val="midCat"/>
      </c:valAx>
      <c:valAx>
        <c:axId val="655381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Maize consumption - human (t/capita)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3827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Relationships!$A$258:$B$258</c:f>
              <c:strCache>
                <c:ptCount val="2"/>
                <c:pt idx="0">
                  <c:v>Maize consumption (total)</c:v>
                </c:pt>
                <c:pt idx="1">
                  <c:v>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1484295713035876"/>
                  <c:y val="-1.0371099445902596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Relationships!$O$257:$AG$257</c:f>
              <c:numCache>
                <c:formatCode>General</c:formatCode>
                <c:ptCount val="19"/>
                <c:pt idx="0">
                  <c:v>3426000</c:v>
                </c:pt>
                <c:pt idx="1">
                  <c:v>3589000</c:v>
                </c:pt>
                <c:pt idx="2">
                  <c:v>3877000</c:v>
                </c:pt>
                <c:pt idx="3">
                  <c:v>3708000</c:v>
                </c:pt>
                <c:pt idx="4">
                  <c:v>3712000</c:v>
                </c:pt>
                <c:pt idx="5">
                  <c:v>3740000</c:v>
                </c:pt>
                <c:pt idx="6">
                  <c:v>3825000</c:v>
                </c:pt>
                <c:pt idx="7">
                  <c:v>3816000</c:v>
                </c:pt>
                <c:pt idx="8">
                  <c:v>3809000</c:v>
                </c:pt>
                <c:pt idx="9">
                  <c:v>4524000</c:v>
                </c:pt>
                <c:pt idx="10">
                  <c:v>4471000</c:v>
                </c:pt>
                <c:pt idx="11">
                  <c:v>4513000</c:v>
                </c:pt>
                <c:pt idx="12">
                  <c:v>4512000</c:v>
                </c:pt>
                <c:pt idx="13">
                  <c:v>4499000</c:v>
                </c:pt>
                <c:pt idx="14">
                  <c:v>4582000</c:v>
                </c:pt>
                <c:pt idx="15">
                  <c:v>4840000</c:v>
                </c:pt>
                <c:pt idx="16">
                  <c:v>4698000</c:v>
                </c:pt>
                <c:pt idx="17">
                  <c:v>4809000</c:v>
                </c:pt>
                <c:pt idx="18">
                  <c:v>4993000</c:v>
                </c:pt>
              </c:numCache>
            </c:numRef>
          </c:xVal>
          <c:yVal>
            <c:numRef>
              <c:f>Relationships!$O$258:$AG$258</c:f>
              <c:numCache>
                <c:formatCode>General</c:formatCode>
                <c:ptCount val="19"/>
                <c:pt idx="0">
                  <c:v>6362000</c:v>
                </c:pt>
                <c:pt idx="1">
                  <c:v>6852000</c:v>
                </c:pt>
                <c:pt idx="2">
                  <c:v>7151000</c:v>
                </c:pt>
                <c:pt idx="3">
                  <c:v>6983000</c:v>
                </c:pt>
                <c:pt idx="4">
                  <c:v>7243000</c:v>
                </c:pt>
                <c:pt idx="5">
                  <c:v>7283000</c:v>
                </c:pt>
                <c:pt idx="6">
                  <c:v>7462000</c:v>
                </c:pt>
                <c:pt idx="7">
                  <c:v>7660000</c:v>
                </c:pt>
                <c:pt idx="8">
                  <c:v>8029000</c:v>
                </c:pt>
                <c:pt idx="9">
                  <c:v>8613000</c:v>
                </c:pt>
                <c:pt idx="10">
                  <c:v>8658000</c:v>
                </c:pt>
                <c:pt idx="11">
                  <c:v>8857000</c:v>
                </c:pt>
                <c:pt idx="12">
                  <c:v>8941000</c:v>
                </c:pt>
                <c:pt idx="13">
                  <c:v>8935000</c:v>
                </c:pt>
                <c:pt idx="14">
                  <c:v>9349000</c:v>
                </c:pt>
                <c:pt idx="15">
                  <c:v>9927000</c:v>
                </c:pt>
                <c:pt idx="16">
                  <c:v>10249000</c:v>
                </c:pt>
                <c:pt idx="17">
                  <c:v>9813000</c:v>
                </c:pt>
                <c:pt idx="18">
                  <c:v>10270000</c:v>
                </c:pt>
              </c:numCache>
            </c:numRef>
          </c:yVal>
          <c:smooth val="0"/>
          <c:extLst>
            <c:ext xmlns:c16="http://schemas.microsoft.com/office/drawing/2014/chart" uri="{C3380CC4-5D6E-409C-BE32-E72D297353CC}">
              <c16:uniqueId val="{00000000-9E9C-4054-95B0-407446BA62F7}"/>
            </c:ext>
          </c:extLst>
        </c:ser>
        <c:dLbls>
          <c:showLegendKey val="0"/>
          <c:showVal val="0"/>
          <c:showCatName val="0"/>
          <c:showSerName val="0"/>
          <c:showPercent val="0"/>
          <c:showBubbleSize val="0"/>
        </c:dLbls>
        <c:axId val="132890560"/>
        <c:axId val="132895552"/>
      </c:scatterChart>
      <c:valAx>
        <c:axId val="1328905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Maize consumption - human (t)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95552"/>
        <c:crosses val="autoZero"/>
        <c:crossBetween val="midCat"/>
      </c:valAx>
      <c:valAx>
        <c:axId val="132895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Maize consumption - total (t)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905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Relationships!$A$260:$B$260</c:f>
              <c:strCache>
                <c:ptCount val="2"/>
                <c:pt idx="0">
                  <c:v>Maize production</c:v>
                </c:pt>
                <c:pt idx="1">
                  <c:v>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7.1598206474190726E-2"/>
                  <c:y val="-8.086358996792067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Relationships!$E$258:$AG$258</c:f>
              <c:numCache>
                <c:formatCode>General</c:formatCode>
                <c:ptCount val="29"/>
                <c:pt idx="0">
                  <c:v>6425000</c:v>
                </c:pt>
                <c:pt idx="1">
                  <c:v>6769000</c:v>
                </c:pt>
                <c:pt idx="2">
                  <c:v>7022000</c:v>
                </c:pt>
                <c:pt idx="3">
                  <c:v>6828000</c:v>
                </c:pt>
                <c:pt idx="4">
                  <c:v>6773000</c:v>
                </c:pt>
                <c:pt idx="5">
                  <c:v>6417000</c:v>
                </c:pt>
                <c:pt idx="6">
                  <c:v>6842000</c:v>
                </c:pt>
                <c:pt idx="7">
                  <c:v>6738000</c:v>
                </c:pt>
                <c:pt idx="8">
                  <c:v>6383000</c:v>
                </c:pt>
                <c:pt idx="9">
                  <c:v>6341000</c:v>
                </c:pt>
                <c:pt idx="10">
                  <c:v>6362000</c:v>
                </c:pt>
                <c:pt idx="11">
                  <c:v>6852000</c:v>
                </c:pt>
                <c:pt idx="12">
                  <c:v>7151000</c:v>
                </c:pt>
                <c:pt idx="13">
                  <c:v>6983000</c:v>
                </c:pt>
                <c:pt idx="14">
                  <c:v>7243000</c:v>
                </c:pt>
                <c:pt idx="15">
                  <c:v>7283000</c:v>
                </c:pt>
                <c:pt idx="16">
                  <c:v>7462000</c:v>
                </c:pt>
                <c:pt idx="17">
                  <c:v>7660000</c:v>
                </c:pt>
                <c:pt idx="18">
                  <c:v>8029000</c:v>
                </c:pt>
                <c:pt idx="19">
                  <c:v>8613000</c:v>
                </c:pt>
                <c:pt idx="20">
                  <c:v>8658000</c:v>
                </c:pt>
                <c:pt idx="21">
                  <c:v>8857000</c:v>
                </c:pt>
                <c:pt idx="22">
                  <c:v>8941000</c:v>
                </c:pt>
                <c:pt idx="23">
                  <c:v>8935000</c:v>
                </c:pt>
                <c:pt idx="24">
                  <c:v>9349000</c:v>
                </c:pt>
                <c:pt idx="25">
                  <c:v>9927000</c:v>
                </c:pt>
                <c:pt idx="26">
                  <c:v>10249000</c:v>
                </c:pt>
                <c:pt idx="27">
                  <c:v>9813000</c:v>
                </c:pt>
                <c:pt idx="28">
                  <c:v>10270000</c:v>
                </c:pt>
              </c:numCache>
            </c:numRef>
          </c:xVal>
          <c:yVal>
            <c:numRef>
              <c:f>Relationships!$E$260:$AG$260</c:f>
              <c:numCache>
                <c:formatCode>General</c:formatCode>
                <c:ptCount val="29"/>
                <c:pt idx="0">
                  <c:v>9180000</c:v>
                </c:pt>
                <c:pt idx="1">
                  <c:v>8614000</c:v>
                </c:pt>
                <c:pt idx="2">
                  <c:v>3277000</c:v>
                </c:pt>
                <c:pt idx="3">
                  <c:v>9997000</c:v>
                </c:pt>
                <c:pt idx="4">
                  <c:v>13275000</c:v>
                </c:pt>
                <c:pt idx="5">
                  <c:v>4866000</c:v>
                </c:pt>
                <c:pt idx="6">
                  <c:v>10171000</c:v>
                </c:pt>
                <c:pt idx="7">
                  <c:v>10136000</c:v>
                </c:pt>
                <c:pt idx="8">
                  <c:v>7693000</c:v>
                </c:pt>
                <c:pt idx="9">
                  <c:v>7946000</c:v>
                </c:pt>
                <c:pt idx="10">
                  <c:v>11455000</c:v>
                </c:pt>
                <c:pt idx="11">
                  <c:v>7772000</c:v>
                </c:pt>
                <c:pt idx="12">
                  <c:v>10076000</c:v>
                </c:pt>
                <c:pt idx="13">
                  <c:v>9705000</c:v>
                </c:pt>
                <c:pt idx="14">
                  <c:v>9737000</c:v>
                </c:pt>
                <c:pt idx="15">
                  <c:v>11749000</c:v>
                </c:pt>
                <c:pt idx="17">
                  <c:v>7339000</c:v>
                </c:pt>
                <c:pt idx="18">
                  <c:v>13164000</c:v>
                </c:pt>
                <c:pt idx="19">
                  <c:v>12567000</c:v>
                </c:pt>
                <c:pt idx="20">
                  <c:v>13421000</c:v>
                </c:pt>
                <c:pt idx="21">
                  <c:v>10924000</c:v>
                </c:pt>
                <c:pt idx="22">
                  <c:v>12759000</c:v>
                </c:pt>
                <c:pt idx="23">
                  <c:v>12486000</c:v>
                </c:pt>
                <c:pt idx="24">
                  <c:v>14925000</c:v>
                </c:pt>
                <c:pt idx="25">
                  <c:v>10629000</c:v>
                </c:pt>
                <c:pt idx="28">
                  <c:v>13104000</c:v>
                </c:pt>
              </c:numCache>
            </c:numRef>
          </c:yVal>
          <c:smooth val="0"/>
          <c:extLst>
            <c:ext xmlns:c16="http://schemas.microsoft.com/office/drawing/2014/chart" uri="{C3380CC4-5D6E-409C-BE32-E72D297353CC}">
              <c16:uniqueId val="{00000000-FF46-40D3-9804-C6AB4CFCDA4C}"/>
            </c:ext>
          </c:extLst>
        </c:ser>
        <c:dLbls>
          <c:showLegendKey val="0"/>
          <c:showVal val="0"/>
          <c:showCatName val="0"/>
          <c:showSerName val="0"/>
          <c:showPercent val="0"/>
          <c:showBubbleSize val="0"/>
        </c:dLbls>
        <c:axId val="332952528"/>
        <c:axId val="332976240"/>
      </c:scatterChart>
      <c:valAx>
        <c:axId val="3329525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Maize consumption - total (t)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976240"/>
        <c:crosses val="autoZero"/>
        <c:crossBetween val="midCat"/>
      </c:valAx>
      <c:valAx>
        <c:axId val="332976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Maize production (t)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9525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Relationships!$A$261:$B$261</c:f>
              <c:strCache>
                <c:ptCount val="2"/>
                <c:pt idx="0">
                  <c:v>Maize area</c:v>
                </c:pt>
                <c:pt idx="1">
                  <c:v>ha</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5.1651793525809273E-2"/>
                  <c:y val="0.1750947798191892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Relationships!$O$260:$AG$260</c:f>
              <c:numCache>
                <c:formatCode>General</c:formatCode>
                <c:ptCount val="19"/>
                <c:pt idx="0">
                  <c:v>11455000</c:v>
                </c:pt>
                <c:pt idx="1">
                  <c:v>7772000</c:v>
                </c:pt>
                <c:pt idx="2">
                  <c:v>10076000</c:v>
                </c:pt>
                <c:pt idx="3">
                  <c:v>9705000</c:v>
                </c:pt>
                <c:pt idx="4">
                  <c:v>9737000</c:v>
                </c:pt>
                <c:pt idx="5">
                  <c:v>11749000</c:v>
                </c:pt>
                <c:pt idx="7">
                  <c:v>7339000</c:v>
                </c:pt>
                <c:pt idx="8">
                  <c:v>13164000</c:v>
                </c:pt>
                <c:pt idx="9">
                  <c:v>12567000</c:v>
                </c:pt>
                <c:pt idx="10">
                  <c:v>13421000</c:v>
                </c:pt>
                <c:pt idx="11">
                  <c:v>10924000</c:v>
                </c:pt>
                <c:pt idx="12">
                  <c:v>12759000</c:v>
                </c:pt>
                <c:pt idx="13">
                  <c:v>12486000</c:v>
                </c:pt>
                <c:pt idx="14">
                  <c:v>14925000</c:v>
                </c:pt>
                <c:pt idx="15">
                  <c:v>10629000</c:v>
                </c:pt>
                <c:pt idx="18">
                  <c:v>13104000</c:v>
                </c:pt>
              </c:numCache>
            </c:numRef>
          </c:xVal>
          <c:yVal>
            <c:numRef>
              <c:f>Relationships!$O$261:$AG$261</c:f>
              <c:numCache>
                <c:formatCode>#,##0</c:formatCode>
                <c:ptCount val="19"/>
                <c:pt idx="0">
                  <c:v>4013000</c:v>
                </c:pt>
                <c:pt idx="1">
                  <c:v>3189000</c:v>
                </c:pt>
                <c:pt idx="2">
                  <c:v>3533000</c:v>
                </c:pt>
                <c:pt idx="3">
                  <c:v>3651000</c:v>
                </c:pt>
                <c:pt idx="4">
                  <c:v>3204000</c:v>
                </c:pt>
                <c:pt idx="5">
                  <c:v>3223000</c:v>
                </c:pt>
                <c:pt idx="6">
                  <c:v>2032000</c:v>
                </c:pt>
                <c:pt idx="7">
                  <c:v>2897000</c:v>
                </c:pt>
                <c:pt idx="8">
                  <c:v>3297000</c:v>
                </c:pt>
                <c:pt idx="9">
                  <c:v>2896000</c:v>
                </c:pt>
                <c:pt idx="10">
                  <c:v>3263000</c:v>
                </c:pt>
                <c:pt idx="11">
                  <c:v>2859000</c:v>
                </c:pt>
                <c:pt idx="12">
                  <c:v>3141000</c:v>
                </c:pt>
                <c:pt idx="13">
                  <c:v>3238000</c:v>
                </c:pt>
                <c:pt idx="14">
                  <c:v>3096000</c:v>
                </c:pt>
                <c:pt idx="15">
                  <c:v>3048000</c:v>
                </c:pt>
                <c:pt idx="16">
                  <c:v>2213000</c:v>
                </c:pt>
                <c:pt idx="17">
                  <c:v>2995000</c:v>
                </c:pt>
                <c:pt idx="18">
                  <c:v>2634000</c:v>
                </c:pt>
              </c:numCache>
            </c:numRef>
          </c:yVal>
          <c:smooth val="0"/>
          <c:extLst>
            <c:ext xmlns:c16="http://schemas.microsoft.com/office/drawing/2014/chart" uri="{C3380CC4-5D6E-409C-BE32-E72D297353CC}">
              <c16:uniqueId val="{00000000-DF7E-485F-9430-9CB5A7889615}"/>
            </c:ext>
          </c:extLst>
        </c:ser>
        <c:dLbls>
          <c:showLegendKey val="0"/>
          <c:showVal val="0"/>
          <c:showCatName val="0"/>
          <c:showSerName val="0"/>
          <c:showPercent val="0"/>
          <c:showBubbleSize val="0"/>
        </c:dLbls>
        <c:axId val="272457104"/>
        <c:axId val="272453776"/>
      </c:scatterChart>
      <c:valAx>
        <c:axId val="2724571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Maize production (t)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453776"/>
        <c:crosses val="autoZero"/>
        <c:crossBetween val="midCat"/>
      </c:valAx>
      <c:valAx>
        <c:axId val="272453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Maize planted area (ha)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4571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Relationships!$A$360:$B$360</c:f>
              <c:strCache>
                <c:ptCount val="2"/>
                <c:pt idx="0">
                  <c:v>Lime consumption</c:v>
                </c:pt>
                <c:pt idx="1">
                  <c:v>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5315048118985128"/>
                  <c:y val="0.1135903324584426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Relationships!$E$359:$AF$359</c:f>
              <c:numCache>
                <c:formatCode>#,##0</c:formatCode>
                <c:ptCount val="28"/>
                <c:pt idx="0">
                  <c:v>4163000</c:v>
                </c:pt>
                <c:pt idx="1">
                  <c:v>3816000</c:v>
                </c:pt>
                <c:pt idx="2">
                  <c:v>4173000</c:v>
                </c:pt>
                <c:pt idx="3">
                  <c:v>4377000</c:v>
                </c:pt>
                <c:pt idx="5">
                  <c:v>3526000</c:v>
                </c:pt>
                <c:pt idx="6">
                  <c:v>3761000</c:v>
                </c:pt>
                <c:pt idx="7">
                  <c:v>4023000</c:v>
                </c:pt>
                <c:pt idx="8">
                  <c:v>3560000</c:v>
                </c:pt>
                <c:pt idx="9">
                  <c:v>3567000</c:v>
                </c:pt>
                <c:pt idx="10">
                  <c:v>4013000</c:v>
                </c:pt>
                <c:pt idx="11">
                  <c:v>3189000</c:v>
                </c:pt>
                <c:pt idx="12">
                  <c:v>3533000</c:v>
                </c:pt>
                <c:pt idx="13">
                  <c:v>3651000</c:v>
                </c:pt>
                <c:pt idx="14">
                  <c:v>3204000</c:v>
                </c:pt>
                <c:pt idx="17">
                  <c:v>2897000</c:v>
                </c:pt>
                <c:pt idx="18">
                  <c:v>3297000</c:v>
                </c:pt>
                <c:pt idx="19">
                  <c:v>2896000</c:v>
                </c:pt>
                <c:pt idx="20">
                  <c:v>3263000</c:v>
                </c:pt>
                <c:pt idx="21">
                  <c:v>2859000</c:v>
                </c:pt>
                <c:pt idx="22">
                  <c:v>3141000</c:v>
                </c:pt>
                <c:pt idx="23">
                  <c:v>3238000</c:v>
                </c:pt>
                <c:pt idx="24">
                  <c:v>3096000</c:v>
                </c:pt>
                <c:pt idx="25">
                  <c:v>3048000</c:v>
                </c:pt>
                <c:pt idx="26">
                  <c:v>2213000</c:v>
                </c:pt>
                <c:pt idx="27">
                  <c:v>2995000</c:v>
                </c:pt>
              </c:numCache>
            </c:numRef>
          </c:xVal>
          <c:yVal>
            <c:numRef>
              <c:f>Relationships!$E$360:$AF$360</c:f>
              <c:numCache>
                <c:formatCode>General</c:formatCode>
                <c:ptCount val="28"/>
                <c:pt idx="0">
                  <c:v>780000</c:v>
                </c:pt>
                <c:pt idx="1">
                  <c:v>825000</c:v>
                </c:pt>
                <c:pt idx="2">
                  <c:v>570000</c:v>
                </c:pt>
                <c:pt idx="3">
                  <c:v>900000</c:v>
                </c:pt>
                <c:pt idx="4">
                  <c:v>1299451</c:v>
                </c:pt>
                <c:pt idx="5">
                  <c:v>1032745</c:v>
                </c:pt>
                <c:pt idx="6">
                  <c:v>1263570</c:v>
                </c:pt>
                <c:pt idx="7">
                  <c:v>1193985</c:v>
                </c:pt>
                <c:pt idx="8">
                  <c:v>1244321</c:v>
                </c:pt>
                <c:pt idx="9">
                  <c:v>1237174</c:v>
                </c:pt>
                <c:pt idx="10">
                  <c:v>825252</c:v>
                </c:pt>
                <c:pt idx="11">
                  <c:v>1068357</c:v>
                </c:pt>
                <c:pt idx="12">
                  <c:v>1467915</c:v>
                </c:pt>
                <c:pt idx="13">
                  <c:v>1265742</c:v>
                </c:pt>
                <c:pt idx="14">
                  <c:v>1264888</c:v>
                </c:pt>
                <c:pt idx="15">
                  <c:v>580444</c:v>
                </c:pt>
                <c:pt idx="16">
                  <c:v>963118</c:v>
                </c:pt>
                <c:pt idx="17">
                  <c:v>1137646</c:v>
                </c:pt>
                <c:pt idx="18">
                  <c:v>1429803</c:v>
                </c:pt>
                <c:pt idx="19">
                  <c:v>1517602.3688259386</c:v>
                </c:pt>
                <c:pt idx="20">
                  <c:v>1425245.0325037544</c:v>
                </c:pt>
                <c:pt idx="21">
                  <c:v>1576608.4448095565</c:v>
                </c:pt>
                <c:pt idx="22">
                  <c:v>1810067.2671795222</c:v>
                </c:pt>
                <c:pt idx="23">
                  <c:v>1635614.5207931739</c:v>
                </c:pt>
                <c:pt idx="24">
                  <c:v>1686924.1520832763</c:v>
                </c:pt>
                <c:pt idx="25">
                  <c:v>1702317.0414703069</c:v>
                </c:pt>
                <c:pt idx="26">
                  <c:v>2143579.8705651872</c:v>
                </c:pt>
                <c:pt idx="27">
                  <c:v>2657958.9242484635</c:v>
                </c:pt>
              </c:numCache>
            </c:numRef>
          </c:yVal>
          <c:smooth val="0"/>
          <c:extLst>
            <c:ext xmlns:c16="http://schemas.microsoft.com/office/drawing/2014/chart" uri="{C3380CC4-5D6E-409C-BE32-E72D297353CC}">
              <c16:uniqueId val="{00000000-B760-43F3-A4BC-8816DFD0FD41}"/>
            </c:ext>
          </c:extLst>
        </c:ser>
        <c:dLbls>
          <c:showLegendKey val="0"/>
          <c:showVal val="0"/>
          <c:showCatName val="0"/>
          <c:showSerName val="0"/>
          <c:showPercent val="0"/>
          <c:showBubbleSize val="0"/>
        </c:dLbls>
        <c:axId val="643108272"/>
        <c:axId val="643118256"/>
      </c:scatterChart>
      <c:valAx>
        <c:axId val="6431082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118256"/>
        <c:crosses val="autoZero"/>
        <c:crossBetween val="midCat"/>
      </c:valAx>
      <c:valAx>
        <c:axId val="64311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1082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Relationships!$A$301:$B$301</c:f>
              <c:strCache>
                <c:ptCount val="2"/>
                <c:pt idx="0">
                  <c:v>Wheat consumption</c:v>
                </c:pt>
                <c:pt idx="1">
                  <c:v>t/capita</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2.1244531933508311E-3"/>
                  <c:y val="0.1240551181102362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Relationships!$E$300:$AG$300</c:f>
              <c:numCache>
                <c:formatCode>General</c:formatCode>
                <c:ptCount val="29"/>
                <c:pt idx="0">
                  <c:v>7.3995172186341224E-6</c:v>
                </c:pt>
                <c:pt idx="1">
                  <c:v>8.3160321270873128E-6</c:v>
                </c:pt>
                <c:pt idx="2">
                  <c:v>9.1809688444329608E-6</c:v>
                </c:pt>
                <c:pt idx="3">
                  <c:v>1.0183063676790614E-5</c:v>
                </c:pt>
                <c:pt idx="4">
                  <c:v>1.1198558803003417E-5</c:v>
                </c:pt>
                <c:pt idx="5">
                  <c:v>1.2456004786976505E-5</c:v>
                </c:pt>
                <c:pt idx="6">
                  <c:v>1.5023575074943164E-5</c:v>
                </c:pt>
                <c:pt idx="7">
                  <c:v>1.4993976964585091E-5</c:v>
                </c:pt>
                <c:pt idx="8">
                  <c:v>1.5889974557177216E-5</c:v>
                </c:pt>
                <c:pt idx="9">
                  <c:v>1.7139534783540361E-5</c:v>
                </c:pt>
                <c:pt idx="10">
                  <c:v>1.9178073296508686E-5</c:v>
                </c:pt>
                <c:pt idx="11">
                  <c:v>2.0941920561623974E-5</c:v>
                </c:pt>
                <c:pt idx="12">
                  <c:v>2.4092156096673536E-5</c:v>
                </c:pt>
                <c:pt idx="13">
                  <c:v>2.5864721644610491E-5</c:v>
                </c:pt>
                <c:pt idx="14">
                  <c:v>2.816463639110616E-5</c:v>
                </c:pt>
                <c:pt idx="15">
                  <c:v>3.0685475313895917E-5</c:v>
                </c:pt>
                <c:pt idx="16">
                  <c:v>3.3867608215633009E-5</c:v>
                </c:pt>
                <c:pt idx="17">
                  <c:v>3.8369935813406575E-5</c:v>
                </c:pt>
                <c:pt idx="18">
                  <c:v>4.2933160137438985E-5</c:v>
                </c:pt>
                <c:pt idx="19">
                  <c:v>4.5112536477249022E-5</c:v>
                </c:pt>
                <c:pt idx="20">
                  <c:v>4.8711594853611398E-5</c:v>
                </c:pt>
                <c:pt idx="21">
                  <c:v>5.2388104554380752E-5</c:v>
                </c:pt>
                <c:pt idx="22">
                  <c:v>7.2008674666107316E-5</c:v>
                </c:pt>
                <c:pt idx="23">
                  <c:v>7.3128862350936422E-5</c:v>
                </c:pt>
                <c:pt idx="24">
                  <c:v>7.3832053087208803E-5</c:v>
                </c:pt>
                <c:pt idx="25">
                  <c:v>7.4099569652362116E-5</c:v>
                </c:pt>
                <c:pt idx="26">
                  <c:v>7.3966728660027013E-5</c:v>
                </c:pt>
                <c:pt idx="27">
                  <c:v>7.4125058503467776E-5</c:v>
                </c:pt>
                <c:pt idx="28">
                  <c:v>7.4164408302538267E-5</c:v>
                </c:pt>
              </c:numCache>
            </c:numRef>
          </c:xVal>
          <c:yVal>
            <c:numRef>
              <c:f>Relationships!$E$301:$AG$301</c:f>
              <c:numCache>
                <c:formatCode>General</c:formatCode>
                <c:ptCount val="29"/>
                <c:pt idx="0">
                  <c:v>6.1711102963276948E-2</c:v>
                </c:pt>
                <c:pt idx="1">
                  <c:v>5.7504251841580957E-2</c:v>
                </c:pt>
                <c:pt idx="2">
                  <c:v>5.5077745340519714E-2</c:v>
                </c:pt>
                <c:pt idx="3">
                  <c:v>5.361592077459236E-2</c:v>
                </c:pt>
                <c:pt idx="4">
                  <c:v>5.546782189622592E-2</c:v>
                </c:pt>
                <c:pt idx="5">
                  <c:v>5.6738433504703839E-2</c:v>
                </c:pt>
                <c:pt idx="6">
                  <c:v>5.6982537657538544E-2</c:v>
                </c:pt>
                <c:pt idx="7">
                  <c:v>5.8249543977486828E-2</c:v>
                </c:pt>
                <c:pt idx="8">
                  <c:v>4.8944354069592556E-2</c:v>
                </c:pt>
                <c:pt idx="9">
                  <c:v>5.295618306627712E-2</c:v>
                </c:pt>
                <c:pt idx="10">
                  <c:v>5.2148532898318944E-2</c:v>
                </c:pt>
                <c:pt idx="11">
                  <c:v>5.319140298776813E-2</c:v>
                </c:pt>
                <c:pt idx="12">
                  <c:v>5.4581802097826322E-2</c:v>
                </c:pt>
                <c:pt idx="13">
                  <c:v>5.5116530686872264E-2</c:v>
                </c:pt>
                <c:pt idx="14">
                  <c:v>5.6077600233952703E-2</c:v>
                </c:pt>
                <c:pt idx="15">
                  <c:v>5.7100369312406918E-2</c:v>
                </c:pt>
                <c:pt idx="16">
                  <c:v>5.7352671226956767E-2</c:v>
                </c:pt>
                <c:pt idx="17">
                  <c:v>5.7369988317735841E-2</c:v>
                </c:pt>
                <c:pt idx="18">
                  <c:v>5.7131985191244801E-2</c:v>
                </c:pt>
                <c:pt idx="19">
                  <c:v>5.6441535335759081E-2</c:v>
                </c:pt>
                <c:pt idx="20">
                  <c:v>5.8398619644850484E-2</c:v>
                </c:pt>
                <c:pt idx="21">
                  <c:v>5.6610842683929283E-2</c:v>
                </c:pt>
                <c:pt idx="22">
                  <c:v>5.7813725835577916E-2</c:v>
                </c:pt>
                <c:pt idx="23">
                  <c:v>5.6209582046640304E-2</c:v>
                </c:pt>
                <c:pt idx="24">
                  <c:v>5.7814814814814812E-2</c:v>
                </c:pt>
                <c:pt idx="25">
                  <c:v>5.7055915494555132E-2</c:v>
                </c:pt>
                <c:pt idx="26">
                  <c:v>5.7101430633891018E-2</c:v>
                </c:pt>
                <c:pt idx="27">
                  <c:v>5.6894087384507519E-2</c:v>
                </c:pt>
                <c:pt idx="28">
                  <c:v>5.7136377004169001E-2</c:v>
                </c:pt>
              </c:numCache>
            </c:numRef>
          </c:yVal>
          <c:smooth val="0"/>
          <c:extLst>
            <c:ext xmlns:c16="http://schemas.microsoft.com/office/drawing/2014/chart" uri="{C3380CC4-5D6E-409C-BE32-E72D297353CC}">
              <c16:uniqueId val="{00000000-CAC9-4621-A0EE-82EA0DFC913F}"/>
            </c:ext>
          </c:extLst>
        </c:ser>
        <c:dLbls>
          <c:showLegendKey val="0"/>
          <c:showVal val="0"/>
          <c:showCatName val="0"/>
          <c:showSerName val="0"/>
          <c:showPercent val="0"/>
          <c:showBubbleSize val="0"/>
        </c:dLbls>
        <c:axId val="21311072"/>
        <c:axId val="21311904"/>
      </c:scatterChart>
      <c:valAx>
        <c:axId val="213110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Wealth (GVA/capita)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1904"/>
        <c:crosses val="autoZero"/>
        <c:crossBetween val="midCat"/>
      </c:valAx>
      <c:valAx>
        <c:axId val="2131190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Wheat consumption (t/capita)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10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Relationships!$A$303:$B$303</c:f>
              <c:strCache>
                <c:ptCount val="2"/>
                <c:pt idx="0">
                  <c:v>Wheat consumption (total)</c:v>
                </c:pt>
                <c:pt idx="1">
                  <c:v>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7.9107611548556431E-2"/>
                  <c:y val="0"/>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Relationships!$O$302:$AG$302</c:f>
              <c:numCache>
                <c:formatCode>General</c:formatCode>
                <c:ptCount val="19"/>
                <c:pt idx="0">
                  <c:v>2345000</c:v>
                </c:pt>
                <c:pt idx="1">
                  <c:v>2424000</c:v>
                </c:pt>
                <c:pt idx="2">
                  <c:v>2519000</c:v>
                </c:pt>
                <c:pt idx="3">
                  <c:v>2575000</c:v>
                </c:pt>
                <c:pt idx="4">
                  <c:v>2652000</c:v>
                </c:pt>
                <c:pt idx="5">
                  <c:v>2734000</c:v>
                </c:pt>
                <c:pt idx="6">
                  <c:v>2781000</c:v>
                </c:pt>
                <c:pt idx="7">
                  <c:v>2818000</c:v>
                </c:pt>
                <c:pt idx="8">
                  <c:v>2844000</c:v>
                </c:pt>
                <c:pt idx="9">
                  <c:v>2849000</c:v>
                </c:pt>
                <c:pt idx="10">
                  <c:v>2991000</c:v>
                </c:pt>
                <c:pt idx="11">
                  <c:v>2944000</c:v>
                </c:pt>
                <c:pt idx="12">
                  <c:v>3066000</c:v>
                </c:pt>
                <c:pt idx="13">
                  <c:v>3008000</c:v>
                </c:pt>
                <c:pt idx="14">
                  <c:v>3122000</c:v>
                </c:pt>
                <c:pt idx="15">
                  <c:v>3109000</c:v>
                </c:pt>
                <c:pt idx="16">
                  <c:v>3142000</c:v>
                </c:pt>
                <c:pt idx="17">
                  <c:v>3161000</c:v>
                </c:pt>
                <c:pt idx="18">
                  <c:v>3205000</c:v>
                </c:pt>
              </c:numCache>
            </c:numRef>
          </c:xVal>
          <c:yVal>
            <c:numRef>
              <c:f>Relationships!$O$303:$AG$303</c:f>
              <c:numCache>
                <c:formatCode>General</c:formatCode>
                <c:ptCount val="19"/>
                <c:pt idx="0">
                  <c:v>2452000</c:v>
                </c:pt>
                <c:pt idx="1">
                  <c:v>2488000</c:v>
                </c:pt>
                <c:pt idx="2">
                  <c:v>2606000</c:v>
                </c:pt>
                <c:pt idx="3">
                  <c:v>2659000</c:v>
                </c:pt>
                <c:pt idx="4">
                  <c:v>2729000</c:v>
                </c:pt>
                <c:pt idx="5">
                  <c:v>2801000</c:v>
                </c:pt>
                <c:pt idx="6">
                  <c:v>2883000</c:v>
                </c:pt>
                <c:pt idx="7">
                  <c:v>2888000</c:v>
                </c:pt>
                <c:pt idx="8">
                  <c:v>2923000</c:v>
                </c:pt>
                <c:pt idx="9">
                  <c:v>2943000</c:v>
                </c:pt>
                <c:pt idx="10">
                  <c:v>3080000</c:v>
                </c:pt>
                <c:pt idx="11">
                  <c:v>2997000</c:v>
                </c:pt>
                <c:pt idx="12">
                  <c:v>3258000</c:v>
                </c:pt>
                <c:pt idx="13">
                  <c:v>3102000</c:v>
                </c:pt>
                <c:pt idx="14">
                  <c:v>3230000</c:v>
                </c:pt>
                <c:pt idx="15">
                  <c:v>3175000</c:v>
                </c:pt>
                <c:pt idx="16">
                  <c:v>3201000</c:v>
                </c:pt>
                <c:pt idx="17">
                  <c:v>3196000</c:v>
                </c:pt>
                <c:pt idx="18">
                  <c:v>3236000</c:v>
                </c:pt>
              </c:numCache>
            </c:numRef>
          </c:yVal>
          <c:smooth val="0"/>
          <c:extLst>
            <c:ext xmlns:c16="http://schemas.microsoft.com/office/drawing/2014/chart" uri="{C3380CC4-5D6E-409C-BE32-E72D297353CC}">
              <c16:uniqueId val="{00000000-7285-42CA-9AC9-59F65DEAC0BE}"/>
            </c:ext>
          </c:extLst>
        </c:ser>
        <c:dLbls>
          <c:showLegendKey val="0"/>
          <c:showVal val="0"/>
          <c:showCatName val="0"/>
          <c:showSerName val="0"/>
          <c:showPercent val="0"/>
          <c:showBubbleSize val="0"/>
        </c:dLbls>
        <c:axId val="132886400"/>
        <c:axId val="132891392"/>
      </c:scatterChart>
      <c:valAx>
        <c:axId val="1328864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Wheat consumption - human (t)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91392"/>
        <c:crosses val="autoZero"/>
        <c:crossBetween val="midCat"/>
      </c:valAx>
      <c:valAx>
        <c:axId val="132891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Wheat consumption - total (t)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864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Relationships!$A$298:$B$298</c:f>
              <c:strCache>
                <c:ptCount val="2"/>
                <c:pt idx="0">
                  <c:v>Wheat production</c:v>
                </c:pt>
                <c:pt idx="1">
                  <c:v>t</c:v>
                </c:pt>
              </c:strCache>
            </c:strRef>
          </c:tx>
          <c:spPr>
            <a:ln w="19050" cap="rnd">
              <a:noFill/>
              <a:round/>
            </a:ln>
            <a:effectLst/>
          </c:spPr>
          <c:marker>
            <c:symbol val="circle"/>
            <c:size val="5"/>
            <c:spPr>
              <a:solidFill>
                <a:schemeClr val="accent1"/>
              </a:solidFill>
              <a:ln w="9525">
                <a:solidFill>
                  <a:schemeClr val="accent1"/>
                </a:solidFill>
              </a:ln>
              <a:effectLst/>
            </c:spPr>
          </c:marker>
          <c:xVal>
            <c:numRef>
              <c:f>Relationships!$C$296:$AG$296</c:f>
              <c:numCache>
                <c:formatCode>General</c:formatCode>
                <c:ptCount val="31"/>
                <c:pt idx="2">
                  <c:v>2307000</c:v>
                </c:pt>
                <c:pt idx="3">
                  <c:v>2174000</c:v>
                </c:pt>
                <c:pt idx="4">
                  <c:v>2143000</c:v>
                </c:pt>
                <c:pt idx="5">
                  <c:v>2132000</c:v>
                </c:pt>
                <c:pt idx="6">
                  <c:v>2259000</c:v>
                </c:pt>
                <c:pt idx="7">
                  <c:v>2353000</c:v>
                </c:pt>
                <c:pt idx="8">
                  <c:v>2419000</c:v>
                </c:pt>
                <c:pt idx="9">
                  <c:v>2668000</c:v>
                </c:pt>
                <c:pt idx="10">
                  <c:v>2183000</c:v>
                </c:pt>
                <c:pt idx="11">
                  <c:v>2421000</c:v>
                </c:pt>
                <c:pt idx="12">
                  <c:v>2452000</c:v>
                </c:pt>
                <c:pt idx="13">
                  <c:v>2488000</c:v>
                </c:pt>
                <c:pt idx="14">
                  <c:v>2606000</c:v>
                </c:pt>
                <c:pt idx="15">
                  <c:v>2659000</c:v>
                </c:pt>
                <c:pt idx="16">
                  <c:v>2729000</c:v>
                </c:pt>
                <c:pt idx="17">
                  <c:v>2801000</c:v>
                </c:pt>
                <c:pt idx="18">
                  <c:v>2883000</c:v>
                </c:pt>
                <c:pt idx="19">
                  <c:v>2888000</c:v>
                </c:pt>
                <c:pt idx="20">
                  <c:v>2923000</c:v>
                </c:pt>
                <c:pt idx="21">
                  <c:v>2943000</c:v>
                </c:pt>
                <c:pt idx="22">
                  <c:v>3080000</c:v>
                </c:pt>
                <c:pt idx="23">
                  <c:v>2997000</c:v>
                </c:pt>
                <c:pt idx="24">
                  <c:v>3258000</c:v>
                </c:pt>
                <c:pt idx="25">
                  <c:v>3102000</c:v>
                </c:pt>
                <c:pt idx="26">
                  <c:v>3230000</c:v>
                </c:pt>
                <c:pt idx="27">
                  <c:v>3175000</c:v>
                </c:pt>
                <c:pt idx="28">
                  <c:v>3201000</c:v>
                </c:pt>
                <c:pt idx="29">
                  <c:v>3196000</c:v>
                </c:pt>
                <c:pt idx="30">
                  <c:v>3236000</c:v>
                </c:pt>
              </c:numCache>
            </c:numRef>
          </c:xVal>
          <c:yVal>
            <c:numRef>
              <c:f>Relationships!$C$298:$AG$298</c:f>
              <c:numCache>
                <c:formatCode>General</c:formatCode>
                <c:ptCount val="31"/>
                <c:pt idx="2">
                  <c:v>1709000</c:v>
                </c:pt>
                <c:pt idx="3">
                  <c:v>2142000</c:v>
                </c:pt>
                <c:pt idx="4">
                  <c:v>1324000</c:v>
                </c:pt>
                <c:pt idx="5">
                  <c:v>1984000</c:v>
                </c:pt>
                <c:pt idx="6">
                  <c:v>1840000</c:v>
                </c:pt>
                <c:pt idx="7">
                  <c:v>1977000</c:v>
                </c:pt>
                <c:pt idx="8">
                  <c:v>2712000</c:v>
                </c:pt>
                <c:pt idx="9">
                  <c:v>2429000</c:v>
                </c:pt>
                <c:pt idx="10">
                  <c:v>1892000</c:v>
                </c:pt>
                <c:pt idx="11">
                  <c:v>1733000</c:v>
                </c:pt>
                <c:pt idx="12">
                  <c:v>2428000</c:v>
                </c:pt>
                <c:pt idx="13">
                  <c:v>2504000</c:v>
                </c:pt>
                <c:pt idx="14">
                  <c:v>2438000</c:v>
                </c:pt>
                <c:pt idx="15">
                  <c:v>1547000</c:v>
                </c:pt>
                <c:pt idx="16">
                  <c:v>1687000</c:v>
                </c:pt>
                <c:pt idx="17">
                  <c:v>1913000</c:v>
                </c:pt>
                <c:pt idx="18">
                  <c:v>2114000</c:v>
                </c:pt>
                <c:pt idx="19">
                  <c:v>1913000</c:v>
                </c:pt>
                <c:pt idx="20">
                  <c:v>2149000</c:v>
                </c:pt>
                <c:pt idx="21">
                  <c:v>1967000</c:v>
                </c:pt>
                <c:pt idx="22">
                  <c:v>1436000</c:v>
                </c:pt>
                <c:pt idx="23">
                  <c:v>2014000</c:v>
                </c:pt>
                <c:pt idx="24">
                  <c:v>1878000</c:v>
                </c:pt>
                <c:pt idx="25">
                  <c:v>1878000</c:v>
                </c:pt>
                <c:pt idx="26">
                  <c:v>1758000</c:v>
                </c:pt>
                <c:pt idx="27">
                  <c:v>1446000</c:v>
                </c:pt>
                <c:pt idx="28">
                  <c:v>1918000</c:v>
                </c:pt>
                <c:pt idx="29">
                  <c:v>1542000</c:v>
                </c:pt>
                <c:pt idx="30">
                  <c:v>1807000</c:v>
                </c:pt>
              </c:numCache>
            </c:numRef>
          </c:yVal>
          <c:smooth val="0"/>
          <c:extLst>
            <c:ext xmlns:c16="http://schemas.microsoft.com/office/drawing/2014/chart" uri="{C3380CC4-5D6E-409C-BE32-E72D297353CC}">
              <c16:uniqueId val="{00000000-54B0-4593-8654-FA0789EB5EF0}"/>
            </c:ext>
          </c:extLst>
        </c:ser>
        <c:dLbls>
          <c:showLegendKey val="0"/>
          <c:showVal val="0"/>
          <c:showCatName val="0"/>
          <c:showSerName val="0"/>
          <c:showPercent val="0"/>
          <c:showBubbleSize val="0"/>
        </c:dLbls>
        <c:axId val="332959600"/>
        <c:axId val="332973328"/>
      </c:scatterChart>
      <c:valAx>
        <c:axId val="332959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973328"/>
        <c:crosses val="autoZero"/>
        <c:crossBetween val="midCat"/>
      </c:valAx>
      <c:valAx>
        <c:axId val="33297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9596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Relationships!$A$15:$B$15</c:f>
              <c:strCache>
                <c:ptCount val="2"/>
                <c:pt idx="0">
                  <c:v>Subsistence cattle</c:v>
                </c:pt>
                <c:pt idx="1">
                  <c:v>Head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0332917760279965"/>
                  <c:y val="0.1209284776902887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Relationships!$E$14:$AD$14</c:f>
              <c:numCache>
                <c:formatCode>General</c:formatCode>
                <c:ptCount val="26"/>
                <c:pt idx="0">
                  <c:v>7610000</c:v>
                </c:pt>
                <c:pt idx="1">
                  <c:v>7370000</c:v>
                </c:pt>
                <c:pt idx="2">
                  <c:v>7310000</c:v>
                </c:pt>
                <c:pt idx="3">
                  <c:v>6910000</c:v>
                </c:pt>
                <c:pt idx="4">
                  <c:v>7060000</c:v>
                </c:pt>
                <c:pt idx="5">
                  <c:v>7230000</c:v>
                </c:pt>
                <c:pt idx="6">
                  <c:v>7500000</c:v>
                </c:pt>
                <c:pt idx="7">
                  <c:v>7740000</c:v>
                </c:pt>
                <c:pt idx="8">
                  <c:v>7790000</c:v>
                </c:pt>
                <c:pt idx="9">
                  <c:v>7680000</c:v>
                </c:pt>
                <c:pt idx="10">
                  <c:v>7310000</c:v>
                </c:pt>
                <c:pt idx="11">
                  <c:v>7340000</c:v>
                </c:pt>
                <c:pt idx="12">
                  <c:v>6850000</c:v>
                </c:pt>
                <c:pt idx="13">
                  <c:v>6960000</c:v>
                </c:pt>
                <c:pt idx="14">
                  <c:v>7000000</c:v>
                </c:pt>
                <c:pt idx="15">
                  <c:v>7080000</c:v>
                </c:pt>
                <c:pt idx="16">
                  <c:v>6930000</c:v>
                </c:pt>
                <c:pt idx="17">
                  <c:v>7110000</c:v>
                </c:pt>
                <c:pt idx="18">
                  <c:v>6980000</c:v>
                </c:pt>
                <c:pt idx="19">
                  <c:v>6900000</c:v>
                </c:pt>
                <c:pt idx="20">
                  <c:v>6880000</c:v>
                </c:pt>
                <c:pt idx="21">
                  <c:v>6900000</c:v>
                </c:pt>
                <c:pt idx="23">
                  <c:v>6860000</c:v>
                </c:pt>
                <c:pt idx="24">
                  <c:v>6980000</c:v>
                </c:pt>
                <c:pt idx="25">
                  <c:v>6860000</c:v>
                </c:pt>
              </c:numCache>
            </c:numRef>
          </c:xVal>
          <c:yVal>
            <c:numRef>
              <c:f>Relationships!$E$15:$AD$15</c:f>
              <c:numCache>
                <c:formatCode>General</c:formatCode>
                <c:ptCount val="26"/>
                <c:pt idx="0">
                  <c:v>5690000</c:v>
                </c:pt>
                <c:pt idx="1">
                  <c:v>6130000</c:v>
                </c:pt>
                <c:pt idx="2">
                  <c:v>6190000</c:v>
                </c:pt>
                <c:pt idx="3">
                  <c:v>6190000</c:v>
                </c:pt>
                <c:pt idx="4">
                  <c:v>5440000</c:v>
                </c:pt>
                <c:pt idx="5">
                  <c:v>5370000</c:v>
                </c:pt>
                <c:pt idx="6">
                  <c:v>5500000</c:v>
                </c:pt>
                <c:pt idx="7">
                  <c:v>5660000</c:v>
                </c:pt>
                <c:pt idx="8">
                  <c:v>5910000</c:v>
                </c:pt>
                <c:pt idx="9">
                  <c:v>6120000</c:v>
                </c:pt>
                <c:pt idx="10">
                  <c:v>6290000</c:v>
                </c:pt>
                <c:pt idx="11">
                  <c:v>6160000</c:v>
                </c:pt>
                <c:pt idx="12">
                  <c:v>6650000</c:v>
                </c:pt>
                <c:pt idx="13">
                  <c:v>6640000</c:v>
                </c:pt>
                <c:pt idx="14">
                  <c:v>6500000</c:v>
                </c:pt>
                <c:pt idx="15">
                  <c:v>6420000</c:v>
                </c:pt>
                <c:pt idx="16">
                  <c:v>6570000</c:v>
                </c:pt>
                <c:pt idx="17">
                  <c:v>6790000</c:v>
                </c:pt>
                <c:pt idx="18">
                  <c:v>6920000</c:v>
                </c:pt>
                <c:pt idx="19">
                  <c:v>6900000</c:v>
                </c:pt>
                <c:pt idx="20">
                  <c:v>6820000</c:v>
                </c:pt>
                <c:pt idx="21">
                  <c:v>6800000</c:v>
                </c:pt>
                <c:pt idx="22">
                  <c:v>5890000</c:v>
                </c:pt>
                <c:pt idx="23">
                  <c:v>7040000</c:v>
                </c:pt>
                <c:pt idx="24">
                  <c:v>6920000</c:v>
                </c:pt>
                <c:pt idx="25">
                  <c:v>6840000</c:v>
                </c:pt>
              </c:numCache>
            </c:numRef>
          </c:yVal>
          <c:smooth val="0"/>
          <c:extLst>
            <c:ext xmlns:c16="http://schemas.microsoft.com/office/drawing/2014/chart" uri="{C3380CC4-5D6E-409C-BE32-E72D297353CC}">
              <c16:uniqueId val="{00000000-D1C2-47FA-8C61-32968DC320C6}"/>
            </c:ext>
          </c:extLst>
        </c:ser>
        <c:dLbls>
          <c:showLegendKey val="0"/>
          <c:showVal val="0"/>
          <c:showCatName val="0"/>
          <c:showSerName val="0"/>
          <c:showPercent val="0"/>
          <c:showBubbleSize val="0"/>
        </c:dLbls>
        <c:axId val="1459340383"/>
        <c:axId val="1459352447"/>
      </c:scatterChart>
      <c:valAx>
        <c:axId val="1459340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Commercial cattle (head)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352447"/>
        <c:crosses val="autoZero"/>
        <c:crossBetween val="midCat"/>
      </c:valAx>
      <c:valAx>
        <c:axId val="1459352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Subsistence cattle (head)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34038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Relationships!$A$259:$B$259</c:f>
              <c:strCache>
                <c:ptCount val="2"/>
                <c:pt idx="0">
                  <c:v>Maize area</c:v>
                </c:pt>
                <c:pt idx="1">
                  <c:v>ha</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8810148731408575E-5"/>
                  <c:y val="0.1508362496354622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Relationships!$E$258:$AG$258</c:f>
              <c:numCache>
                <c:formatCode>General</c:formatCode>
                <c:ptCount val="29"/>
                <c:pt idx="0">
                  <c:v>6425000</c:v>
                </c:pt>
                <c:pt idx="1">
                  <c:v>6769000</c:v>
                </c:pt>
                <c:pt idx="2">
                  <c:v>7022000</c:v>
                </c:pt>
                <c:pt idx="3">
                  <c:v>6828000</c:v>
                </c:pt>
                <c:pt idx="4">
                  <c:v>6773000</c:v>
                </c:pt>
                <c:pt idx="5">
                  <c:v>6417000</c:v>
                </c:pt>
                <c:pt idx="6">
                  <c:v>6842000</c:v>
                </c:pt>
                <c:pt idx="7">
                  <c:v>6738000</c:v>
                </c:pt>
                <c:pt idx="8">
                  <c:v>6383000</c:v>
                </c:pt>
                <c:pt idx="9">
                  <c:v>6341000</c:v>
                </c:pt>
                <c:pt idx="10">
                  <c:v>6362000</c:v>
                </c:pt>
                <c:pt idx="11">
                  <c:v>6852000</c:v>
                </c:pt>
                <c:pt idx="12">
                  <c:v>7151000</c:v>
                </c:pt>
                <c:pt idx="13">
                  <c:v>6983000</c:v>
                </c:pt>
                <c:pt idx="14">
                  <c:v>7243000</c:v>
                </c:pt>
                <c:pt idx="15">
                  <c:v>7283000</c:v>
                </c:pt>
                <c:pt idx="16">
                  <c:v>7462000</c:v>
                </c:pt>
                <c:pt idx="17">
                  <c:v>7660000</c:v>
                </c:pt>
                <c:pt idx="18">
                  <c:v>8029000</c:v>
                </c:pt>
                <c:pt idx="19">
                  <c:v>8613000</c:v>
                </c:pt>
                <c:pt idx="20">
                  <c:v>8658000</c:v>
                </c:pt>
                <c:pt idx="21">
                  <c:v>8857000</c:v>
                </c:pt>
                <c:pt idx="22">
                  <c:v>8941000</c:v>
                </c:pt>
                <c:pt idx="23">
                  <c:v>8935000</c:v>
                </c:pt>
                <c:pt idx="24">
                  <c:v>9349000</c:v>
                </c:pt>
                <c:pt idx="25">
                  <c:v>9927000</c:v>
                </c:pt>
                <c:pt idx="26">
                  <c:v>10249000</c:v>
                </c:pt>
                <c:pt idx="27">
                  <c:v>9813000</c:v>
                </c:pt>
                <c:pt idx="28">
                  <c:v>10270000</c:v>
                </c:pt>
              </c:numCache>
            </c:numRef>
          </c:xVal>
          <c:yVal>
            <c:numRef>
              <c:f>Relationships!$E$259:$AG$259</c:f>
              <c:numCache>
                <c:formatCode>#,##0</c:formatCode>
                <c:ptCount val="29"/>
                <c:pt idx="0">
                  <c:v>4163000</c:v>
                </c:pt>
                <c:pt idx="1">
                  <c:v>3816000</c:v>
                </c:pt>
                <c:pt idx="2">
                  <c:v>4173000</c:v>
                </c:pt>
                <c:pt idx="3">
                  <c:v>4377000</c:v>
                </c:pt>
                <c:pt idx="4">
                  <c:v>4661000</c:v>
                </c:pt>
                <c:pt idx="5">
                  <c:v>3526000</c:v>
                </c:pt>
                <c:pt idx="6">
                  <c:v>3761000</c:v>
                </c:pt>
                <c:pt idx="7">
                  <c:v>4023000</c:v>
                </c:pt>
                <c:pt idx="8">
                  <c:v>3560000</c:v>
                </c:pt>
                <c:pt idx="9">
                  <c:v>3567000</c:v>
                </c:pt>
                <c:pt idx="10">
                  <c:v>4013000</c:v>
                </c:pt>
                <c:pt idx="11">
                  <c:v>3189000</c:v>
                </c:pt>
                <c:pt idx="12">
                  <c:v>3533000</c:v>
                </c:pt>
                <c:pt idx="13">
                  <c:v>3651000</c:v>
                </c:pt>
                <c:pt idx="14">
                  <c:v>3204000</c:v>
                </c:pt>
                <c:pt idx="15">
                  <c:v>3223000</c:v>
                </c:pt>
                <c:pt idx="17">
                  <c:v>2897000</c:v>
                </c:pt>
                <c:pt idx="18">
                  <c:v>3297000</c:v>
                </c:pt>
                <c:pt idx="19">
                  <c:v>2896000</c:v>
                </c:pt>
                <c:pt idx="20">
                  <c:v>3263000</c:v>
                </c:pt>
                <c:pt idx="21">
                  <c:v>2859000</c:v>
                </c:pt>
                <c:pt idx="22">
                  <c:v>3141000</c:v>
                </c:pt>
                <c:pt idx="23">
                  <c:v>3238000</c:v>
                </c:pt>
                <c:pt idx="24">
                  <c:v>3096000</c:v>
                </c:pt>
                <c:pt idx="25">
                  <c:v>3048000</c:v>
                </c:pt>
                <c:pt idx="26">
                  <c:v>2213000</c:v>
                </c:pt>
                <c:pt idx="27">
                  <c:v>2995000</c:v>
                </c:pt>
                <c:pt idx="28">
                  <c:v>2634000</c:v>
                </c:pt>
              </c:numCache>
            </c:numRef>
          </c:yVal>
          <c:smooth val="0"/>
          <c:extLst>
            <c:ext xmlns:c16="http://schemas.microsoft.com/office/drawing/2014/chart" uri="{C3380CC4-5D6E-409C-BE32-E72D297353CC}">
              <c16:uniqueId val="{00000000-CB0C-47F5-A4C6-FFBEAA451BA7}"/>
            </c:ext>
          </c:extLst>
        </c:ser>
        <c:dLbls>
          <c:showLegendKey val="0"/>
          <c:showVal val="0"/>
          <c:showCatName val="0"/>
          <c:showSerName val="0"/>
          <c:showPercent val="0"/>
          <c:showBubbleSize val="0"/>
        </c:dLbls>
        <c:axId val="21319392"/>
        <c:axId val="21313568"/>
      </c:scatterChart>
      <c:valAx>
        <c:axId val="213193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Maize consumption - total (t)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3568"/>
        <c:crosses val="autoZero"/>
        <c:crossBetween val="midCat"/>
      </c:valAx>
      <c:valAx>
        <c:axId val="21313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Maize area (ha)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93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Relationships!$A$297:$B$297</c:f>
              <c:strCache>
                <c:ptCount val="2"/>
                <c:pt idx="0">
                  <c:v>Wheat area</c:v>
                </c:pt>
                <c:pt idx="1">
                  <c:v>ha</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6460454943132108"/>
                  <c:y val="3.590004374453193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Relationships!$O$296:$AG$296</c:f>
              <c:numCache>
                <c:formatCode>General</c:formatCode>
                <c:ptCount val="19"/>
                <c:pt idx="0">
                  <c:v>2452000</c:v>
                </c:pt>
                <c:pt idx="1">
                  <c:v>2488000</c:v>
                </c:pt>
                <c:pt idx="2">
                  <c:v>2606000</c:v>
                </c:pt>
                <c:pt idx="3">
                  <c:v>2659000</c:v>
                </c:pt>
                <c:pt idx="4">
                  <c:v>2729000</c:v>
                </c:pt>
                <c:pt idx="5">
                  <c:v>2801000</c:v>
                </c:pt>
                <c:pt idx="6">
                  <c:v>2883000</c:v>
                </c:pt>
                <c:pt idx="7">
                  <c:v>2888000</c:v>
                </c:pt>
                <c:pt idx="8">
                  <c:v>2923000</c:v>
                </c:pt>
                <c:pt idx="9">
                  <c:v>2943000</c:v>
                </c:pt>
                <c:pt idx="10">
                  <c:v>3080000</c:v>
                </c:pt>
                <c:pt idx="11">
                  <c:v>2997000</c:v>
                </c:pt>
                <c:pt idx="12">
                  <c:v>3258000</c:v>
                </c:pt>
                <c:pt idx="13">
                  <c:v>3102000</c:v>
                </c:pt>
                <c:pt idx="14">
                  <c:v>3230000</c:v>
                </c:pt>
                <c:pt idx="15">
                  <c:v>3175000</c:v>
                </c:pt>
                <c:pt idx="16">
                  <c:v>3201000</c:v>
                </c:pt>
                <c:pt idx="17">
                  <c:v>3196000</c:v>
                </c:pt>
                <c:pt idx="18">
                  <c:v>3236000</c:v>
                </c:pt>
              </c:numCache>
            </c:numRef>
          </c:xVal>
          <c:yVal>
            <c:numRef>
              <c:f>Relationships!$O$297:$AG$297</c:f>
              <c:numCache>
                <c:formatCode>#,##0</c:formatCode>
                <c:ptCount val="19"/>
                <c:pt idx="0">
                  <c:v>934000</c:v>
                </c:pt>
                <c:pt idx="1">
                  <c:v>974000</c:v>
                </c:pt>
                <c:pt idx="2">
                  <c:v>941000</c:v>
                </c:pt>
                <c:pt idx="3">
                  <c:v>748000</c:v>
                </c:pt>
                <c:pt idx="4">
                  <c:v>830000</c:v>
                </c:pt>
                <c:pt idx="5">
                  <c:v>805000</c:v>
                </c:pt>
                <c:pt idx="6">
                  <c:v>765000</c:v>
                </c:pt>
                <c:pt idx="7">
                  <c:v>632000</c:v>
                </c:pt>
                <c:pt idx="8">
                  <c:v>748000</c:v>
                </c:pt>
                <c:pt idx="9">
                  <c:v>642000</c:v>
                </c:pt>
                <c:pt idx="10">
                  <c:v>558000</c:v>
                </c:pt>
                <c:pt idx="11">
                  <c:v>605000</c:v>
                </c:pt>
                <c:pt idx="12">
                  <c:v>511000</c:v>
                </c:pt>
                <c:pt idx="13">
                  <c:v>505000</c:v>
                </c:pt>
                <c:pt idx="14">
                  <c:v>477000</c:v>
                </c:pt>
                <c:pt idx="15">
                  <c:v>482000</c:v>
                </c:pt>
                <c:pt idx="16">
                  <c:v>508000</c:v>
                </c:pt>
                <c:pt idx="17">
                  <c:v>492000</c:v>
                </c:pt>
                <c:pt idx="18">
                  <c:v>503000</c:v>
                </c:pt>
              </c:numCache>
            </c:numRef>
          </c:yVal>
          <c:smooth val="0"/>
          <c:extLst>
            <c:ext xmlns:c16="http://schemas.microsoft.com/office/drawing/2014/chart" uri="{C3380CC4-5D6E-409C-BE32-E72D297353CC}">
              <c16:uniqueId val="{00000000-011F-4CF2-9EFD-BC2CBEC45A79}"/>
            </c:ext>
          </c:extLst>
        </c:ser>
        <c:dLbls>
          <c:showLegendKey val="0"/>
          <c:showVal val="0"/>
          <c:showCatName val="0"/>
          <c:showSerName val="0"/>
          <c:showPercent val="0"/>
          <c:showBubbleSize val="0"/>
        </c:dLbls>
        <c:axId val="287003200"/>
        <c:axId val="287004864"/>
      </c:scatterChart>
      <c:valAx>
        <c:axId val="2870032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Wheat consumption - total (t)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004864"/>
        <c:crosses val="autoZero"/>
        <c:crossBetween val="midCat"/>
      </c:valAx>
      <c:valAx>
        <c:axId val="287004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Wheat planted area (ha)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0032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Relationships!$A$334:$B$334</c:f>
              <c:strCache>
                <c:ptCount val="2"/>
                <c:pt idx="0">
                  <c:v>Sorghum consumption</c:v>
                </c:pt>
                <c:pt idx="1">
                  <c:v>t/capita</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3.2659667541557302E-2"/>
                  <c:y val="7.806977252843394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Relationships!$C$333:$AG$333</c:f>
              <c:numCache>
                <c:formatCode>General</c:formatCode>
                <c:ptCount val="31"/>
                <c:pt idx="2">
                  <c:v>7.3995172186341224E-6</c:v>
                </c:pt>
                <c:pt idx="3">
                  <c:v>8.3160321270873128E-6</c:v>
                </c:pt>
                <c:pt idx="4">
                  <c:v>9.1809688444329608E-6</c:v>
                </c:pt>
                <c:pt idx="5">
                  <c:v>1.0183063676790614E-5</c:v>
                </c:pt>
                <c:pt idx="6">
                  <c:v>1.1198558803003417E-5</c:v>
                </c:pt>
                <c:pt idx="7">
                  <c:v>1.2456004786976505E-5</c:v>
                </c:pt>
                <c:pt idx="8">
                  <c:v>1.5023575074943164E-5</c:v>
                </c:pt>
                <c:pt idx="9">
                  <c:v>1.4993976964585091E-5</c:v>
                </c:pt>
                <c:pt idx="10">
                  <c:v>1.5889974557177216E-5</c:v>
                </c:pt>
                <c:pt idx="11">
                  <c:v>1.7139534783540361E-5</c:v>
                </c:pt>
                <c:pt idx="12">
                  <c:v>1.9178073296508686E-5</c:v>
                </c:pt>
                <c:pt idx="13">
                  <c:v>2.0941920561623974E-5</c:v>
                </c:pt>
                <c:pt idx="14">
                  <c:v>2.4092156096673536E-5</c:v>
                </c:pt>
                <c:pt idx="15">
                  <c:v>2.5864721644610491E-5</c:v>
                </c:pt>
                <c:pt idx="16">
                  <c:v>2.816463639110616E-5</c:v>
                </c:pt>
                <c:pt idx="17">
                  <c:v>3.0685475313895917E-5</c:v>
                </c:pt>
                <c:pt idx="18">
                  <c:v>3.3867608215633009E-5</c:v>
                </c:pt>
                <c:pt idx="19">
                  <c:v>3.8369935813406575E-5</c:v>
                </c:pt>
                <c:pt idx="20">
                  <c:v>4.2933160137438985E-5</c:v>
                </c:pt>
                <c:pt idx="21">
                  <c:v>4.5112536477249022E-5</c:v>
                </c:pt>
                <c:pt idx="22">
                  <c:v>4.8711594853611398E-5</c:v>
                </c:pt>
                <c:pt idx="23">
                  <c:v>5.2388104554380752E-5</c:v>
                </c:pt>
                <c:pt idx="24">
                  <c:v>7.2008674666107316E-5</c:v>
                </c:pt>
                <c:pt idx="25">
                  <c:v>7.3128862350936422E-5</c:v>
                </c:pt>
                <c:pt idx="26">
                  <c:v>7.3832053087208803E-5</c:v>
                </c:pt>
                <c:pt idx="27">
                  <c:v>7.4099569652362116E-5</c:v>
                </c:pt>
                <c:pt idx="28">
                  <c:v>7.3966728660027013E-5</c:v>
                </c:pt>
                <c:pt idx="29">
                  <c:v>7.4125058503467776E-5</c:v>
                </c:pt>
                <c:pt idx="30">
                  <c:v>7.4164408302538267E-5</c:v>
                </c:pt>
              </c:numCache>
            </c:numRef>
          </c:xVal>
          <c:yVal>
            <c:numRef>
              <c:f>Relationships!$C$334:$AG$334</c:f>
              <c:numCache>
                <c:formatCode>General</c:formatCode>
                <c:ptCount val="31"/>
                <c:pt idx="2">
                  <c:v>5.2716662152689246E-3</c:v>
                </c:pt>
                <c:pt idx="3">
                  <c:v>5.169815172479616E-3</c:v>
                </c:pt>
                <c:pt idx="4">
                  <c:v>5.1457611843959729E-3</c:v>
                </c:pt>
                <c:pt idx="5">
                  <c:v>5.0462043081969284E-3</c:v>
                </c:pt>
                <c:pt idx="6">
                  <c:v>4.5360352128469197E-3</c:v>
                </c:pt>
                <c:pt idx="7">
                  <c:v>4.4164752579161221E-3</c:v>
                </c:pt>
                <c:pt idx="8">
                  <c:v>4.2849353203217606E-3</c:v>
                </c:pt>
                <c:pt idx="9">
                  <c:v>4.164004940882645E-3</c:v>
                </c:pt>
                <c:pt idx="10">
                  <c:v>4.0519881526276339E-3</c:v>
                </c:pt>
                <c:pt idx="12">
                  <c:v>3.8694433792356062E-3</c:v>
                </c:pt>
                <c:pt idx="13">
                  <c:v>4.0815185460911186E-3</c:v>
                </c:pt>
                <c:pt idx="14">
                  <c:v>4.1169283043219537E-3</c:v>
                </c:pt>
                <c:pt idx="15">
                  <c:v>3.7243791609769998E-3</c:v>
                </c:pt>
                <c:pt idx="16">
                  <c:v>3.5735725639283586E-3</c:v>
                </c:pt>
                <c:pt idx="17">
                  <c:v>3.7384660230142057E-3</c:v>
                </c:pt>
                <c:pt idx="18">
                  <c:v>3.9390004330631945E-3</c:v>
                </c:pt>
                <c:pt idx="19">
                  <c:v>3.7052299055457499E-3</c:v>
                </c:pt>
                <c:pt idx="20">
                  <c:v>3.7163914417652206E-3</c:v>
                </c:pt>
                <c:pt idx="21">
                  <c:v>3.5065467723514772E-3</c:v>
                </c:pt>
                <c:pt idx="22">
                  <c:v>3.5925596839359707E-3</c:v>
                </c:pt>
                <c:pt idx="23">
                  <c:v>3.499719214835302E-3</c:v>
                </c:pt>
                <c:pt idx="24">
                  <c:v>3.4507214050589559E-3</c:v>
                </c:pt>
                <c:pt idx="25">
                  <c:v>2.9711846893004682E-3</c:v>
                </c:pt>
                <c:pt idx="26">
                  <c:v>3.0555555555555557E-3</c:v>
                </c:pt>
                <c:pt idx="27">
                  <c:v>2.8078337313177664E-3</c:v>
                </c:pt>
                <c:pt idx="28">
                  <c:v>2.7078654247134821E-3</c:v>
                </c:pt>
                <c:pt idx="29">
                  <c:v>2.8978007177809903E-3</c:v>
                </c:pt>
                <c:pt idx="30">
                  <c:v>2.7275711955188318E-3</c:v>
                </c:pt>
              </c:numCache>
            </c:numRef>
          </c:yVal>
          <c:smooth val="0"/>
          <c:extLst>
            <c:ext xmlns:c16="http://schemas.microsoft.com/office/drawing/2014/chart" uri="{C3380CC4-5D6E-409C-BE32-E72D297353CC}">
              <c16:uniqueId val="{00000000-02BD-4262-A7AD-25690AF8AFE8}"/>
            </c:ext>
          </c:extLst>
        </c:ser>
        <c:dLbls>
          <c:showLegendKey val="0"/>
          <c:showVal val="0"/>
          <c:showCatName val="0"/>
          <c:showSerName val="0"/>
          <c:showPercent val="0"/>
          <c:showBubbleSize val="0"/>
        </c:dLbls>
        <c:axId val="643122416"/>
        <c:axId val="643124912"/>
      </c:scatterChart>
      <c:valAx>
        <c:axId val="6431224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Wealth (GVA/capita)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124912"/>
        <c:crosses val="autoZero"/>
        <c:crossBetween val="midCat"/>
      </c:valAx>
      <c:valAx>
        <c:axId val="643124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Sorghum consumption (t/capita)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1224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Relationships!$A$329:$B$329</c:f>
              <c:strCache>
                <c:ptCount val="2"/>
                <c:pt idx="0">
                  <c:v>Sorghum consumption (total)</c:v>
                </c:pt>
                <c:pt idx="1">
                  <c:v>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5877449693788276"/>
                  <c:y val="0.2087922863808690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Relationships!$O$328:$AG$328</c:f>
              <c:numCache>
                <c:formatCode>General</c:formatCode>
                <c:ptCount val="19"/>
                <c:pt idx="0">
                  <c:v>174000</c:v>
                </c:pt>
                <c:pt idx="1">
                  <c:v>186000</c:v>
                </c:pt>
                <c:pt idx="2">
                  <c:v>190000</c:v>
                </c:pt>
                <c:pt idx="3">
                  <c:v>174000</c:v>
                </c:pt>
                <c:pt idx="4">
                  <c:v>169000</c:v>
                </c:pt>
                <c:pt idx="5">
                  <c:v>179000</c:v>
                </c:pt>
                <c:pt idx="6">
                  <c:v>191000</c:v>
                </c:pt>
                <c:pt idx="7">
                  <c:v>182000</c:v>
                </c:pt>
                <c:pt idx="8">
                  <c:v>185000</c:v>
                </c:pt>
                <c:pt idx="9">
                  <c:v>177000</c:v>
                </c:pt>
                <c:pt idx="10">
                  <c:v>184000</c:v>
                </c:pt>
                <c:pt idx="11">
                  <c:v>182000</c:v>
                </c:pt>
                <c:pt idx="12">
                  <c:v>183000</c:v>
                </c:pt>
                <c:pt idx="13">
                  <c:v>159000</c:v>
                </c:pt>
                <c:pt idx="14">
                  <c:v>165000</c:v>
                </c:pt>
                <c:pt idx="15">
                  <c:v>153000</c:v>
                </c:pt>
                <c:pt idx="16">
                  <c:v>149000</c:v>
                </c:pt>
                <c:pt idx="17">
                  <c:v>161000</c:v>
                </c:pt>
                <c:pt idx="18">
                  <c:v>153000</c:v>
                </c:pt>
              </c:numCache>
            </c:numRef>
          </c:xVal>
          <c:yVal>
            <c:numRef>
              <c:f>Relationships!$O$329:$AG$329</c:f>
              <c:numCache>
                <c:formatCode>General</c:formatCode>
                <c:ptCount val="19"/>
                <c:pt idx="0">
                  <c:v>210000</c:v>
                </c:pt>
                <c:pt idx="1">
                  <c:v>209000</c:v>
                </c:pt>
                <c:pt idx="2">
                  <c:v>206000</c:v>
                </c:pt>
                <c:pt idx="3">
                  <c:v>196000</c:v>
                </c:pt>
                <c:pt idx="4">
                  <c:v>179000</c:v>
                </c:pt>
                <c:pt idx="5">
                  <c:v>189000</c:v>
                </c:pt>
                <c:pt idx="6">
                  <c:v>203000</c:v>
                </c:pt>
                <c:pt idx="7">
                  <c:v>190000</c:v>
                </c:pt>
                <c:pt idx="8">
                  <c:v>196000</c:v>
                </c:pt>
                <c:pt idx="9">
                  <c:v>187000</c:v>
                </c:pt>
                <c:pt idx="10">
                  <c:v>192000</c:v>
                </c:pt>
                <c:pt idx="11">
                  <c:v>191000</c:v>
                </c:pt>
                <c:pt idx="12">
                  <c:v>190000</c:v>
                </c:pt>
                <c:pt idx="13">
                  <c:v>165000</c:v>
                </c:pt>
                <c:pt idx="14">
                  <c:v>170000</c:v>
                </c:pt>
                <c:pt idx="15">
                  <c:v>160000</c:v>
                </c:pt>
                <c:pt idx="16">
                  <c:v>159000</c:v>
                </c:pt>
                <c:pt idx="17">
                  <c:v>171000</c:v>
                </c:pt>
                <c:pt idx="18">
                  <c:v>162000</c:v>
                </c:pt>
              </c:numCache>
            </c:numRef>
          </c:yVal>
          <c:smooth val="0"/>
          <c:extLst>
            <c:ext xmlns:c16="http://schemas.microsoft.com/office/drawing/2014/chart" uri="{C3380CC4-5D6E-409C-BE32-E72D297353CC}">
              <c16:uniqueId val="{00000000-01D9-45CC-8DE8-C2240BCA8D03}"/>
            </c:ext>
          </c:extLst>
        </c:ser>
        <c:dLbls>
          <c:showLegendKey val="0"/>
          <c:showVal val="0"/>
          <c:showCatName val="0"/>
          <c:showSerName val="0"/>
          <c:showPercent val="0"/>
          <c:showBubbleSize val="0"/>
        </c:dLbls>
        <c:axId val="901559296"/>
        <c:axId val="901558880"/>
      </c:scatterChart>
      <c:valAx>
        <c:axId val="9015592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Sorghum consumption - human (t)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558880"/>
        <c:crosses val="autoZero"/>
        <c:crossBetween val="midCat"/>
      </c:valAx>
      <c:valAx>
        <c:axId val="901558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Sorghum consumption - total (t)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5592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Relationships!$A$330:$B$330</c:f>
              <c:strCache>
                <c:ptCount val="2"/>
                <c:pt idx="0">
                  <c:v>Sorghum area</c:v>
                </c:pt>
                <c:pt idx="1">
                  <c:v>ha</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7692694663167102E-2"/>
                  <c:y val="0.3617785797608632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Relationships!$O$329:$AG$329</c:f>
              <c:numCache>
                <c:formatCode>General</c:formatCode>
                <c:ptCount val="19"/>
                <c:pt idx="0">
                  <c:v>210000</c:v>
                </c:pt>
                <c:pt idx="1">
                  <c:v>209000</c:v>
                </c:pt>
                <c:pt idx="2">
                  <c:v>206000</c:v>
                </c:pt>
                <c:pt idx="3">
                  <c:v>196000</c:v>
                </c:pt>
                <c:pt idx="4">
                  <c:v>179000</c:v>
                </c:pt>
                <c:pt idx="5">
                  <c:v>189000</c:v>
                </c:pt>
                <c:pt idx="6">
                  <c:v>203000</c:v>
                </c:pt>
                <c:pt idx="7">
                  <c:v>190000</c:v>
                </c:pt>
                <c:pt idx="8">
                  <c:v>196000</c:v>
                </c:pt>
                <c:pt idx="9">
                  <c:v>187000</c:v>
                </c:pt>
                <c:pt idx="10">
                  <c:v>192000</c:v>
                </c:pt>
                <c:pt idx="11">
                  <c:v>191000</c:v>
                </c:pt>
                <c:pt idx="12">
                  <c:v>190000</c:v>
                </c:pt>
                <c:pt idx="13">
                  <c:v>165000</c:v>
                </c:pt>
                <c:pt idx="14">
                  <c:v>170000</c:v>
                </c:pt>
                <c:pt idx="15">
                  <c:v>160000</c:v>
                </c:pt>
                <c:pt idx="16">
                  <c:v>159000</c:v>
                </c:pt>
                <c:pt idx="17">
                  <c:v>171000</c:v>
                </c:pt>
                <c:pt idx="18">
                  <c:v>162000</c:v>
                </c:pt>
              </c:numCache>
            </c:numRef>
          </c:xVal>
          <c:yVal>
            <c:numRef>
              <c:f>Relationships!$O$330:$AG$330</c:f>
              <c:numCache>
                <c:formatCode>#,##0</c:formatCode>
                <c:ptCount val="19"/>
                <c:pt idx="0">
                  <c:v>142000</c:v>
                </c:pt>
                <c:pt idx="1">
                  <c:v>88000</c:v>
                </c:pt>
                <c:pt idx="2">
                  <c:v>75000</c:v>
                </c:pt>
                <c:pt idx="3">
                  <c:v>95000</c:v>
                </c:pt>
                <c:pt idx="4">
                  <c:v>130000</c:v>
                </c:pt>
                <c:pt idx="5">
                  <c:v>86000</c:v>
                </c:pt>
                <c:pt idx="6">
                  <c:v>37000</c:v>
                </c:pt>
                <c:pt idx="7">
                  <c:v>69000</c:v>
                </c:pt>
                <c:pt idx="8">
                  <c:v>87000</c:v>
                </c:pt>
                <c:pt idx="9">
                  <c:v>86000</c:v>
                </c:pt>
                <c:pt idx="10">
                  <c:v>87000</c:v>
                </c:pt>
                <c:pt idx="11">
                  <c:v>69000</c:v>
                </c:pt>
                <c:pt idx="12">
                  <c:v>49000</c:v>
                </c:pt>
                <c:pt idx="13">
                  <c:v>63000</c:v>
                </c:pt>
                <c:pt idx="14">
                  <c:v>79000</c:v>
                </c:pt>
                <c:pt idx="15">
                  <c:v>70000</c:v>
                </c:pt>
                <c:pt idx="16">
                  <c:v>48000</c:v>
                </c:pt>
                <c:pt idx="17">
                  <c:v>42000</c:v>
                </c:pt>
                <c:pt idx="18">
                  <c:v>29000</c:v>
                </c:pt>
              </c:numCache>
            </c:numRef>
          </c:yVal>
          <c:smooth val="0"/>
          <c:extLst>
            <c:ext xmlns:c16="http://schemas.microsoft.com/office/drawing/2014/chart" uri="{C3380CC4-5D6E-409C-BE32-E72D297353CC}">
              <c16:uniqueId val="{00000000-A982-4679-9A33-952E3B838ACD}"/>
            </c:ext>
          </c:extLst>
        </c:ser>
        <c:dLbls>
          <c:showLegendKey val="0"/>
          <c:showVal val="0"/>
          <c:showCatName val="0"/>
          <c:showSerName val="0"/>
          <c:showPercent val="0"/>
          <c:showBubbleSize val="0"/>
        </c:dLbls>
        <c:axId val="131158608"/>
        <c:axId val="131164432"/>
      </c:scatterChart>
      <c:valAx>
        <c:axId val="1311586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Sorghum consumption - total (t)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64432"/>
        <c:crosses val="autoZero"/>
        <c:crossBetween val="midCat"/>
      </c:valAx>
      <c:valAx>
        <c:axId val="131164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Sorghum planted area (ha)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586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Relationships!$A$381:$B$381</c:f>
              <c:strCache>
                <c:ptCount val="2"/>
                <c:pt idx="0">
                  <c:v>N fertiliser consumption</c:v>
                </c:pt>
                <c:pt idx="1">
                  <c:v>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2.8014873140857394E-2"/>
                  <c:y val="0.1863367599883347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Relationships!$C$380:$AF$380</c:f>
              <c:numCache>
                <c:formatCode>General</c:formatCode>
                <c:ptCount val="30"/>
                <c:pt idx="2" formatCode="#,##0">
                  <c:v>4163000</c:v>
                </c:pt>
                <c:pt idx="3" formatCode="#,##0">
                  <c:v>3816000</c:v>
                </c:pt>
                <c:pt idx="4" formatCode="#,##0">
                  <c:v>4173000</c:v>
                </c:pt>
                <c:pt idx="5" formatCode="#,##0">
                  <c:v>4377000</c:v>
                </c:pt>
                <c:pt idx="6" formatCode="#,##0">
                  <c:v>4661000</c:v>
                </c:pt>
                <c:pt idx="7" formatCode="#,##0">
                  <c:v>3526000</c:v>
                </c:pt>
                <c:pt idx="8" formatCode="#,##0">
                  <c:v>3761000</c:v>
                </c:pt>
                <c:pt idx="9" formatCode="#,##0">
                  <c:v>4023000</c:v>
                </c:pt>
                <c:pt idx="10" formatCode="#,##0">
                  <c:v>3560000</c:v>
                </c:pt>
                <c:pt idx="11" formatCode="#,##0">
                  <c:v>3567000</c:v>
                </c:pt>
                <c:pt idx="12" formatCode="#,##0">
                  <c:v>4013000</c:v>
                </c:pt>
                <c:pt idx="13" formatCode="#,##0">
                  <c:v>3189000</c:v>
                </c:pt>
                <c:pt idx="14" formatCode="#,##0">
                  <c:v>3533000</c:v>
                </c:pt>
                <c:pt idx="15" formatCode="#,##0">
                  <c:v>3651000</c:v>
                </c:pt>
                <c:pt idx="16" formatCode="#,##0">
                  <c:v>3204000</c:v>
                </c:pt>
                <c:pt idx="17" formatCode="#,##0">
                  <c:v>3223000</c:v>
                </c:pt>
                <c:pt idx="19" formatCode="#,##0">
                  <c:v>2897000</c:v>
                </c:pt>
                <c:pt idx="20" formatCode="#,##0">
                  <c:v>3297000</c:v>
                </c:pt>
                <c:pt idx="21" formatCode="#,##0">
                  <c:v>2896000</c:v>
                </c:pt>
                <c:pt idx="22" formatCode="#,##0">
                  <c:v>3263000</c:v>
                </c:pt>
                <c:pt idx="23" formatCode="#,##0">
                  <c:v>2859000</c:v>
                </c:pt>
                <c:pt idx="24" formatCode="#,##0">
                  <c:v>3141000</c:v>
                </c:pt>
                <c:pt idx="25" formatCode="#,##0">
                  <c:v>3238000</c:v>
                </c:pt>
                <c:pt idx="26" formatCode="#,##0">
                  <c:v>3096000</c:v>
                </c:pt>
                <c:pt idx="27" formatCode="#,##0">
                  <c:v>3048000</c:v>
                </c:pt>
                <c:pt idx="28" formatCode="#,##0">
                  <c:v>2213000</c:v>
                </c:pt>
              </c:numCache>
            </c:numRef>
          </c:xVal>
          <c:yVal>
            <c:numRef>
              <c:f>Relationships!$C$381:$AF$381</c:f>
              <c:numCache>
                <c:formatCode>General</c:formatCode>
                <c:ptCount val="30"/>
                <c:pt idx="2">
                  <c:v>343689</c:v>
                </c:pt>
                <c:pt idx="3">
                  <c:v>365035</c:v>
                </c:pt>
                <c:pt idx="4">
                  <c:v>347525</c:v>
                </c:pt>
                <c:pt idx="5">
                  <c:v>408459</c:v>
                </c:pt>
                <c:pt idx="6">
                  <c:v>375066</c:v>
                </c:pt>
                <c:pt idx="7">
                  <c:v>371491</c:v>
                </c:pt>
                <c:pt idx="8">
                  <c:v>415084</c:v>
                </c:pt>
                <c:pt idx="9">
                  <c:v>406914</c:v>
                </c:pt>
                <c:pt idx="10">
                  <c:v>415521</c:v>
                </c:pt>
                <c:pt idx="11">
                  <c:v>413045</c:v>
                </c:pt>
                <c:pt idx="12">
                  <c:v>415933</c:v>
                </c:pt>
                <c:pt idx="13">
                  <c:v>395813</c:v>
                </c:pt>
                <c:pt idx="14">
                  <c:v>477072</c:v>
                </c:pt>
                <c:pt idx="15">
                  <c:v>420827</c:v>
                </c:pt>
                <c:pt idx="16">
                  <c:v>427571</c:v>
                </c:pt>
                <c:pt idx="17">
                  <c:v>347260</c:v>
                </c:pt>
                <c:pt idx="18">
                  <c:v>428719</c:v>
                </c:pt>
                <c:pt idx="19">
                  <c:v>439480</c:v>
                </c:pt>
                <c:pt idx="20">
                  <c:v>424123</c:v>
                </c:pt>
                <c:pt idx="21">
                  <c:v>453777</c:v>
                </c:pt>
                <c:pt idx="22">
                  <c:v>395000</c:v>
                </c:pt>
                <c:pt idx="23">
                  <c:v>419000</c:v>
                </c:pt>
                <c:pt idx="24">
                  <c:v>430000</c:v>
                </c:pt>
                <c:pt idx="25">
                  <c:v>416500</c:v>
                </c:pt>
                <c:pt idx="26">
                  <c:v>447547</c:v>
                </c:pt>
                <c:pt idx="27">
                  <c:v>402792</c:v>
                </c:pt>
                <c:pt idx="28">
                  <c:v>430000</c:v>
                </c:pt>
              </c:numCache>
            </c:numRef>
          </c:yVal>
          <c:smooth val="0"/>
          <c:extLst>
            <c:ext xmlns:c16="http://schemas.microsoft.com/office/drawing/2014/chart" uri="{C3380CC4-5D6E-409C-BE32-E72D297353CC}">
              <c16:uniqueId val="{00000000-32F1-4975-88EF-15E55F945D54}"/>
            </c:ext>
          </c:extLst>
        </c:ser>
        <c:dLbls>
          <c:showLegendKey val="0"/>
          <c:showVal val="0"/>
          <c:showCatName val="0"/>
          <c:showSerName val="0"/>
          <c:showPercent val="0"/>
          <c:showBubbleSize val="0"/>
        </c:dLbls>
        <c:axId val="2119388304"/>
        <c:axId val="2119383728"/>
      </c:scatterChart>
      <c:valAx>
        <c:axId val="2119388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383728"/>
        <c:crosses val="autoZero"/>
        <c:crossBetween val="midCat"/>
      </c:valAx>
      <c:valAx>
        <c:axId val="211938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3883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Relationships!$A$402:$B$402</c:f>
              <c:strCache>
                <c:ptCount val="2"/>
                <c:pt idx="0">
                  <c:v>Urea fertiliser</c:v>
                </c:pt>
                <c:pt idx="1">
                  <c:v>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4229658792650918"/>
                  <c:y val="1.9047098279381745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Relationships!$E$401:$AB$401</c:f>
              <c:numCache>
                <c:formatCode>#,##0</c:formatCode>
                <c:ptCount val="24"/>
                <c:pt idx="0">
                  <c:v>4163000</c:v>
                </c:pt>
                <c:pt idx="1">
                  <c:v>3816000</c:v>
                </c:pt>
                <c:pt idx="2">
                  <c:v>4173000</c:v>
                </c:pt>
                <c:pt idx="3">
                  <c:v>4377000</c:v>
                </c:pt>
                <c:pt idx="4">
                  <c:v>4661000</c:v>
                </c:pt>
                <c:pt idx="5">
                  <c:v>3526000</c:v>
                </c:pt>
                <c:pt idx="6">
                  <c:v>3761000</c:v>
                </c:pt>
                <c:pt idx="7">
                  <c:v>4023000</c:v>
                </c:pt>
                <c:pt idx="8">
                  <c:v>3560000</c:v>
                </c:pt>
                <c:pt idx="9">
                  <c:v>3567000</c:v>
                </c:pt>
                <c:pt idx="10">
                  <c:v>4013000</c:v>
                </c:pt>
                <c:pt idx="11">
                  <c:v>3189000</c:v>
                </c:pt>
                <c:pt idx="12">
                  <c:v>3533000</c:v>
                </c:pt>
                <c:pt idx="13">
                  <c:v>3651000</c:v>
                </c:pt>
                <c:pt idx="14">
                  <c:v>3204000</c:v>
                </c:pt>
                <c:pt idx="15">
                  <c:v>3223000</c:v>
                </c:pt>
                <c:pt idx="17">
                  <c:v>2897000</c:v>
                </c:pt>
                <c:pt idx="18">
                  <c:v>3297000</c:v>
                </c:pt>
                <c:pt idx="19">
                  <c:v>2896000</c:v>
                </c:pt>
                <c:pt idx="20">
                  <c:v>3263000</c:v>
                </c:pt>
                <c:pt idx="21">
                  <c:v>2859000</c:v>
                </c:pt>
                <c:pt idx="22">
                  <c:v>3141000</c:v>
                </c:pt>
                <c:pt idx="23">
                  <c:v>3238000</c:v>
                </c:pt>
              </c:numCache>
            </c:numRef>
          </c:xVal>
          <c:yVal>
            <c:numRef>
              <c:f>Relationships!$E$402:$AB$402</c:f>
              <c:numCache>
                <c:formatCode>General</c:formatCode>
                <c:ptCount val="24"/>
                <c:pt idx="0">
                  <c:v>124083.5011138469</c:v>
                </c:pt>
                <c:pt idx="1">
                  <c:v>152218.50271143019</c:v>
                </c:pt>
                <c:pt idx="2">
                  <c:v>180353.50430901349</c:v>
                </c:pt>
                <c:pt idx="3">
                  <c:v>208488.50590658933</c:v>
                </c:pt>
                <c:pt idx="4">
                  <c:v>236623.50750417262</c:v>
                </c:pt>
                <c:pt idx="5">
                  <c:v>264758.50910175592</c:v>
                </c:pt>
                <c:pt idx="6">
                  <c:v>292893.51069933921</c:v>
                </c:pt>
                <c:pt idx="7">
                  <c:v>321028.5122969225</c:v>
                </c:pt>
                <c:pt idx="8">
                  <c:v>349163.5138945058</c:v>
                </c:pt>
                <c:pt idx="9">
                  <c:v>377298.51549208909</c:v>
                </c:pt>
                <c:pt idx="10">
                  <c:v>405433.51708967239</c:v>
                </c:pt>
                <c:pt idx="11">
                  <c:v>433568.51868725568</c:v>
                </c:pt>
                <c:pt idx="12">
                  <c:v>461703.52028483152</c:v>
                </c:pt>
                <c:pt idx="13">
                  <c:v>489838.52188241482</c:v>
                </c:pt>
                <c:pt idx="14">
                  <c:v>594407</c:v>
                </c:pt>
                <c:pt idx="15">
                  <c:v>484209</c:v>
                </c:pt>
                <c:pt idx="16">
                  <c:v>536026</c:v>
                </c:pt>
                <c:pt idx="17">
                  <c:v>660755</c:v>
                </c:pt>
                <c:pt idx="18">
                  <c:v>654808</c:v>
                </c:pt>
                <c:pt idx="19">
                  <c:v>518924</c:v>
                </c:pt>
                <c:pt idx="20">
                  <c:v>683837</c:v>
                </c:pt>
                <c:pt idx="21">
                  <c:v>778897</c:v>
                </c:pt>
                <c:pt idx="22">
                  <c:v>800756</c:v>
                </c:pt>
                <c:pt idx="23">
                  <c:v>726904.59500000009</c:v>
                </c:pt>
              </c:numCache>
            </c:numRef>
          </c:yVal>
          <c:smooth val="0"/>
          <c:extLst>
            <c:ext xmlns:c16="http://schemas.microsoft.com/office/drawing/2014/chart" uri="{C3380CC4-5D6E-409C-BE32-E72D297353CC}">
              <c16:uniqueId val="{00000000-FDE3-45C2-833D-DE54731826FA}"/>
            </c:ext>
          </c:extLst>
        </c:ser>
        <c:dLbls>
          <c:showLegendKey val="0"/>
          <c:showVal val="0"/>
          <c:showCatName val="0"/>
          <c:showSerName val="0"/>
          <c:showPercent val="0"/>
          <c:showBubbleSize val="0"/>
        </c:dLbls>
        <c:axId val="332974160"/>
        <c:axId val="332974576"/>
      </c:scatterChart>
      <c:valAx>
        <c:axId val="3329741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Maize planted area (t)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974576"/>
        <c:crosses val="autoZero"/>
        <c:crossBetween val="midCat"/>
      </c:valAx>
      <c:valAx>
        <c:axId val="332974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Urea application (t)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9741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Relationships!$A$423:$B$423</c:f>
              <c:strCache>
                <c:ptCount val="2"/>
                <c:pt idx="0">
                  <c:v>Maize residue N</c:v>
                </c:pt>
                <c:pt idx="1">
                  <c:v>kg N</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1663013998250218"/>
                  <c:y val="1.388888888888888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Relationships!$C$422:$AF$422</c:f>
              <c:numCache>
                <c:formatCode>General</c:formatCode>
                <c:ptCount val="30"/>
                <c:pt idx="2" formatCode="#,##0">
                  <c:v>4163000</c:v>
                </c:pt>
                <c:pt idx="3" formatCode="#,##0">
                  <c:v>3816000</c:v>
                </c:pt>
                <c:pt idx="4" formatCode="#,##0">
                  <c:v>4173000</c:v>
                </c:pt>
                <c:pt idx="5" formatCode="#,##0">
                  <c:v>4377000</c:v>
                </c:pt>
                <c:pt idx="6" formatCode="#,##0">
                  <c:v>4661000</c:v>
                </c:pt>
                <c:pt idx="7" formatCode="#,##0">
                  <c:v>3526000</c:v>
                </c:pt>
                <c:pt idx="8" formatCode="#,##0">
                  <c:v>3761000</c:v>
                </c:pt>
                <c:pt idx="9" formatCode="#,##0">
                  <c:v>4023000</c:v>
                </c:pt>
                <c:pt idx="10" formatCode="#,##0">
                  <c:v>3560000</c:v>
                </c:pt>
                <c:pt idx="11" formatCode="#,##0">
                  <c:v>3567000</c:v>
                </c:pt>
                <c:pt idx="12" formatCode="#,##0">
                  <c:v>4013000</c:v>
                </c:pt>
                <c:pt idx="13" formatCode="#,##0">
                  <c:v>3189000</c:v>
                </c:pt>
                <c:pt idx="14" formatCode="#,##0">
                  <c:v>3533000</c:v>
                </c:pt>
                <c:pt idx="15" formatCode="#,##0">
                  <c:v>3651000</c:v>
                </c:pt>
                <c:pt idx="16" formatCode="#,##0">
                  <c:v>3204000</c:v>
                </c:pt>
                <c:pt idx="17" formatCode="#,##0">
                  <c:v>3223000</c:v>
                </c:pt>
                <c:pt idx="19" formatCode="#,##0">
                  <c:v>2897000</c:v>
                </c:pt>
                <c:pt idx="20" formatCode="#,##0">
                  <c:v>3297000</c:v>
                </c:pt>
                <c:pt idx="21" formatCode="#,##0">
                  <c:v>2896000</c:v>
                </c:pt>
                <c:pt idx="22" formatCode="#,##0">
                  <c:v>3263000</c:v>
                </c:pt>
                <c:pt idx="23" formatCode="#,##0">
                  <c:v>2859000</c:v>
                </c:pt>
                <c:pt idx="24" formatCode="#,##0">
                  <c:v>3141000</c:v>
                </c:pt>
                <c:pt idx="25" formatCode="#,##0">
                  <c:v>3238000</c:v>
                </c:pt>
                <c:pt idx="26" formatCode="#,##0">
                  <c:v>3096000</c:v>
                </c:pt>
                <c:pt idx="27" formatCode="#,##0">
                  <c:v>3048000</c:v>
                </c:pt>
                <c:pt idx="28" formatCode="#,##0">
                  <c:v>2213000</c:v>
                </c:pt>
                <c:pt idx="29" formatCode="#,##0">
                  <c:v>2995000</c:v>
                </c:pt>
              </c:numCache>
            </c:numRef>
          </c:xVal>
          <c:yVal>
            <c:numRef>
              <c:f>Relationships!$C$423:$AF$423</c:f>
              <c:numCache>
                <c:formatCode>General</c:formatCode>
                <c:ptCount val="30"/>
                <c:pt idx="2">
                  <c:v>169222719.81423381</c:v>
                </c:pt>
                <c:pt idx="3">
                  <c:v>146469055.03045925</c:v>
                </c:pt>
                <c:pt idx="4">
                  <c:v>159221366.84252763</c:v>
                </c:pt>
                <c:pt idx="5">
                  <c:v>166361838.74906701</c:v>
                </c:pt>
                <c:pt idx="6">
                  <c:v>177207855.24554062</c:v>
                </c:pt>
                <c:pt idx="7">
                  <c:v>134194234.50025843</c:v>
                </c:pt>
                <c:pt idx="8">
                  <c:v>143395687.73539102</c:v>
                </c:pt>
                <c:pt idx="9">
                  <c:v>154135462.82738763</c:v>
                </c:pt>
                <c:pt idx="10">
                  <c:v>135980324.06223202</c:v>
                </c:pt>
                <c:pt idx="11">
                  <c:v>136205316.98976544</c:v>
                </c:pt>
                <c:pt idx="12">
                  <c:v>153316816.86155123</c:v>
                </c:pt>
                <c:pt idx="13">
                  <c:v>121680505.97819223</c:v>
                </c:pt>
                <c:pt idx="14">
                  <c:v>134754504.74286324</c:v>
                </c:pt>
                <c:pt idx="15">
                  <c:v>139005050.45193782</c:v>
                </c:pt>
                <c:pt idx="16">
                  <c:v>122072648.78867763</c:v>
                </c:pt>
                <c:pt idx="17">
                  <c:v>122727616.37001581</c:v>
                </c:pt>
                <c:pt idx="18">
                  <c:v>76773886.659184024</c:v>
                </c:pt>
                <c:pt idx="19">
                  <c:v>110722449.64123464</c:v>
                </c:pt>
                <c:pt idx="20">
                  <c:v>126740304.25230721</c:v>
                </c:pt>
                <c:pt idx="21">
                  <c:v>112126055.04929921</c:v>
                </c:pt>
                <c:pt idx="22">
                  <c:v>127466246.79321264</c:v>
                </c:pt>
                <c:pt idx="23">
                  <c:v>113245894.01580001</c:v>
                </c:pt>
                <c:pt idx="24">
                  <c:v>126977554.31790781</c:v>
                </c:pt>
                <c:pt idx="25">
                  <c:v>131940246.24150762</c:v>
                </c:pt>
                <c:pt idx="26">
                  <c:v>126043745.53137124</c:v>
                </c:pt>
                <c:pt idx="27">
                  <c:v>124059397.92754564</c:v>
                </c:pt>
                <c:pt idx="28">
                  <c:v>90409891.970684022</c:v>
                </c:pt>
                <c:pt idx="29">
                  <c:v>122439424.41759603</c:v>
                </c:pt>
              </c:numCache>
            </c:numRef>
          </c:yVal>
          <c:smooth val="0"/>
          <c:extLst>
            <c:ext xmlns:c16="http://schemas.microsoft.com/office/drawing/2014/chart" uri="{C3380CC4-5D6E-409C-BE32-E72D297353CC}">
              <c16:uniqueId val="{00000000-90DD-49CE-82BD-37B1C54854CB}"/>
            </c:ext>
          </c:extLst>
        </c:ser>
        <c:dLbls>
          <c:showLegendKey val="0"/>
          <c:showVal val="0"/>
          <c:showCatName val="0"/>
          <c:showSerName val="0"/>
          <c:showPercent val="0"/>
          <c:showBubbleSize val="0"/>
        </c:dLbls>
        <c:axId val="287007360"/>
        <c:axId val="287011520"/>
      </c:scatterChart>
      <c:valAx>
        <c:axId val="2870073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Maize area (ha)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011520"/>
        <c:crosses val="autoZero"/>
        <c:crossBetween val="midCat"/>
      </c:valAx>
      <c:valAx>
        <c:axId val="287011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Maize N residue (kg 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007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Relationships!$A$425:$B$425</c:f>
              <c:strCache>
                <c:ptCount val="2"/>
                <c:pt idx="0">
                  <c:v>Wheat residue N</c:v>
                </c:pt>
                <c:pt idx="1">
                  <c:v>kg N</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3003280839895012"/>
                  <c:y val="-0.1161698016914552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Relationships!$F$424:$AF$424</c:f>
              <c:numCache>
                <c:formatCode>#,##0</c:formatCode>
                <c:ptCount val="27"/>
                <c:pt idx="0">
                  <c:v>1436000</c:v>
                </c:pt>
                <c:pt idx="1">
                  <c:v>750000</c:v>
                </c:pt>
                <c:pt idx="2">
                  <c:v>1075000</c:v>
                </c:pt>
                <c:pt idx="3">
                  <c:v>1048000</c:v>
                </c:pt>
                <c:pt idx="4">
                  <c:v>1363000</c:v>
                </c:pt>
                <c:pt idx="5">
                  <c:v>1294000</c:v>
                </c:pt>
                <c:pt idx="6">
                  <c:v>1382000</c:v>
                </c:pt>
                <c:pt idx="7">
                  <c:v>745000</c:v>
                </c:pt>
                <c:pt idx="8">
                  <c:v>718000</c:v>
                </c:pt>
                <c:pt idx="9">
                  <c:v>934000</c:v>
                </c:pt>
                <c:pt idx="10">
                  <c:v>974000</c:v>
                </c:pt>
                <c:pt idx="11">
                  <c:v>941000</c:v>
                </c:pt>
                <c:pt idx="12">
                  <c:v>748000</c:v>
                </c:pt>
                <c:pt idx="13">
                  <c:v>830000</c:v>
                </c:pt>
                <c:pt idx="14">
                  <c:v>805000</c:v>
                </c:pt>
                <c:pt idx="15">
                  <c:v>765000</c:v>
                </c:pt>
                <c:pt idx="16">
                  <c:v>632000</c:v>
                </c:pt>
                <c:pt idx="17">
                  <c:v>748000</c:v>
                </c:pt>
                <c:pt idx="18">
                  <c:v>642000</c:v>
                </c:pt>
                <c:pt idx="19">
                  <c:v>558000</c:v>
                </c:pt>
                <c:pt idx="20">
                  <c:v>605000</c:v>
                </c:pt>
                <c:pt idx="21">
                  <c:v>511000</c:v>
                </c:pt>
                <c:pt idx="22">
                  <c:v>505000</c:v>
                </c:pt>
                <c:pt idx="23">
                  <c:v>477000</c:v>
                </c:pt>
                <c:pt idx="24">
                  <c:v>482000</c:v>
                </c:pt>
                <c:pt idx="25">
                  <c:v>508000</c:v>
                </c:pt>
                <c:pt idx="26">
                  <c:v>492000</c:v>
                </c:pt>
              </c:numCache>
            </c:numRef>
          </c:xVal>
          <c:yVal>
            <c:numRef>
              <c:f>Relationships!$F$425:$AF$425</c:f>
              <c:numCache>
                <c:formatCode>General</c:formatCode>
                <c:ptCount val="27"/>
                <c:pt idx="0">
                  <c:v>15073733.727081215</c:v>
                </c:pt>
                <c:pt idx="1">
                  <c:v>9317109.7170359995</c:v>
                </c:pt>
                <c:pt idx="2">
                  <c:v>13960385.955568802</c:v>
                </c:pt>
                <c:pt idx="3">
                  <c:v>12951268.598936448</c:v>
                </c:pt>
                <c:pt idx="4">
                  <c:v>13915210.572107857</c:v>
                </c:pt>
                <c:pt idx="5">
                  <c:v>19086964.362997342</c:v>
                </c:pt>
                <c:pt idx="6">
                  <c:v>17104848.961899597</c:v>
                </c:pt>
                <c:pt idx="7">
                  <c:v>13260858.352196401</c:v>
                </c:pt>
                <c:pt idx="8">
                  <c:v>12195250.161865054</c:v>
                </c:pt>
                <c:pt idx="9">
                  <c:v>17086357.776156764</c:v>
                </c:pt>
                <c:pt idx="10">
                  <c:v>17620050.867103875</c:v>
                </c:pt>
                <c:pt idx="11">
                  <c:v>17154163.058715936</c:v>
                </c:pt>
                <c:pt idx="12">
                  <c:v>10885377.79194624</c:v>
                </c:pt>
                <c:pt idx="13">
                  <c:v>11871375.563916</c:v>
                </c:pt>
                <c:pt idx="14">
                  <c:v>13405603.487245198</c:v>
                </c:pt>
                <c:pt idx="15">
                  <c:v>14812335.740283838</c:v>
                </c:pt>
                <c:pt idx="16">
                  <c:v>13404854.889448704</c:v>
                </c:pt>
                <c:pt idx="17">
                  <c:v>14988421.865818368</c:v>
                </c:pt>
                <c:pt idx="18">
                  <c:v>13767379.251199199</c:v>
                </c:pt>
                <c:pt idx="19">
                  <c:v>10061071.645942945</c:v>
                </c:pt>
                <c:pt idx="20">
                  <c:v>14115618.755591758</c:v>
                </c:pt>
                <c:pt idx="21">
                  <c:v>13475324.524406973</c:v>
                </c:pt>
                <c:pt idx="22">
                  <c:v>13171510.859984927</c:v>
                </c:pt>
                <c:pt idx="23">
                  <c:v>12325332.56404507</c:v>
                </c:pt>
                <c:pt idx="24">
                  <c:v>10249436.701218529</c:v>
                </c:pt>
                <c:pt idx="25">
                  <c:v>13426952.396939136</c:v>
                </c:pt>
                <c:pt idx="26">
                  <c:v>13004056.258452863</c:v>
                </c:pt>
              </c:numCache>
            </c:numRef>
          </c:yVal>
          <c:smooth val="0"/>
          <c:extLst>
            <c:ext xmlns:c16="http://schemas.microsoft.com/office/drawing/2014/chart" uri="{C3380CC4-5D6E-409C-BE32-E72D297353CC}">
              <c16:uniqueId val="{00000000-A311-4830-94F7-E463D422C06F}"/>
            </c:ext>
          </c:extLst>
        </c:ser>
        <c:dLbls>
          <c:showLegendKey val="0"/>
          <c:showVal val="0"/>
          <c:showCatName val="0"/>
          <c:showSerName val="0"/>
          <c:showPercent val="0"/>
          <c:showBubbleSize val="0"/>
        </c:dLbls>
        <c:axId val="376322448"/>
        <c:axId val="376316208"/>
      </c:scatterChart>
      <c:valAx>
        <c:axId val="3763224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Wheat area (ha)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316208"/>
        <c:crosses val="autoZero"/>
        <c:crossBetween val="midCat"/>
      </c:valAx>
      <c:valAx>
        <c:axId val="376316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Wheat N residue (kg 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3224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Relationships!$A$427:$B$427</c:f>
              <c:strCache>
                <c:ptCount val="2"/>
                <c:pt idx="0">
                  <c:v>Sorghum residue N</c:v>
                </c:pt>
                <c:pt idx="1">
                  <c:v>kg N</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1"/>
            <c:dispEq val="1"/>
            <c:trendlineLbl>
              <c:layout>
                <c:manualLayout>
                  <c:x val="-7.8263998250218722E-2"/>
                  <c:y val="-9.218722659667541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Relationships!$C$426:$AF$426</c:f>
              <c:numCache>
                <c:formatCode>General</c:formatCode>
                <c:ptCount val="30"/>
                <c:pt idx="3" formatCode="#,##0">
                  <c:v>118000</c:v>
                </c:pt>
                <c:pt idx="4" formatCode="#,##0">
                  <c:v>134000</c:v>
                </c:pt>
                <c:pt idx="5" formatCode="#,##0">
                  <c:v>167000</c:v>
                </c:pt>
                <c:pt idx="6" formatCode="#,##0">
                  <c:v>163000</c:v>
                </c:pt>
                <c:pt idx="7" formatCode="#,##0">
                  <c:v>146000</c:v>
                </c:pt>
                <c:pt idx="8" formatCode="#,##0">
                  <c:v>174000</c:v>
                </c:pt>
                <c:pt idx="9" formatCode="#,##0">
                  <c:v>161000</c:v>
                </c:pt>
                <c:pt idx="10" formatCode="#,##0">
                  <c:v>131000</c:v>
                </c:pt>
                <c:pt idx="11" formatCode="#,##0">
                  <c:v>99000</c:v>
                </c:pt>
                <c:pt idx="12" formatCode="#,##0">
                  <c:v>142000</c:v>
                </c:pt>
                <c:pt idx="13" formatCode="#,##0">
                  <c:v>88000</c:v>
                </c:pt>
                <c:pt idx="14" formatCode="#,##0">
                  <c:v>75000</c:v>
                </c:pt>
                <c:pt idx="15" formatCode="#,##0">
                  <c:v>95000</c:v>
                </c:pt>
                <c:pt idx="16" formatCode="#,##0">
                  <c:v>130000</c:v>
                </c:pt>
                <c:pt idx="17" formatCode="#,##0">
                  <c:v>86000</c:v>
                </c:pt>
                <c:pt idx="18" formatCode="#,##0">
                  <c:v>37000</c:v>
                </c:pt>
                <c:pt idx="19" formatCode="#,##0">
                  <c:v>69000</c:v>
                </c:pt>
                <c:pt idx="20" formatCode="#,##0">
                  <c:v>87000</c:v>
                </c:pt>
                <c:pt idx="21" formatCode="#,##0">
                  <c:v>86000</c:v>
                </c:pt>
                <c:pt idx="22" formatCode="#,##0">
                  <c:v>87000</c:v>
                </c:pt>
                <c:pt idx="23" formatCode="#,##0">
                  <c:v>69000</c:v>
                </c:pt>
                <c:pt idx="24" formatCode="#,##0">
                  <c:v>49000</c:v>
                </c:pt>
                <c:pt idx="25" formatCode="#,##0">
                  <c:v>63000</c:v>
                </c:pt>
                <c:pt idx="26" formatCode="#,##0">
                  <c:v>79000</c:v>
                </c:pt>
                <c:pt idx="27" formatCode="#,##0">
                  <c:v>70000</c:v>
                </c:pt>
                <c:pt idx="28" formatCode="#,##0">
                  <c:v>48000</c:v>
                </c:pt>
                <c:pt idx="29" formatCode="#,##0">
                  <c:v>42000</c:v>
                </c:pt>
              </c:numCache>
            </c:numRef>
          </c:xVal>
          <c:yVal>
            <c:numRef>
              <c:f>Relationships!$C$427:$AF$427</c:f>
              <c:numCache>
                <c:formatCode>General</c:formatCode>
                <c:ptCount val="30"/>
                <c:pt idx="2">
                  <c:v>390687.3631584</c:v>
                </c:pt>
                <c:pt idx="3">
                  <c:v>361799.87719679996</c:v>
                </c:pt>
                <c:pt idx="4">
                  <c:v>48092.127955199998</c:v>
                </c:pt>
                <c:pt idx="5">
                  <c:v>731712.72642101767</c:v>
                </c:pt>
                <c:pt idx="6">
                  <c:v>784820.45288404799</c:v>
                </c:pt>
                <c:pt idx="7">
                  <c:v>388730.34895175043</c:v>
                </c:pt>
                <c:pt idx="8">
                  <c:v>1085449.9899444769</c:v>
                </c:pt>
                <c:pt idx="9">
                  <c:v>767913.6197730815</c:v>
                </c:pt>
                <c:pt idx="10">
                  <c:v>644364.57901744312</c:v>
                </c:pt>
                <c:pt idx="11">
                  <c:v>332629.55174332805</c:v>
                </c:pt>
                <c:pt idx="12">
                  <c:v>310743.09356160002</c:v>
                </c:pt>
                <c:pt idx="13">
                  <c:v>135738.5035776</c:v>
                </c:pt>
                <c:pt idx="14">
                  <c:v>169256.39976</c:v>
                </c:pt>
                <c:pt idx="15">
                  <c:v>170266.89153600001</c:v>
                </c:pt>
                <c:pt idx="16">
                  <c:v>245534.82844799999</c:v>
                </c:pt>
                <c:pt idx="17">
                  <c:v>170159.33773440003</c:v>
                </c:pt>
                <c:pt idx="18">
                  <c:v>62943.126489599999</c:v>
                </c:pt>
                <c:pt idx="19">
                  <c:v>115864.25639040001</c:v>
                </c:pt>
                <c:pt idx="20">
                  <c:v>168245.86927680002</c:v>
                </c:pt>
                <c:pt idx="21">
                  <c:v>183064.86347520002</c:v>
                </c:pt>
                <c:pt idx="22">
                  <c:v>129857.51237760003</c:v>
                </c:pt>
                <c:pt idx="23">
                  <c:v>101755.71665280001</c:v>
                </c:pt>
                <c:pt idx="24">
                  <c:v>89691.588067199991</c:v>
                </c:pt>
                <c:pt idx="25">
                  <c:v>97499.714860800013</c:v>
                </c:pt>
                <c:pt idx="26">
                  <c:v>174429.36856800001</c:v>
                </c:pt>
                <c:pt idx="27">
                  <c:v>78790.555871999997</c:v>
                </c:pt>
                <c:pt idx="28">
                  <c:v>45956.313446399996</c:v>
                </c:pt>
                <c:pt idx="29">
                  <c:v>40211.77426559999</c:v>
                </c:pt>
              </c:numCache>
            </c:numRef>
          </c:yVal>
          <c:smooth val="0"/>
          <c:extLst>
            <c:ext xmlns:c16="http://schemas.microsoft.com/office/drawing/2014/chart" uri="{C3380CC4-5D6E-409C-BE32-E72D297353CC}">
              <c16:uniqueId val="{00000000-64E0-46CB-98E3-CC66E8C118E3}"/>
            </c:ext>
          </c:extLst>
        </c:ser>
        <c:dLbls>
          <c:showLegendKey val="0"/>
          <c:showVal val="0"/>
          <c:showCatName val="0"/>
          <c:showSerName val="0"/>
          <c:showPercent val="0"/>
          <c:showBubbleSize val="0"/>
        </c:dLbls>
        <c:axId val="332982896"/>
        <c:axId val="332987888"/>
      </c:scatterChart>
      <c:valAx>
        <c:axId val="3329828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Sorghum area (ha)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987888"/>
        <c:crosses val="autoZero"/>
        <c:crossBetween val="midCat"/>
      </c:valAx>
      <c:valAx>
        <c:axId val="332987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Sorghum N residue (kg 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9828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Relationships!$A$48:$B$48</c:f>
              <c:strCache>
                <c:ptCount val="2"/>
                <c:pt idx="0">
                  <c:v>Milk production</c:v>
                </c:pt>
                <c:pt idx="1">
                  <c:v>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8.6441382327209104E-2"/>
                  <c:y val="0.2611271507728200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Relationships!$E$47:$AE$47</c:f>
              <c:numCache>
                <c:formatCode>General</c:formatCode>
                <c:ptCount val="27"/>
                <c:pt idx="0">
                  <c:v>1167000</c:v>
                </c:pt>
                <c:pt idx="1">
                  <c:v>1153000</c:v>
                </c:pt>
                <c:pt idx="2">
                  <c:v>1174000</c:v>
                </c:pt>
                <c:pt idx="3">
                  <c:v>1092000</c:v>
                </c:pt>
                <c:pt idx="4">
                  <c:v>1088000</c:v>
                </c:pt>
                <c:pt idx="5">
                  <c:v>1397000</c:v>
                </c:pt>
                <c:pt idx="6">
                  <c:v>1487000</c:v>
                </c:pt>
                <c:pt idx="7">
                  <c:v>1571000</c:v>
                </c:pt>
                <c:pt idx="8">
                  <c:v>1608000</c:v>
                </c:pt>
                <c:pt idx="9">
                  <c:v>1606000</c:v>
                </c:pt>
                <c:pt idx="10">
                  <c:v>1284000</c:v>
                </c:pt>
                <c:pt idx="11">
                  <c:v>1575000</c:v>
                </c:pt>
                <c:pt idx="12">
                  <c:v>1611000</c:v>
                </c:pt>
                <c:pt idx="13">
                  <c:v>1528000</c:v>
                </c:pt>
                <c:pt idx="14">
                  <c:v>1626000</c:v>
                </c:pt>
                <c:pt idx="15">
                  <c:v>1835000</c:v>
                </c:pt>
                <c:pt idx="16">
                  <c:v>1697000</c:v>
                </c:pt>
                <c:pt idx="17">
                  <c:v>1799000</c:v>
                </c:pt>
                <c:pt idx="18">
                  <c:v>1819000</c:v>
                </c:pt>
                <c:pt idx="19">
                  <c:v>1788000</c:v>
                </c:pt>
                <c:pt idx="20">
                  <c:v>1868000</c:v>
                </c:pt>
                <c:pt idx="21">
                  <c:v>1852000</c:v>
                </c:pt>
                <c:pt idx="22">
                  <c:v>1916000</c:v>
                </c:pt>
                <c:pt idx="23">
                  <c:v>1931000</c:v>
                </c:pt>
                <c:pt idx="24">
                  <c:v>1976000</c:v>
                </c:pt>
                <c:pt idx="25">
                  <c:v>2121000</c:v>
                </c:pt>
                <c:pt idx="26">
                  <c:v>2126000</c:v>
                </c:pt>
              </c:numCache>
            </c:numRef>
          </c:xVal>
          <c:yVal>
            <c:numRef>
              <c:f>Relationships!$E$48:$AE$48</c:f>
              <c:numCache>
                <c:formatCode>General</c:formatCode>
                <c:ptCount val="27"/>
                <c:pt idx="0">
                  <c:v>2119000</c:v>
                </c:pt>
                <c:pt idx="1">
                  <c:v>2163000</c:v>
                </c:pt>
                <c:pt idx="2">
                  <c:v>2107000</c:v>
                </c:pt>
                <c:pt idx="3">
                  <c:v>2002000</c:v>
                </c:pt>
                <c:pt idx="4">
                  <c:v>2006000</c:v>
                </c:pt>
                <c:pt idx="5">
                  <c:v>2297000</c:v>
                </c:pt>
                <c:pt idx="6">
                  <c:v>2450000</c:v>
                </c:pt>
                <c:pt idx="7">
                  <c:v>2437000</c:v>
                </c:pt>
                <c:pt idx="8">
                  <c:v>2501000</c:v>
                </c:pt>
                <c:pt idx="9">
                  <c:v>2543000</c:v>
                </c:pt>
                <c:pt idx="10">
                  <c:v>2370000</c:v>
                </c:pt>
                <c:pt idx="11">
                  <c:v>2358000</c:v>
                </c:pt>
                <c:pt idx="12">
                  <c:v>2457000</c:v>
                </c:pt>
                <c:pt idx="13">
                  <c:v>2354000</c:v>
                </c:pt>
                <c:pt idx="14">
                  <c:v>2505000</c:v>
                </c:pt>
                <c:pt idx="15">
                  <c:v>2657000</c:v>
                </c:pt>
                <c:pt idx="16">
                  <c:v>2513000</c:v>
                </c:pt>
                <c:pt idx="17">
                  <c:v>2559000</c:v>
                </c:pt>
                <c:pt idx="18">
                  <c:v>2625000</c:v>
                </c:pt>
                <c:pt idx="19">
                  <c:v>2587000</c:v>
                </c:pt>
                <c:pt idx="20">
                  <c:v>2711000</c:v>
                </c:pt>
                <c:pt idx="21">
                  <c:v>2720000</c:v>
                </c:pt>
                <c:pt idx="22">
                  <c:v>2843000</c:v>
                </c:pt>
                <c:pt idx="23">
                  <c:v>2906000</c:v>
                </c:pt>
                <c:pt idx="24">
                  <c:v>2983000</c:v>
                </c:pt>
                <c:pt idx="25">
                  <c:v>3173000</c:v>
                </c:pt>
                <c:pt idx="26">
                  <c:v>3158000</c:v>
                </c:pt>
              </c:numCache>
            </c:numRef>
          </c:yVal>
          <c:smooth val="0"/>
          <c:extLst>
            <c:ext xmlns:c16="http://schemas.microsoft.com/office/drawing/2014/chart" uri="{C3380CC4-5D6E-409C-BE32-E72D297353CC}">
              <c16:uniqueId val="{00000000-8D8D-4494-9A8F-7CF04E4E48FA}"/>
            </c:ext>
          </c:extLst>
        </c:ser>
        <c:dLbls>
          <c:showLegendKey val="0"/>
          <c:showVal val="0"/>
          <c:showCatName val="0"/>
          <c:showSerName val="0"/>
          <c:showPercent val="0"/>
          <c:showBubbleSize val="0"/>
        </c:dLbls>
        <c:axId val="69743423"/>
        <c:axId val="69730111"/>
      </c:scatterChart>
      <c:valAx>
        <c:axId val="6974342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Milk consumption (t)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30111"/>
        <c:crosses val="autoZero"/>
        <c:crossBetween val="midCat"/>
      </c:valAx>
      <c:valAx>
        <c:axId val="69730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Milk production (t)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4342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Relationships!$A$429:$B$429</c:f>
              <c:strCache>
                <c:ptCount val="2"/>
                <c:pt idx="0">
                  <c:v>Total N residue</c:v>
                </c:pt>
                <c:pt idx="1">
                  <c:v>kg N</c:v>
                </c:pt>
              </c:strCache>
            </c:strRef>
          </c:tx>
          <c:spPr>
            <a:ln w="19050" cap="rnd">
              <a:noFill/>
              <a:round/>
            </a:ln>
            <a:effectLst/>
          </c:spPr>
          <c:marker>
            <c:symbol val="circle"/>
            <c:size val="5"/>
            <c:spPr>
              <a:solidFill>
                <a:schemeClr val="accent1"/>
              </a:solidFill>
              <a:ln w="9525">
                <a:solidFill>
                  <a:schemeClr val="accent1"/>
                </a:solidFill>
              </a:ln>
              <a:effectLst/>
            </c:spPr>
          </c:marker>
          <c:xVal>
            <c:numRef>
              <c:f>Relationships!$C$428:$AF$428</c:f>
              <c:numCache>
                <c:formatCode>General</c:formatCode>
                <c:ptCount val="30"/>
                <c:pt idx="2">
                  <c:v>181641081.67034009</c:v>
                </c:pt>
                <c:pt idx="3">
                  <c:v>161904588.63473728</c:v>
                </c:pt>
                <c:pt idx="4">
                  <c:v>168586568.68751884</c:v>
                </c:pt>
                <c:pt idx="5">
                  <c:v>181053937.43105683</c:v>
                </c:pt>
                <c:pt idx="6">
                  <c:v>190943944.29736111</c:v>
                </c:pt>
                <c:pt idx="7">
                  <c:v>148498175.42131805</c:v>
                </c:pt>
                <c:pt idx="8">
                  <c:v>163568102.08833283</c:v>
                </c:pt>
                <c:pt idx="9">
                  <c:v>172008225.4090603</c:v>
                </c:pt>
                <c:pt idx="10">
                  <c:v>149885546.99344587</c:v>
                </c:pt>
                <c:pt idx="11">
                  <c:v>148733196.70337382</c:v>
                </c:pt>
                <c:pt idx="12">
                  <c:v>170713917.7312696</c:v>
                </c:pt>
                <c:pt idx="13">
                  <c:v>139436295.3488737</c:v>
                </c:pt>
                <c:pt idx="14">
                  <c:v>152077924.20133919</c:v>
                </c:pt>
                <c:pt idx="15">
                  <c:v>150060695.13542005</c:v>
                </c:pt>
                <c:pt idx="16">
                  <c:v>134189559.18104163</c:v>
                </c:pt>
                <c:pt idx="17">
                  <c:v>136303379.1949954</c:v>
                </c:pt>
                <c:pt idx="18">
                  <c:v>91649165.525957465</c:v>
                </c:pt>
                <c:pt idx="19">
                  <c:v>124243168.78707375</c:v>
                </c:pt>
                <c:pt idx="20">
                  <c:v>141896971.98740238</c:v>
                </c:pt>
                <c:pt idx="21">
                  <c:v>126076499.16397361</c:v>
                </c:pt>
                <c:pt idx="22">
                  <c:v>137657175.95153317</c:v>
                </c:pt>
                <c:pt idx="23">
                  <c:v>127463268.48804457</c:v>
                </c:pt>
                <c:pt idx="24">
                  <c:v>140542570.43038198</c:v>
                </c:pt>
                <c:pt idx="25">
                  <c:v>145209256.81635335</c:v>
                </c:pt>
                <c:pt idx="26">
                  <c:v>138543507.46398431</c:v>
                </c:pt>
                <c:pt idx="27">
                  <c:v>134387625.18463618</c:v>
                </c:pt>
                <c:pt idx="28">
                  <c:v>103882800.68106955</c:v>
                </c:pt>
                <c:pt idx="29">
                  <c:v>135483692.45031449</c:v>
                </c:pt>
              </c:numCache>
            </c:numRef>
          </c:xVal>
          <c:yVal>
            <c:numRef>
              <c:f>Relationships!$C$429:$AF$429</c:f>
              <c:numCache>
                <c:formatCode>General</c:formatCode>
                <c:ptCount val="30"/>
                <c:pt idx="2">
                  <c:v>537778349.14263368</c:v>
                </c:pt>
                <c:pt idx="3">
                  <c:v>503233007.51376402</c:v>
                </c:pt>
                <c:pt idx="4">
                  <c:v>469069511.5822835</c:v>
                </c:pt>
                <c:pt idx="5">
                  <c:v>485572921.20647788</c:v>
                </c:pt>
                <c:pt idx="6">
                  <c:v>530710134.13645947</c:v>
                </c:pt>
                <c:pt idx="7">
                  <c:v>459104007.54067165</c:v>
                </c:pt>
                <c:pt idx="8">
                  <c:v>514060604.9439612</c:v>
                </c:pt>
                <c:pt idx="9">
                  <c:v>536207345.63600093</c:v>
                </c:pt>
                <c:pt idx="10">
                  <c:v>488754935.73039883</c:v>
                </c:pt>
                <c:pt idx="11">
                  <c:v>483182449.22643209</c:v>
                </c:pt>
                <c:pt idx="12">
                  <c:v>532469089.08129185</c:v>
                </c:pt>
                <c:pt idx="13">
                  <c:v>459294719.93354666</c:v>
                </c:pt>
                <c:pt idx="14">
                  <c:v>498250483.70226246</c:v>
                </c:pt>
                <c:pt idx="15">
                  <c:v>470695460.13022161</c:v>
                </c:pt>
                <c:pt idx="16">
                  <c:v>435705747.85614407</c:v>
                </c:pt>
                <c:pt idx="17">
                  <c:v>448821499.50579911</c:v>
                </c:pt>
                <c:pt idx="18">
                  <c:v>359749542.48783457</c:v>
                </c:pt>
                <c:pt idx="19">
                  <c:v>415070956.32498163</c:v>
                </c:pt>
                <c:pt idx="20">
                  <c:v>460225777.44077468</c:v>
                </c:pt>
                <c:pt idx="21">
                  <c:v>422778243.14353353</c:v>
                </c:pt>
                <c:pt idx="22">
                  <c:v>426696257.18937546</c:v>
                </c:pt>
                <c:pt idx="23">
                  <c:v>423526375.13031304</c:v>
                </c:pt>
                <c:pt idx="24">
                  <c:v>444115291.09951985</c:v>
                </c:pt>
                <c:pt idx="25">
                  <c:v>471759061.44967419</c:v>
                </c:pt>
                <c:pt idx="26">
                  <c:v>445243961.00493294</c:v>
                </c:pt>
                <c:pt idx="27">
                  <c:v>424195280.05951917</c:v>
                </c:pt>
                <c:pt idx="28">
                  <c:v>360561558.56597871</c:v>
                </c:pt>
                <c:pt idx="29">
                  <c:v>424742574.51432645</c:v>
                </c:pt>
              </c:numCache>
            </c:numRef>
          </c:yVal>
          <c:smooth val="0"/>
          <c:extLst>
            <c:ext xmlns:c16="http://schemas.microsoft.com/office/drawing/2014/chart" uri="{C3380CC4-5D6E-409C-BE32-E72D297353CC}">
              <c16:uniqueId val="{00000000-3886-4A79-BDC7-45C148BA0013}"/>
            </c:ext>
          </c:extLst>
        </c:ser>
        <c:dLbls>
          <c:showLegendKey val="0"/>
          <c:showVal val="0"/>
          <c:showCatName val="0"/>
          <c:showSerName val="0"/>
          <c:showPercent val="0"/>
          <c:showBubbleSize val="0"/>
        </c:dLbls>
        <c:axId val="491099488"/>
        <c:axId val="491111552"/>
      </c:scatterChart>
      <c:valAx>
        <c:axId val="4910994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Maize, wheat and sorghum N residue (kg 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111552"/>
        <c:crosses val="autoZero"/>
        <c:crossBetween val="midCat"/>
      </c:valAx>
      <c:valAx>
        <c:axId val="491111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N residue (Kg 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0994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Relationships!$A$9:$B$9</c:f>
              <c:strCache>
                <c:ptCount val="2"/>
                <c:pt idx="0">
                  <c:v>Beef production</c:v>
                </c:pt>
                <c:pt idx="1">
                  <c:v>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6385083114610668"/>
                  <c:y val="1.388888888888888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Relationships!$E$8:$AH$8</c:f>
              <c:numCache>
                <c:formatCode>General</c:formatCode>
                <c:ptCount val="30"/>
                <c:pt idx="0">
                  <c:v>668000</c:v>
                </c:pt>
                <c:pt idx="1">
                  <c:v>714000</c:v>
                </c:pt>
                <c:pt idx="2">
                  <c:v>741000</c:v>
                </c:pt>
                <c:pt idx="3">
                  <c:v>718000</c:v>
                </c:pt>
                <c:pt idx="4">
                  <c:v>663000</c:v>
                </c:pt>
                <c:pt idx="5">
                  <c:v>587000</c:v>
                </c:pt>
                <c:pt idx="6">
                  <c:v>591000</c:v>
                </c:pt>
                <c:pt idx="7">
                  <c:v>573000</c:v>
                </c:pt>
                <c:pt idx="8">
                  <c:v>560000</c:v>
                </c:pt>
                <c:pt idx="9">
                  <c:v>559000</c:v>
                </c:pt>
                <c:pt idx="10">
                  <c:v>671000</c:v>
                </c:pt>
                <c:pt idx="11">
                  <c:v>554000</c:v>
                </c:pt>
                <c:pt idx="12">
                  <c:v>602000</c:v>
                </c:pt>
                <c:pt idx="13">
                  <c:v>643000</c:v>
                </c:pt>
                <c:pt idx="14">
                  <c:v>675000</c:v>
                </c:pt>
                <c:pt idx="15">
                  <c:v>723000</c:v>
                </c:pt>
                <c:pt idx="16">
                  <c:v>825000</c:v>
                </c:pt>
                <c:pt idx="17">
                  <c:v>865000</c:v>
                </c:pt>
                <c:pt idx="18">
                  <c:v>767000</c:v>
                </c:pt>
                <c:pt idx="19">
                  <c:v>784000</c:v>
                </c:pt>
                <c:pt idx="20">
                  <c:v>880000</c:v>
                </c:pt>
                <c:pt idx="21">
                  <c:v>879000</c:v>
                </c:pt>
                <c:pt idx="22">
                  <c:v>865000</c:v>
                </c:pt>
                <c:pt idx="23">
                  <c:v>910000</c:v>
                </c:pt>
                <c:pt idx="24">
                  <c:v>981000</c:v>
                </c:pt>
                <c:pt idx="25">
                  <c:v>1023000</c:v>
                </c:pt>
                <c:pt idx="26">
                  <c:v>1072000</c:v>
                </c:pt>
                <c:pt idx="27">
                  <c:v>1025000</c:v>
                </c:pt>
                <c:pt idx="28">
                  <c:v>1018000</c:v>
                </c:pt>
                <c:pt idx="29">
                  <c:v>1006000</c:v>
                </c:pt>
              </c:numCache>
            </c:numRef>
          </c:xVal>
          <c:yVal>
            <c:numRef>
              <c:f>Relationships!$E$9:$AH$9</c:f>
              <c:numCache>
                <c:formatCode>General</c:formatCode>
                <c:ptCount val="30"/>
                <c:pt idx="0">
                  <c:v>610300</c:v>
                </c:pt>
                <c:pt idx="1">
                  <c:v>664900</c:v>
                </c:pt>
                <c:pt idx="2">
                  <c:v>703500</c:v>
                </c:pt>
                <c:pt idx="3">
                  <c:v>694000</c:v>
                </c:pt>
                <c:pt idx="4">
                  <c:v>611200</c:v>
                </c:pt>
                <c:pt idx="5">
                  <c:v>507500</c:v>
                </c:pt>
                <c:pt idx="6">
                  <c:v>507000</c:v>
                </c:pt>
                <c:pt idx="7">
                  <c:v>502400</c:v>
                </c:pt>
                <c:pt idx="8">
                  <c:v>496300</c:v>
                </c:pt>
                <c:pt idx="9">
                  <c:v>511700</c:v>
                </c:pt>
                <c:pt idx="10">
                  <c:v>624600</c:v>
                </c:pt>
                <c:pt idx="11">
                  <c:v>524300</c:v>
                </c:pt>
                <c:pt idx="12">
                  <c:v>573400</c:v>
                </c:pt>
                <c:pt idx="13">
                  <c:v>609700</c:v>
                </c:pt>
                <c:pt idx="14">
                  <c:v>631700</c:v>
                </c:pt>
                <c:pt idx="15">
                  <c:v>672300</c:v>
                </c:pt>
                <c:pt idx="16">
                  <c:v>808100</c:v>
                </c:pt>
                <c:pt idx="17">
                  <c:v>861400</c:v>
                </c:pt>
                <c:pt idx="18">
                  <c:v>770200</c:v>
                </c:pt>
                <c:pt idx="19">
                  <c:v>796700</c:v>
                </c:pt>
                <c:pt idx="20">
                  <c:v>885800</c:v>
                </c:pt>
                <c:pt idx="21">
                  <c:v>869500</c:v>
                </c:pt>
                <c:pt idx="22">
                  <c:v>852100</c:v>
                </c:pt>
                <c:pt idx="23">
                  <c:v>904500</c:v>
                </c:pt>
                <c:pt idx="24">
                  <c:v>982600</c:v>
                </c:pt>
                <c:pt idx="25">
                  <c:v>1037900</c:v>
                </c:pt>
                <c:pt idx="26">
                  <c:v>1090900</c:v>
                </c:pt>
                <c:pt idx="28">
                  <c:v>1026800</c:v>
                </c:pt>
                <c:pt idx="29">
                  <c:v>1018900</c:v>
                </c:pt>
              </c:numCache>
            </c:numRef>
          </c:yVal>
          <c:smooth val="0"/>
          <c:extLst>
            <c:ext xmlns:c16="http://schemas.microsoft.com/office/drawing/2014/chart" uri="{C3380CC4-5D6E-409C-BE32-E72D297353CC}">
              <c16:uniqueId val="{00000000-D8AE-421A-8CBA-FF9B1A39B6E5}"/>
            </c:ext>
          </c:extLst>
        </c:ser>
        <c:dLbls>
          <c:showLegendKey val="0"/>
          <c:showVal val="0"/>
          <c:showCatName val="0"/>
          <c:showSerName val="0"/>
          <c:showPercent val="0"/>
          <c:showBubbleSize val="0"/>
        </c:dLbls>
        <c:axId val="491098240"/>
        <c:axId val="491098656"/>
      </c:scatterChart>
      <c:valAx>
        <c:axId val="4910982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Beef consumption (t)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098656"/>
        <c:crosses val="autoZero"/>
        <c:crossBetween val="midCat"/>
      </c:valAx>
      <c:valAx>
        <c:axId val="491098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Beef production (t)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0982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Relationships!$A$10:$B$10</c:f>
              <c:strCache>
                <c:ptCount val="2"/>
                <c:pt idx="0">
                  <c:v>Commercial cattle</c:v>
                </c:pt>
                <c:pt idx="1">
                  <c:v>Head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4457261592300963"/>
                  <c:y val="0.1289843977836103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Relationships!$E$9:$AG$9</c:f>
              <c:numCache>
                <c:formatCode>General</c:formatCode>
                <c:ptCount val="29"/>
                <c:pt idx="0">
                  <c:v>610300</c:v>
                </c:pt>
                <c:pt idx="1">
                  <c:v>664900</c:v>
                </c:pt>
                <c:pt idx="2">
                  <c:v>703500</c:v>
                </c:pt>
                <c:pt idx="3">
                  <c:v>694000</c:v>
                </c:pt>
                <c:pt idx="4">
                  <c:v>611200</c:v>
                </c:pt>
                <c:pt idx="5">
                  <c:v>507500</c:v>
                </c:pt>
                <c:pt idx="6">
                  <c:v>507000</c:v>
                </c:pt>
                <c:pt idx="7">
                  <c:v>502400</c:v>
                </c:pt>
                <c:pt idx="8">
                  <c:v>496300</c:v>
                </c:pt>
                <c:pt idx="9">
                  <c:v>511700</c:v>
                </c:pt>
                <c:pt idx="10">
                  <c:v>624600</c:v>
                </c:pt>
                <c:pt idx="11">
                  <c:v>524300</c:v>
                </c:pt>
                <c:pt idx="12">
                  <c:v>573400</c:v>
                </c:pt>
                <c:pt idx="13">
                  <c:v>609700</c:v>
                </c:pt>
                <c:pt idx="14">
                  <c:v>631700</c:v>
                </c:pt>
                <c:pt idx="15">
                  <c:v>672300</c:v>
                </c:pt>
                <c:pt idx="16">
                  <c:v>808100</c:v>
                </c:pt>
                <c:pt idx="17">
                  <c:v>861400</c:v>
                </c:pt>
                <c:pt idx="18">
                  <c:v>770200</c:v>
                </c:pt>
                <c:pt idx="19">
                  <c:v>796700</c:v>
                </c:pt>
                <c:pt idx="20">
                  <c:v>885800</c:v>
                </c:pt>
                <c:pt idx="21">
                  <c:v>869500</c:v>
                </c:pt>
                <c:pt idx="22">
                  <c:v>852100</c:v>
                </c:pt>
                <c:pt idx="23">
                  <c:v>904500</c:v>
                </c:pt>
                <c:pt idx="24">
                  <c:v>982600</c:v>
                </c:pt>
                <c:pt idx="25">
                  <c:v>1037900</c:v>
                </c:pt>
                <c:pt idx="26">
                  <c:v>1090900</c:v>
                </c:pt>
                <c:pt idx="28">
                  <c:v>1026800</c:v>
                </c:pt>
              </c:numCache>
            </c:numRef>
          </c:xVal>
          <c:yVal>
            <c:numRef>
              <c:f>Relationships!$E$10:$AG$10</c:f>
              <c:numCache>
                <c:formatCode>General</c:formatCode>
                <c:ptCount val="29"/>
                <c:pt idx="0">
                  <c:v>6817100</c:v>
                </c:pt>
                <c:pt idx="1">
                  <c:v>6522860</c:v>
                </c:pt>
                <c:pt idx="2">
                  <c:v>6520490</c:v>
                </c:pt>
                <c:pt idx="3">
                  <c:v>6100150</c:v>
                </c:pt>
                <c:pt idx="4">
                  <c:v>6284050</c:v>
                </c:pt>
                <c:pt idx="5">
                  <c:v>6426930</c:v>
                </c:pt>
                <c:pt idx="6">
                  <c:v>6693540</c:v>
                </c:pt>
                <c:pt idx="7">
                  <c:v>6947100</c:v>
                </c:pt>
                <c:pt idx="8">
                  <c:v>7007270</c:v>
                </c:pt>
                <c:pt idx="9">
                  <c:v>6893880</c:v>
                </c:pt>
                <c:pt idx="10">
                  <c:v>6425570</c:v>
                </c:pt>
                <c:pt idx="11">
                  <c:v>6458960</c:v>
                </c:pt>
                <c:pt idx="12">
                  <c:v>6019810</c:v>
                </c:pt>
                <c:pt idx="13">
                  <c:v>6177270</c:v>
                </c:pt>
                <c:pt idx="14">
                  <c:v>6234220</c:v>
                </c:pt>
                <c:pt idx="15">
                  <c:v>6287100</c:v>
                </c:pt>
                <c:pt idx="16">
                  <c:v>6143880</c:v>
                </c:pt>
                <c:pt idx="17">
                  <c:v>6323880</c:v>
                </c:pt>
                <c:pt idx="18">
                  <c:v>6148152.25</c:v>
                </c:pt>
                <c:pt idx="19">
                  <c:v>6044920.583333333</c:v>
                </c:pt>
                <c:pt idx="20">
                  <c:v>6025917.666666667</c:v>
                </c:pt>
                <c:pt idx="21">
                  <c:v>6004279.833333333</c:v>
                </c:pt>
                <c:pt idx="22">
                  <c:v>7105366.333333334</c:v>
                </c:pt>
                <c:pt idx="23">
                  <c:v>5896311</c:v>
                </c:pt>
                <c:pt idx="24">
                  <c:v>6031835</c:v>
                </c:pt>
                <c:pt idx="25">
                  <c:v>5893460</c:v>
                </c:pt>
                <c:pt idx="26">
                  <c:v>5611164</c:v>
                </c:pt>
                <c:pt idx="27">
                  <c:v>5220425</c:v>
                </c:pt>
              </c:numCache>
            </c:numRef>
          </c:yVal>
          <c:smooth val="0"/>
          <c:extLst>
            <c:ext xmlns:c16="http://schemas.microsoft.com/office/drawing/2014/chart" uri="{C3380CC4-5D6E-409C-BE32-E72D297353CC}">
              <c16:uniqueId val="{00000000-A4B5-46FD-8F5E-5E56DBF4945B}"/>
            </c:ext>
          </c:extLst>
        </c:ser>
        <c:dLbls>
          <c:showLegendKey val="0"/>
          <c:showVal val="0"/>
          <c:showCatName val="0"/>
          <c:showSerName val="0"/>
          <c:showPercent val="0"/>
          <c:showBubbleSize val="0"/>
        </c:dLbls>
        <c:axId val="446200816"/>
        <c:axId val="446209552"/>
      </c:scatterChart>
      <c:valAx>
        <c:axId val="446200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Beef production (t)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209552"/>
        <c:crosses val="autoZero"/>
        <c:crossBetween val="midCat"/>
      </c:valAx>
      <c:valAx>
        <c:axId val="446209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Commercial cattle (head)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2008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Relationships!$A$53:$B$53</c:f>
              <c:strCache>
                <c:ptCount val="2"/>
                <c:pt idx="0">
                  <c:v>Non-lactating cattle</c:v>
                </c:pt>
                <c:pt idx="1">
                  <c:v>Head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7092125984251968"/>
                  <c:y val="3.703703703703703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Relationships!$E$52:$AF$52</c:f>
              <c:numCache>
                <c:formatCode>General</c:formatCode>
                <c:ptCount val="28"/>
                <c:pt idx="0">
                  <c:v>887480</c:v>
                </c:pt>
                <c:pt idx="1">
                  <c:v>1021720.0000000001</c:v>
                </c:pt>
                <c:pt idx="2">
                  <c:v>883920</c:v>
                </c:pt>
                <c:pt idx="3">
                  <c:v>937480</c:v>
                </c:pt>
                <c:pt idx="4">
                  <c:v>869680</c:v>
                </c:pt>
                <c:pt idx="5">
                  <c:v>930360</c:v>
                </c:pt>
                <c:pt idx="6">
                  <c:v>933920</c:v>
                </c:pt>
                <c:pt idx="7">
                  <c:v>900360</c:v>
                </c:pt>
                <c:pt idx="8">
                  <c:v>889680.00000000012</c:v>
                </c:pt>
                <c:pt idx="9">
                  <c:v>873920</c:v>
                </c:pt>
                <c:pt idx="10">
                  <c:v>1125280</c:v>
                </c:pt>
                <c:pt idx="11">
                  <c:v>1121720</c:v>
                </c:pt>
                <c:pt idx="12">
                  <c:v>978160.00000000012</c:v>
                </c:pt>
                <c:pt idx="13">
                  <c:v>889680.00000000012</c:v>
                </c:pt>
                <c:pt idx="14">
                  <c:v>859000</c:v>
                </c:pt>
                <c:pt idx="15">
                  <c:v>919680</c:v>
                </c:pt>
                <c:pt idx="16">
                  <c:v>899680</c:v>
                </c:pt>
                <c:pt idx="17">
                  <c:v>893240.00000000012</c:v>
                </c:pt>
                <c:pt idx="18">
                  <c:v>1093920</c:v>
                </c:pt>
                <c:pt idx="19">
                  <c:v>1121040</c:v>
                </c:pt>
                <c:pt idx="20">
                  <c:v>1121040</c:v>
                </c:pt>
                <c:pt idx="21">
                  <c:v>1080360</c:v>
                </c:pt>
                <c:pt idx="22">
                  <c:v>1040360.0000000001</c:v>
                </c:pt>
                <c:pt idx="23">
                  <c:v>1121720</c:v>
                </c:pt>
                <c:pt idx="24">
                  <c:v>1060360.0000000002</c:v>
                </c:pt>
                <c:pt idx="25">
                  <c:v>1073240</c:v>
                </c:pt>
                <c:pt idx="26">
                  <c:v>1113240.0000000002</c:v>
                </c:pt>
                <c:pt idx="27">
                  <c:v>1197480.0000000002</c:v>
                </c:pt>
              </c:numCache>
            </c:numRef>
          </c:xVal>
          <c:yVal>
            <c:numRef>
              <c:f>Relationships!$E$53:$AF$53</c:f>
              <c:numCache>
                <c:formatCode>General</c:formatCode>
                <c:ptCount val="28"/>
                <c:pt idx="0">
                  <c:v>585792.9</c:v>
                </c:pt>
                <c:pt idx="1">
                  <c:v>665847.14000000013</c:v>
                </c:pt>
                <c:pt idx="2">
                  <c:v>575959.50999999989</c:v>
                </c:pt>
                <c:pt idx="3">
                  <c:v>602759.85000000009</c:v>
                </c:pt>
                <c:pt idx="4">
                  <c:v>536625.95000000007</c:v>
                </c:pt>
                <c:pt idx="5">
                  <c:v>583093.06999999995</c:v>
                </c:pt>
                <c:pt idx="6">
                  <c:v>592926.46</c:v>
                </c:pt>
                <c:pt idx="7">
                  <c:v>572912.89999999991</c:v>
                </c:pt>
                <c:pt idx="8">
                  <c:v>543412.73</c:v>
                </c:pt>
                <c:pt idx="9">
                  <c:v>572566.12</c:v>
                </c:pt>
                <c:pt idx="10">
                  <c:v>709614.43</c:v>
                </c:pt>
                <c:pt idx="11">
                  <c:v>699781.04</c:v>
                </c:pt>
                <c:pt idx="12">
                  <c:v>642440.19000000006</c:v>
                </c:pt>
                <c:pt idx="13">
                  <c:v>543412.73</c:v>
                </c:pt>
                <c:pt idx="14">
                  <c:v>507125.77999999997</c:v>
                </c:pt>
                <c:pt idx="15">
                  <c:v>553592.9</c:v>
                </c:pt>
                <c:pt idx="16">
                  <c:v>546806.12</c:v>
                </c:pt>
                <c:pt idx="17">
                  <c:v>553246.12</c:v>
                </c:pt>
                <c:pt idx="18">
                  <c:v>647220.70000000019</c:v>
                </c:pt>
                <c:pt idx="19">
                  <c:v>673674.26</c:v>
                </c:pt>
                <c:pt idx="20">
                  <c:v>673674.26</c:v>
                </c:pt>
                <c:pt idx="21">
                  <c:v>633993.92000000016</c:v>
                </c:pt>
                <c:pt idx="22">
                  <c:v>620420.36</c:v>
                </c:pt>
                <c:pt idx="23">
                  <c:v>699781.04</c:v>
                </c:pt>
                <c:pt idx="24">
                  <c:v>627207.14</c:v>
                </c:pt>
                <c:pt idx="25">
                  <c:v>614327.14</c:v>
                </c:pt>
                <c:pt idx="26">
                  <c:v>627900.70000000007</c:v>
                </c:pt>
                <c:pt idx="27">
                  <c:v>690987.99</c:v>
                </c:pt>
              </c:numCache>
            </c:numRef>
          </c:yVal>
          <c:smooth val="0"/>
          <c:extLst>
            <c:ext xmlns:c16="http://schemas.microsoft.com/office/drawing/2014/chart" uri="{C3380CC4-5D6E-409C-BE32-E72D297353CC}">
              <c16:uniqueId val="{00000000-A92A-4076-8289-7933672155F3}"/>
            </c:ext>
          </c:extLst>
        </c:ser>
        <c:dLbls>
          <c:showLegendKey val="0"/>
          <c:showVal val="0"/>
          <c:showCatName val="0"/>
          <c:showSerName val="0"/>
          <c:showPercent val="0"/>
          <c:showBubbleSize val="0"/>
        </c:dLbls>
        <c:axId val="491108224"/>
        <c:axId val="491101984"/>
      </c:scatterChart>
      <c:valAx>
        <c:axId val="4911082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Dairy cattle (head)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101984"/>
        <c:crosses val="autoZero"/>
        <c:crossBetween val="midCat"/>
      </c:valAx>
      <c:valAx>
        <c:axId val="491101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Non-lactating cattle (head)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1082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Relationships!$A$88:$B$88</c:f>
              <c:strCache>
                <c:ptCount val="2"/>
                <c:pt idx="0">
                  <c:v>Subsistence sheep</c:v>
                </c:pt>
                <c:pt idx="1">
                  <c:v>head</c:v>
                </c:pt>
              </c:strCache>
            </c:strRef>
          </c:tx>
          <c:spPr>
            <a:ln w="19050" cap="rnd">
              <a:noFill/>
              <a:round/>
            </a:ln>
            <a:effectLst/>
          </c:spPr>
          <c:marker>
            <c:symbol val="circle"/>
            <c:size val="5"/>
            <c:spPr>
              <a:solidFill>
                <a:schemeClr val="accent1"/>
              </a:solidFill>
              <a:ln w="9525">
                <a:solidFill>
                  <a:schemeClr val="accent1"/>
                </a:solidFill>
              </a:ln>
              <a:effectLst/>
            </c:spPr>
          </c:marker>
          <c:xVal>
            <c:numRef>
              <c:f>Relationships!$C$87:$AF$87</c:f>
              <c:numCache>
                <c:formatCode>General</c:formatCode>
                <c:ptCount val="30"/>
                <c:pt idx="2">
                  <c:v>29979000</c:v>
                </c:pt>
                <c:pt idx="3">
                  <c:v>28631000</c:v>
                </c:pt>
                <c:pt idx="4">
                  <c:v>27448000</c:v>
                </c:pt>
                <c:pt idx="5">
                  <c:v>25670000</c:v>
                </c:pt>
                <c:pt idx="6">
                  <c:v>25851000</c:v>
                </c:pt>
                <c:pt idx="7">
                  <c:v>25481000</c:v>
                </c:pt>
                <c:pt idx="8">
                  <c:v>25566000</c:v>
                </c:pt>
                <c:pt idx="9">
                  <c:v>25010000</c:v>
                </c:pt>
                <c:pt idx="10">
                  <c:v>25079000</c:v>
                </c:pt>
                <c:pt idx="11">
                  <c:v>24463000</c:v>
                </c:pt>
                <c:pt idx="12">
                  <c:v>23586000</c:v>
                </c:pt>
                <c:pt idx="13">
                  <c:v>22998000</c:v>
                </c:pt>
                <c:pt idx="14">
                  <c:v>22614000</c:v>
                </c:pt>
                <c:pt idx="15">
                  <c:v>22693000</c:v>
                </c:pt>
                <c:pt idx="16">
                  <c:v>22289000</c:v>
                </c:pt>
                <c:pt idx="17">
                  <c:v>22236000</c:v>
                </c:pt>
                <c:pt idx="18">
                  <c:v>21945000</c:v>
                </c:pt>
                <c:pt idx="19">
                  <c:v>21924000</c:v>
                </c:pt>
                <c:pt idx="20">
                  <c:v>21995000</c:v>
                </c:pt>
                <c:pt idx="21">
                  <c:v>21917000</c:v>
                </c:pt>
                <c:pt idx="22">
                  <c:v>21493000</c:v>
                </c:pt>
                <c:pt idx="23">
                  <c:v>21325000</c:v>
                </c:pt>
                <c:pt idx="24">
                  <c:v>21427000</c:v>
                </c:pt>
                <c:pt idx="25">
                  <c:v>21589000</c:v>
                </c:pt>
                <c:pt idx="26">
                  <c:v>21202000</c:v>
                </c:pt>
                <c:pt idx="27">
                  <c:v>21033000</c:v>
                </c:pt>
                <c:pt idx="28">
                  <c:v>20438000</c:v>
                </c:pt>
                <c:pt idx="29">
                  <c:v>19942000</c:v>
                </c:pt>
              </c:numCache>
            </c:numRef>
          </c:xVal>
          <c:yVal>
            <c:numRef>
              <c:f>Relationships!$C$88:$AF$88</c:f>
              <c:numCache>
                <c:formatCode>General</c:formatCode>
                <c:ptCount val="30"/>
                <c:pt idx="2" formatCode="#,##0">
                  <c:v>4183862.7657327033</c:v>
                </c:pt>
                <c:pt idx="3" formatCode="#,##0">
                  <c:v>3995736.176846893</c:v>
                </c:pt>
                <c:pt idx="4" formatCode="#,##0">
                  <c:v>3830636.9523276691</c:v>
                </c:pt>
                <c:pt idx="5" formatCode="#,##0">
                  <c:v>3582499.6563046947</c:v>
                </c:pt>
                <c:pt idx="6" formatCode="#,##0">
                  <c:v>3607759.9772159201</c:v>
                </c:pt>
                <c:pt idx="7" formatCode="#,##0">
                  <c:v>3556122.8571211505</c:v>
                </c:pt>
                <c:pt idx="8" formatCode="#,##0">
                  <c:v>3567985.4387645442</c:v>
                </c:pt>
                <c:pt idx="9" formatCode="#,##0">
                  <c:v>3490390.1988383494</c:v>
                </c:pt>
                <c:pt idx="10" formatCode="#,##0">
                  <c:v>3500019.8239371148</c:v>
                </c:pt>
                <c:pt idx="11" formatCode="#,##0">
                  <c:v>3414050.9969685255</c:v>
                </c:pt>
                <c:pt idx="12" formatCode="#,##0">
                  <c:v>3291657.0663655167</c:v>
                </c:pt>
                <c:pt idx="13" formatCode="#,##0">
                  <c:v>3209595.9133500443</c:v>
                </c:pt>
                <c:pt idx="14" formatCode="#,##0">
                  <c:v>3156004.9562787162</c:v>
                </c:pt>
                <c:pt idx="15" formatCode="#,##0">
                  <c:v>3167030.179217869</c:v>
                </c:pt>
                <c:pt idx="16" formatCode="#,##0">
                  <c:v>3110648.0264657424</c:v>
                </c:pt>
                <c:pt idx="17" formatCode="#,##0">
                  <c:v>3103251.3579116263</c:v>
                </c:pt>
                <c:pt idx="18" formatCode="#,##0">
                  <c:v>3062639.4607560108</c:v>
                </c:pt>
                <c:pt idx="19" formatCode="#,##0">
                  <c:v>3059708.705291172</c:v>
                </c:pt>
                <c:pt idx="20" formatCode="#,##0">
                  <c:v>3069617.4499580064</c:v>
                </c:pt>
                <c:pt idx="21" formatCode="#,##0">
                  <c:v>3058731.7868028935</c:v>
                </c:pt>
                <c:pt idx="22" formatCode="#,##0">
                  <c:v>2999558.4383699675</c:v>
                </c:pt>
                <c:pt idx="23" formatCode="#,##0">
                  <c:v>2976112.3946512612</c:v>
                </c:pt>
                <c:pt idx="24" formatCode="#,##0">
                  <c:v>2990347.4926233329</c:v>
                </c:pt>
                <c:pt idx="25" formatCode="#,##0">
                  <c:v>3012956.1776378001</c:v>
                </c:pt>
                <c:pt idx="26" formatCode="#,##0">
                  <c:v>2958946.5412143515</c:v>
                </c:pt>
                <c:pt idx="27" formatCode="#,##0">
                  <c:v>2935360.9377116049</c:v>
                </c:pt>
                <c:pt idx="28" formatCode="#,##0">
                  <c:v>2852322.866207853</c:v>
                </c:pt>
                <c:pt idx="29" formatCode="#,##0">
                  <c:v>2783101.2133240537</c:v>
                </c:pt>
              </c:numCache>
            </c:numRef>
          </c:yVal>
          <c:smooth val="0"/>
          <c:extLst>
            <c:ext xmlns:c16="http://schemas.microsoft.com/office/drawing/2014/chart" uri="{C3380CC4-5D6E-409C-BE32-E72D297353CC}">
              <c16:uniqueId val="{00000000-070C-471E-9518-550AED7F2DFD}"/>
            </c:ext>
          </c:extLst>
        </c:ser>
        <c:dLbls>
          <c:showLegendKey val="0"/>
          <c:showVal val="0"/>
          <c:showCatName val="0"/>
          <c:showSerName val="0"/>
          <c:showPercent val="0"/>
          <c:showBubbleSize val="0"/>
        </c:dLbls>
        <c:axId val="287003616"/>
        <c:axId val="287000704"/>
      </c:scatterChart>
      <c:valAx>
        <c:axId val="287003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000704"/>
        <c:crosses val="autoZero"/>
        <c:crossBetween val="midCat"/>
      </c:valAx>
      <c:valAx>
        <c:axId val="28700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0036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Relationships!$A$122</c:f>
              <c:strCache>
                <c:ptCount val="1"/>
                <c:pt idx="0">
                  <c:v>Commercial sheep population</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1677165354330708"/>
                  <c:y val="-1.6385972586759989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Relationships!$B$121:$AF$121</c:f>
              <c:numCache>
                <c:formatCode>General</c:formatCode>
                <c:ptCount val="31"/>
                <c:pt idx="3">
                  <c:v>2774000</c:v>
                </c:pt>
                <c:pt idx="4">
                  <c:v>2453000</c:v>
                </c:pt>
                <c:pt idx="5">
                  <c:v>2285000</c:v>
                </c:pt>
                <c:pt idx="6">
                  <c:v>2159000</c:v>
                </c:pt>
                <c:pt idx="7">
                  <c:v>2337000</c:v>
                </c:pt>
                <c:pt idx="8">
                  <c:v>2369000</c:v>
                </c:pt>
                <c:pt idx="9">
                  <c:v>2406000</c:v>
                </c:pt>
                <c:pt idx="10">
                  <c:v>2394000</c:v>
                </c:pt>
                <c:pt idx="11">
                  <c:v>2360000</c:v>
                </c:pt>
                <c:pt idx="12">
                  <c:v>2325000</c:v>
                </c:pt>
                <c:pt idx="13">
                  <c:v>2355000</c:v>
                </c:pt>
                <c:pt idx="14">
                  <c:v>2427000</c:v>
                </c:pt>
                <c:pt idx="15">
                  <c:v>2216000</c:v>
                </c:pt>
                <c:pt idx="16">
                  <c:v>2160000</c:v>
                </c:pt>
                <c:pt idx="17">
                  <c:v>2164000</c:v>
                </c:pt>
                <c:pt idx="18">
                  <c:v>2136000</c:v>
                </c:pt>
                <c:pt idx="19">
                  <c:v>2181000</c:v>
                </c:pt>
                <c:pt idx="20">
                  <c:v>2116000</c:v>
                </c:pt>
                <c:pt idx="21">
                  <c:v>2114000</c:v>
                </c:pt>
                <c:pt idx="22">
                  <c:v>2077000</c:v>
                </c:pt>
                <c:pt idx="23">
                  <c:v>2052000</c:v>
                </c:pt>
                <c:pt idx="24">
                  <c:v>2033000</c:v>
                </c:pt>
                <c:pt idx="25">
                  <c:v>2028000</c:v>
                </c:pt>
                <c:pt idx="26">
                  <c:v>2005000</c:v>
                </c:pt>
                <c:pt idx="27">
                  <c:v>1987000</c:v>
                </c:pt>
                <c:pt idx="28">
                  <c:v>1960000</c:v>
                </c:pt>
                <c:pt idx="29">
                  <c:v>1901000</c:v>
                </c:pt>
                <c:pt idx="30">
                  <c:v>1843000</c:v>
                </c:pt>
              </c:numCache>
            </c:numRef>
          </c:xVal>
          <c:yVal>
            <c:numRef>
              <c:f>Relationships!$B$122:$AF$122</c:f>
              <c:numCache>
                <c:formatCode>General</c:formatCode>
                <c:ptCount val="31"/>
                <c:pt idx="3">
                  <c:v>29979000</c:v>
                </c:pt>
                <c:pt idx="4">
                  <c:v>28631000</c:v>
                </c:pt>
                <c:pt idx="5">
                  <c:v>27448000</c:v>
                </c:pt>
                <c:pt idx="6">
                  <c:v>25670000</c:v>
                </c:pt>
                <c:pt idx="7">
                  <c:v>25851000</c:v>
                </c:pt>
                <c:pt idx="8">
                  <c:v>25481000</c:v>
                </c:pt>
                <c:pt idx="9">
                  <c:v>25566000</c:v>
                </c:pt>
                <c:pt idx="10">
                  <c:v>25010000</c:v>
                </c:pt>
                <c:pt idx="11">
                  <c:v>25079000</c:v>
                </c:pt>
                <c:pt idx="12">
                  <c:v>24463000</c:v>
                </c:pt>
                <c:pt idx="13">
                  <c:v>23586000</c:v>
                </c:pt>
                <c:pt idx="14">
                  <c:v>22998000</c:v>
                </c:pt>
                <c:pt idx="15">
                  <c:v>22614000</c:v>
                </c:pt>
                <c:pt idx="16">
                  <c:v>22693000</c:v>
                </c:pt>
                <c:pt idx="17">
                  <c:v>22289000</c:v>
                </c:pt>
                <c:pt idx="18">
                  <c:v>22236000</c:v>
                </c:pt>
                <c:pt idx="19">
                  <c:v>21945000</c:v>
                </c:pt>
                <c:pt idx="20">
                  <c:v>21924000</c:v>
                </c:pt>
                <c:pt idx="21">
                  <c:v>21995000</c:v>
                </c:pt>
                <c:pt idx="22">
                  <c:v>21917000</c:v>
                </c:pt>
                <c:pt idx="23">
                  <c:v>21493000</c:v>
                </c:pt>
                <c:pt idx="24">
                  <c:v>21325000</c:v>
                </c:pt>
                <c:pt idx="25">
                  <c:v>21427000</c:v>
                </c:pt>
                <c:pt idx="26">
                  <c:v>21589000</c:v>
                </c:pt>
                <c:pt idx="27">
                  <c:v>21202000</c:v>
                </c:pt>
                <c:pt idx="28">
                  <c:v>21033000</c:v>
                </c:pt>
                <c:pt idx="29">
                  <c:v>20438000</c:v>
                </c:pt>
                <c:pt idx="30">
                  <c:v>19942000</c:v>
                </c:pt>
              </c:numCache>
            </c:numRef>
          </c:yVal>
          <c:smooth val="0"/>
          <c:extLst>
            <c:ext xmlns:c16="http://schemas.microsoft.com/office/drawing/2014/chart" uri="{C3380CC4-5D6E-409C-BE32-E72D297353CC}">
              <c16:uniqueId val="{00000000-4575-4859-B46A-808BD91C0F60}"/>
            </c:ext>
          </c:extLst>
        </c:ser>
        <c:dLbls>
          <c:showLegendKey val="0"/>
          <c:showVal val="0"/>
          <c:showCatName val="0"/>
          <c:showSerName val="0"/>
          <c:showPercent val="0"/>
          <c:showBubbleSize val="0"/>
        </c:dLbls>
        <c:axId val="287002784"/>
        <c:axId val="287013184"/>
      </c:scatterChart>
      <c:valAx>
        <c:axId val="287002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013184"/>
        <c:crosses val="autoZero"/>
        <c:crossBetween val="midCat"/>
      </c:valAx>
      <c:valAx>
        <c:axId val="28701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0027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Relationships!$A$21:$B$21</c:f>
              <c:strCache>
                <c:ptCount val="2"/>
                <c:pt idx="0">
                  <c:v>Feedlot cattle</c:v>
                </c:pt>
                <c:pt idx="1">
                  <c:v>Head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2437467191601049"/>
                  <c:y val="-2.209572761738115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Relationships!$O$20:$AF$20</c:f>
              <c:numCache>
                <c:formatCode>General</c:formatCode>
                <c:ptCount val="18"/>
                <c:pt idx="0">
                  <c:v>671000</c:v>
                </c:pt>
                <c:pt idx="1">
                  <c:v>554000</c:v>
                </c:pt>
                <c:pt idx="2">
                  <c:v>602000</c:v>
                </c:pt>
                <c:pt idx="3">
                  <c:v>643000</c:v>
                </c:pt>
                <c:pt idx="4">
                  <c:v>675000</c:v>
                </c:pt>
                <c:pt idx="5">
                  <c:v>723000</c:v>
                </c:pt>
                <c:pt idx="6">
                  <c:v>825000</c:v>
                </c:pt>
                <c:pt idx="7">
                  <c:v>865000</c:v>
                </c:pt>
                <c:pt idx="8">
                  <c:v>767000</c:v>
                </c:pt>
                <c:pt idx="9">
                  <c:v>784000</c:v>
                </c:pt>
                <c:pt idx="10">
                  <c:v>880000</c:v>
                </c:pt>
                <c:pt idx="11">
                  <c:v>879000</c:v>
                </c:pt>
                <c:pt idx="12">
                  <c:v>865000</c:v>
                </c:pt>
                <c:pt idx="13">
                  <c:v>910000</c:v>
                </c:pt>
                <c:pt idx="14">
                  <c:v>981000</c:v>
                </c:pt>
                <c:pt idx="15">
                  <c:v>1023000</c:v>
                </c:pt>
                <c:pt idx="16">
                  <c:v>1072000</c:v>
                </c:pt>
                <c:pt idx="17">
                  <c:v>1025000</c:v>
                </c:pt>
              </c:numCache>
            </c:numRef>
          </c:xVal>
          <c:yVal>
            <c:numRef>
              <c:f>Relationships!$O$21:$AF$21</c:f>
              <c:numCache>
                <c:formatCode>General</c:formatCode>
                <c:ptCount val="18"/>
                <c:pt idx="0">
                  <c:v>420000</c:v>
                </c:pt>
                <c:pt idx="1">
                  <c:v>420000</c:v>
                </c:pt>
                <c:pt idx="2">
                  <c:v>420000</c:v>
                </c:pt>
                <c:pt idx="3">
                  <c:v>420000</c:v>
                </c:pt>
                <c:pt idx="4">
                  <c:v>420000</c:v>
                </c:pt>
                <c:pt idx="5">
                  <c:v>420000</c:v>
                </c:pt>
                <c:pt idx="6">
                  <c:v>420000</c:v>
                </c:pt>
                <c:pt idx="7">
                  <c:v>420000</c:v>
                </c:pt>
                <c:pt idx="8">
                  <c:v>391147.75</c:v>
                </c:pt>
                <c:pt idx="9">
                  <c:v>400819.41666666669</c:v>
                </c:pt>
                <c:pt idx="10">
                  <c:v>399822.33333333331</c:v>
                </c:pt>
                <c:pt idx="11">
                  <c:v>461800.16666666669</c:v>
                </c:pt>
                <c:pt idx="12">
                  <c:v>484273.66666666669</c:v>
                </c:pt>
                <c:pt idx="13">
                  <c:v>502649</c:v>
                </c:pt>
                <c:pt idx="14">
                  <c:v>521025</c:v>
                </c:pt>
                <c:pt idx="15">
                  <c:v>539400</c:v>
                </c:pt>
                <c:pt idx="16">
                  <c:v>568136</c:v>
                </c:pt>
                <c:pt idx="17">
                  <c:v>591585</c:v>
                </c:pt>
              </c:numCache>
            </c:numRef>
          </c:yVal>
          <c:smooth val="0"/>
          <c:extLst>
            <c:ext xmlns:c16="http://schemas.microsoft.com/office/drawing/2014/chart" uri="{C3380CC4-5D6E-409C-BE32-E72D297353CC}">
              <c16:uniqueId val="{00000000-95DF-4796-AEEF-8BF08F9811A9}"/>
            </c:ext>
          </c:extLst>
        </c:ser>
        <c:dLbls>
          <c:showLegendKey val="0"/>
          <c:showVal val="0"/>
          <c:showCatName val="0"/>
          <c:showSerName val="0"/>
          <c:showPercent val="0"/>
          <c:showBubbleSize val="0"/>
        </c:dLbls>
        <c:axId val="163254335"/>
        <c:axId val="163263071"/>
      </c:scatterChart>
      <c:valAx>
        <c:axId val="1632543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Beef consumption (t)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63071"/>
        <c:crosses val="autoZero"/>
        <c:crossBetween val="midCat"/>
      </c:valAx>
      <c:valAx>
        <c:axId val="163263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Feedlot cattle (head)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5433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Relationships!$D$270</c:f>
              <c:strCache>
                <c:ptCount val="1"/>
                <c:pt idx="0">
                  <c:v>Maize area modelled</c:v>
                </c:pt>
              </c:strCache>
            </c:strRef>
          </c:tx>
          <c:spPr>
            <a:ln w="28575" cap="rnd">
              <a:solidFill>
                <a:schemeClr val="accent1"/>
              </a:solidFill>
              <a:round/>
            </a:ln>
            <a:effectLst/>
          </c:spPr>
          <c:marker>
            <c:symbol val="none"/>
          </c:marker>
          <c:cat>
            <c:numRef>
              <c:f>Relationships!$E$269:$AG$269</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Relationships!$E$270:$AG$270</c:f>
              <c:numCache>
                <c:formatCode>General</c:formatCode>
                <c:ptCount val="29"/>
                <c:pt idx="0">
                  <c:v>3960201.4798099878</c:v>
                </c:pt>
                <c:pt idx="1">
                  <c:v>3926225.4512029807</c:v>
                </c:pt>
                <c:pt idx="2">
                  <c:v>3891147.1911174832</c:v>
                </c:pt>
                <c:pt idx="3">
                  <c:v>3854921.632049025</c:v>
                </c:pt>
                <c:pt idx="4">
                  <c:v>3819388.548000461</c:v>
                </c:pt>
                <c:pt idx="5">
                  <c:v>3784258.5234226622</c:v>
                </c:pt>
                <c:pt idx="6">
                  <c:v>3743982.7971879048</c:v>
                </c:pt>
                <c:pt idx="7">
                  <c:v>3719389.2987835919</c:v>
                </c:pt>
                <c:pt idx="8">
                  <c:v>3691356.9907951178</c:v>
                </c:pt>
                <c:pt idx="9">
                  <c:v>3662452.4007950509</c:v>
                </c:pt>
                <c:pt idx="10">
                  <c:v>3629724.389719516</c:v>
                </c:pt>
                <c:pt idx="11">
                  <c:v>3599135.0544082918</c:v>
                </c:pt>
                <c:pt idx="12">
                  <c:v>3560930.189951594</c:v>
                </c:pt>
                <c:pt idx="13">
                  <c:v>3530863.3046584418</c:v>
                </c:pt>
                <c:pt idx="14">
                  <c:v>3497214.8559963913</c:v>
                </c:pt>
                <c:pt idx="15">
                  <c:v>3461298.9498267737</c:v>
                </c:pt>
                <c:pt idx="16">
                  <c:v>3420209.3957703984</c:v>
                </c:pt>
                <c:pt idx="17">
                  <c:v>3369583.0406578248</c:v>
                </c:pt>
                <c:pt idx="18">
                  <c:v>3316766.204874035</c:v>
                </c:pt>
                <c:pt idx="19">
                  <c:v>3277118.0107843387</c:v>
                </c:pt>
                <c:pt idx="20">
                  <c:v>3226226.5790509051</c:v>
                </c:pt>
                <c:pt idx="21">
                  <c:v>3172350.1157116527</c:v>
                </c:pt>
                <c:pt idx="22">
                  <c:v>3000632.1274020807</c:v>
                </c:pt>
                <c:pt idx="23">
                  <c:v>2973512.8514947286</c:v>
                </c:pt>
                <c:pt idx="24">
                  <c:v>2948949.9621901899</c:v>
                </c:pt>
                <c:pt idx="25">
                  <c:v>2927148.0212267912</c:v>
                </c:pt>
                <c:pt idx="26">
                  <c:v>2906326.9446177646</c:v>
                </c:pt>
                <c:pt idx="27">
                  <c:v>2883460.5978060341</c:v>
                </c:pt>
                <c:pt idx="28">
                  <c:v>2861423.9268659018</c:v>
                </c:pt>
              </c:numCache>
            </c:numRef>
          </c:val>
          <c:smooth val="0"/>
          <c:extLst>
            <c:ext xmlns:c16="http://schemas.microsoft.com/office/drawing/2014/chart" uri="{C3380CC4-5D6E-409C-BE32-E72D297353CC}">
              <c16:uniqueId val="{00000000-1336-4B31-B94D-779DD9F66F87}"/>
            </c:ext>
          </c:extLst>
        </c:ser>
        <c:ser>
          <c:idx val="1"/>
          <c:order val="1"/>
          <c:tx>
            <c:strRef>
              <c:f>Relationships!$D$271</c:f>
              <c:strCache>
                <c:ptCount val="1"/>
                <c:pt idx="0">
                  <c:v>Maize area actual</c:v>
                </c:pt>
              </c:strCache>
            </c:strRef>
          </c:tx>
          <c:spPr>
            <a:ln w="28575" cap="rnd">
              <a:solidFill>
                <a:schemeClr val="accent2"/>
              </a:solidFill>
              <a:round/>
            </a:ln>
            <a:effectLst/>
          </c:spPr>
          <c:marker>
            <c:symbol val="none"/>
          </c:marker>
          <c:cat>
            <c:numRef>
              <c:f>Relationships!$E$269:$AG$269</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Relationships!$E$271:$AG$271</c:f>
              <c:numCache>
                <c:formatCode>#,##0</c:formatCode>
                <c:ptCount val="29"/>
                <c:pt idx="0">
                  <c:v>4163000</c:v>
                </c:pt>
                <c:pt idx="1">
                  <c:v>3816000</c:v>
                </c:pt>
                <c:pt idx="2">
                  <c:v>4173000</c:v>
                </c:pt>
                <c:pt idx="3">
                  <c:v>4377000</c:v>
                </c:pt>
                <c:pt idx="4">
                  <c:v>4661000</c:v>
                </c:pt>
                <c:pt idx="5">
                  <c:v>3526000</c:v>
                </c:pt>
                <c:pt idx="6">
                  <c:v>3761000</c:v>
                </c:pt>
                <c:pt idx="7">
                  <c:v>4023000</c:v>
                </c:pt>
                <c:pt idx="8">
                  <c:v>3560000</c:v>
                </c:pt>
                <c:pt idx="9">
                  <c:v>3567000</c:v>
                </c:pt>
                <c:pt idx="10">
                  <c:v>4013000</c:v>
                </c:pt>
                <c:pt idx="11">
                  <c:v>3189000</c:v>
                </c:pt>
                <c:pt idx="12">
                  <c:v>3533000</c:v>
                </c:pt>
                <c:pt idx="13">
                  <c:v>3651000</c:v>
                </c:pt>
                <c:pt idx="14">
                  <c:v>3204000</c:v>
                </c:pt>
                <c:pt idx="15">
                  <c:v>3223000</c:v>
                </c:pt>
                <c:pt idx="16">
                  <c:v>0</c:v>
                </c:pt>
                <c:pt idx="17">
                  <c:v>2897000</c:v>
                </c:pt>
                <c:pt idx="18">
                  <c:v>3297000</c:v>
                </c:pt>
                <c:pt idx="19">
                  <c:v>2896000</c:v>
                </c:pt>
                <c:pt idx="20">
                  <c:v>3263000</c:v>
                </c:pt>
                <c:pt idx="21">
                  <c:v>2859000</c:v>
                </c:pt>
                <c:pt idx="22">
                  <c:v>3141000</c:v>
                </c:pt>
                <c:pt idx="23">
                  <c:v>3238000</c:v>
                </c:pt>
                <c:pt idx="24">
                  <c:v>3096000</c:v>
                </c:pt>
                <c:pt idx="25">
                  <c:v>3048000</c:v>
                </c:pt>
                <c:pt idx="26">
                  <c:v>2213000</c:v>
                </c:pt>
                <c:pt idx="27">
                  <c:v>2995000</c:v>
                </c:pt>
                <c:pt idx="28">
                  <c:v>2634000</c:v>
                </c:pt>
              </c:numCache>
            </c:numRef>
          </c:val>
          <c:smooth val="0"/>
          <c:extLst>
            <c:ext xmlns:c16="http://schemas.microsoft.com/office/drawing/2014/chart" uri="{C3380CC4-5D6E-409C-BE32-E72D297353CC}">
              <c16:uniqueId val="{00000001-1336-4B31-B94D-779DD9F66F87}"/>
            </c:ext>
          </c:extLst>
        </c:ser>
        <c:dLbls>
          <c:showLegendKey val="0"/>
          <c:showVal val="0"/>
          <c:showCatName val="0"/>
          <c:showSerName val="0"/>
          <c:showPercent val="0"/>
          <c:showBubbleSize val="0"/>
        </c:dLbls>
        <c:smooth val="0"/>
        <c:axId val="353407391"/>
        <c:axId val="353407807"/>
      </c:lineChart>
      <c:catAx>
        <c:axId val="353407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407807"/>
        <c:crosses val="autoZero"/>
        <c:auto val="1"/>
        <c:lblAlgn val="ctr"/>
        <c:lblOffset val="100"/>
        <c:noMultiLvlLbl val="0"/>
      </c:catAx>
      <c:valAx>
        <c:axId val="353407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4073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Relationships!$A$24:$B$24</c:f>
              <c:strCache>
                <c:ptCount val="2"/>
                <c:pt idx="0">
                  <c:v>Subsistence cattle</c:v>
                </c:pt>
                <c:pt idx="1">
                  <c:v>Head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2.8858048993875767E-2"/>
                  <c:y val="0.2636362642169728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Relationships!$I$22:$AF$22</c:f>
              <c:numCache>
                <c:formatCode>General</c:formatCode>
                <c:ptCount val="24"/>
                <c:pt idx="0">
                  <c:v>40564059</c:v>
                </c:pt>
                <c:pt idx="1">
                  <c:v>41435758</c:v>
                </c:pt>
                <c:pt idx="2">
                  <c:v>42241011</c:v>
                </c:pt>
                <c:pt idx="3">
                  <c:v>42987461</c:v>
                </c:pt>
                <c:pt idx="4">
                  <c:v>43682260</c:v>
                </c:pt>
                <c:pt idx="5">
                  <c:v>44338543</c:v>
                </c:pt>
                <c:pt idx="6">
                  <c:v>44967708</c:v>
                </c:pt>
                <c:pt idx="7">
                  <c:v>45571274</c:v>
                </c:pt>
                <c:pt idx="8">
                  <c:v>46150913</c:v>
                </c:pt>
                <c:pt idx="9">
                  <c:v>46719196</c:v>
                </c:pt>
                <c:pt idx="10">
                  <c:v>47291610</c:v>
                </c:pt>
                <c:pt idx="11">
                  <c:v>47880601</c:v>
                </c:pt>
                <c:pt idx="12">
                  <c:v>48489459</c:v>
                </c:pt>
                <c:pt idx="13">
                  <c:v>49119759</c:v>
                </c:pt>
                <c:pt idx="14">
                  <c:v>49779471</c:v>
                </c:pt>
                <c:pt idx="15">
                  <c:v>50477011</c:v>
                </c:pt>
                <c:pt idx="16">
                  <c:v>51216964</c:v>
                </c:pt>
                <c:pt idx="17">
                  <c:v>52004172</c:v>
                </c:pt>
                <c:pt idx="18">
                  <c:v>53032389.033699296</c:v>
                </c:pt>
                <c:pt idx="19">
                  <c:v>53514007.585114054</c:v>
                </c:pt>
                <c:pt idx="20">
                  <c:v>54000000</c:v>
                </c:pt>
                <c:pt idx="21">
                  <c:v>54490406</c:v>
                </c:pt>
                <c:pt idx="22">
                  <c:v>55024891.060000002</c:v>
                </c:pt>
                <c:pt idx="23">
                  <c:v>55559376.119999997</c:v>
                </c:pt>
              </c:numCache>
            </c:numRef>
          </c:xVal>
          <c:yVal>
            <c:numRef>
              <c:f>Relationships!$I$24:$AF$24</c:f>
              <c:numCache>
                <c:formatCode>General</c:formatCode>
                <c:ptCount val="24"/>
                <c:pt idx="0">
                  <c:v>5440000</c:v>
                </c:pt>
                <c:pt idx="1">
                  <c:v>5370000</c:v>
                </c:pt>
                <c:pt idx="2">
                  <c:v>5500000</c:v>
                </c:pt>
                <c:pt idx="3">
                  <c:v>5660000</c:v>
                </c:pt>
                <c:pt idx="4">
                  <c:v>5910000</c:v>
                </c:pt>
                <c:pt idx="5">
                  <c:v>6120000</c:v>
                </c:pt>
                <c:pt idx="6">
                  <c:v>6290000</c:v>
                </c:pt>
                <c:pt idx="7">
                  <c:v>6160000</c:v>
                </c:pt>
                <c:pt idx="8">
                  <c:v>6650000</c:v>
                </c:pt>
                <c:pt idx="9">
                  <c:v>6640000</c:v>
                </c:pt>
                <c:pt idx="10">
                  <c:v>6500000</c:v>
                </c:pt>
                <c:pt idx="11">
                  <c:v>6420000</c:v>
                </c:pt>
                <c:pt idx="12">
                  <c:v>6570000</c:v>
                </c:pt>
                <c:pt idx="13">
                  <c:v>6790000</c:v>
                </c:pt>
                <c:pt idx="14">
                  <c:v>6920000</c:v>
                </c:pt>
                <c:pt idx="15">
                  <c:v>6900000</c:v>
                </c:pt>
                <c:pt idx="16">
                  <c:v>6820000</c:v>
                </c:pt>
                <c:pt idx="17">
                  <c:v>6800000</c:v>
                </c:pt>
                <c:pt idx="19">
                  <c:v>7040000</c:v>
                </c:pt>
                <c:pt idx="20">
                  <c:v>6920000</c:v>
                </c:pt>
                <c:pt idx="21">
                  <c:v>6840000</c:v>
                </c:pt>
                <c:pt idx="22">
                  <c:v>6780000</c:v>
                </c:pt>
                <c:pt idx="23">
                  <c:v>6710000</c:v>
                </c:pt>
              </c:numCache>
            </c:numRef>
          </c:yVal>
          <c:smooth val="0"/>
          <c:extLst>
            <c:ext xmlns:c16="http://schemas.microsoft.com/office/drawing/2014/chart" uri="{C3380CC4-5D6E-409C-BE32-E72D297353CC}">
              <c16:uniqueId val="{00000000-FF39-474E-B0A7-2BE45A4CD660}"/>
            </c:ext>
          </c:extLst>
        </c:ser>
        <c:dLbls>
          <c:showLegendKey val="0"/>
          <c:showVal val="0"/>
          <c:showCatName val="0"/>
          <c:showSerName val="0"/>
          <c:showPercent val="0"/>
          <c:showBubbleSize val="0"/>
        </c:dLbls>
        <c:axId val="927099167"/>
        <c:axId val="927104575"/>
      </c:scatterChart>
      <c:valAx>
        <c:axId val="9270991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Population (capita)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104575"/>
        <c:crosses val="autoZero"/>
        <c:crossBetween val="midCat"/>
      </c:valAx>
      <c:valAx>
        <c:axId val="927104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Subsistence cattle (head)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0991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Relationships!$A$24:$B$24</c:f>
              <c:strCache>
                <c:ptCount val="2"/>
                <c:pt idx="0">
                  <c:v>Subsistence cattle</c:v>
                </c:pt>
                <c:pt idx="1">
                  <c:v>Head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1.1405293088363954E-2"/>
                  <c:y val="0.254669364246135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Relationships!$O$23:$AF$23</c:f>
              <c:numCache>
                <c:formatCode>General</c:formatCode>
                <c:ptCount val="18"/>
                <c:pt idx="0">
                  <c:v>1.9178073296508686E-5</c:v>
                </c:pt>
                <c:pt idx="1">
                  <c:v>2.0941920561623974E-5</c:v>
                </c:pt>
                <c:pt idx="2">
                  <c:v>2.4092156096673536E-5</c:v>
                </c:pt>
                <c:pt idx="3">
                  <c:v>2.5864721644610491E-5</c:v>
                </c:pt>
                <c:pt idx="4">
                  <c:v>2.816463639110616E-5</c:v>
                </c:pt>
                <c:pt idx="5">
                  <c:v>3.0685475313895917E-5</c:v>
                </c:pt>
                <c:pt idx="6">
                  <c:v>3.3867608215633009E-5</c:v>
                </c:pt>
                <c:pt idx="7">
                  <c:v>3.8369935813406575E-5</c:v>
                </c:pt>
                <c:pt idx="8">
                  <c:v>4.2933160137438985E-5</c:v>
                </c:pt>
                <c:pt idx="9">
                  <c:v>4.5112536477249022E-5</c:v>
                </c:pt>
                <c:pt idx="10">
                  <c:v>4.8711594853611398E-5</c:v>
                </c:pt>
                <c:pt idx="11">
                  <c:v>5.2388104554380752E-5</c:v>
                </c:pt>
                <c:pt idx="12">
                  <c:v>7.2008674666107316E-5</c:v>
                </c:pt>
                <c:pt idx="13">
                  <c:v>7.3128862350936422E-5</c:v>
                </c:pt>
                <c:pt idx="14">
                  <c:v>7.3832053087208803E-5</c:v>
                </c:pt>
                <c:pt idx="15">
                  <c:v>7.4099569652362116E-5</c:v>
                </c:pt>
                <c:pt idx="16">
                  <c:v>7.3966728660027013E-5</c:v>
                </c:pt>
                <c:pt idx="17">
                  <c:v>7.4125058503467776E-5</c:v>
                </c:pt>
              </c:numCache>
            </c:numRef>
          </c:xVal>
          <c:yVal>
            <c:numRef>
              <c:f>Relationships!$O$24:$AF$24</c:f>
              <c:numCache>
                <c:formatCode>General</c:formatCode>
                <c:ptCount val="18"/>
                <c:pt idx="0">
                  <c:v>6290000</c:v>
                </c:pt>
                <c:pt idx="1">
                  <c:v>6160000</c:v>
                </c:pt>
                <c:pt idx="2">
                  <c:v>6650000</c:v>
                </c:pt>
                <c:pt idx="3">
                  <c:v>6640000</c:v>
                </c:pt>
                <c:pt idx="4">
                  <c:v>6500000</c:v>
                </c:pt>
                <c:pt idx="5">
                  <c:v>6420000</c:v>
                </c:pt>
                <c:pt idx="6">
                  <c:v>6570000</c:v>
                </c:pt>
                <c:pt idx="7">
                  <c:v>6790000</c:v>
                </c:pt>
                <c:pt idx="8">
                  <c:v>6920000</c:v>
                </c:pt>
                <c:pt idx="9">
                  <c:v>6900000</c:v>
                </c:pt>
                <c:pt idx="10">
                  <c:v>6820000</c:v>
                </c:pt>
                <c:pt idx="11">
                  <c:v>6800000</c:v>
                </c:pt>
                <c:pt idx="13">
                  <c:v>7040000</c:v>
                </c:pt>
                <c:pt idx="14">
                  <c:v>6920000</c:v>
                </c:pt>
                <c:pt idx="15">
                  <c:v>6840000</c:v>
                </c:pt>
                <c:pt idx="16">
                  <c:v>6780000</c:v>
                </c:pt>
                <c:pt idx="17">
                  <c:v>6710000</c:v>
                </c:pt>
              </c:numCache>
            </c:numRef>
          </c:yVal>
          <c:smooth val="0"/>
          <c:extLst>
            <c:ext xmlns:c16="http://schemas.microsoft.com/office/drawing/2014/chart" uri="{C3380CC4-5D6E-409C-BE32-E72D297353CC}">
              <c16:uniqueId val="{00000000-CA33-4E6E-9279-2CB8048F4576}"/>
            </c:ext>
          </c:extLst>
        </c:ser>
        <c:dLbls>
          <c:showLegendKey val="0"/>
          <c:showVal val="0"/>
          <c:showCatName val="0"/>
          <c:showSerName val="0"/>
          <c:showPercent val="0"/>
          <c:showBubbleSize val="0"/>
        </c:dLbls>
        <c:axId val="927138271"/>
        <c:axId val="927149087"/>
      </c:scatterChart>
      <c:valAx>
        <c:axId val="9271382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Wealth (GVA/capita)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149087"/>
        <c:crosses val="autoZero"/>
        <c:crossBetween val="midCat"/>
      </c:valAx>
      <c:valAx>
        <c:axId val="927149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Subsistence cattle (head)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13827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Relationships!$A$49:$B$49</c:f>
              <c:strCache>
                <c:ptCount val="2"/>
                <c:pt idx="0">
                  <c:v>Dairy cattle</c:v>
                </c:pt>
                <c:pt idx="1">
                  <c:v>Head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4.2304899387576554E-2"/>
                  <c:y val="0.2265722513852435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Relationships!$E$48:$AE$48</c:f>
              <c:numCache>
                <c:formatCode>General</c:formatCode>
                <c:ptCount val="27"/>
                <c:pt idx="0">
                  <c:v>2119000</c:v>
                </c:pt>
                <c:pt idx="1">
                  <c:v>2163000</c:v>
                </c:pt>
                <c:pt idx="2">
                  <c:v>2107000</c:v>
                </c:pt>
                <c:pt idx="3">
                  <c:v>2002000</c:v>
                </c:pt>
                <c:pt idx="4">
                  <c:v>2006000</c:v>
                </c:pt>
                <c:pt idx="5">
                  <c:v>2297000</c:v>
                </c:pt>
                <c:pt idx="6">
                  <c:v>2450000</c:v>
                </c:pt>
                <c:pt idx="7">
                  <c:v>2437000</c:v>
                </c:pt>
                <c:pt idx="8">
                  <c:v>2501000</c:v>
                </c:pt>
                <c:pt idx="9">
                  <c:v>2543000</c:v>
                </c:pt>
                <c:pt idx="10">
                  <c:v>2370000</c:v>
                </c:pt>
                <c:pt idx="11">
                  <c:v>2358000</c:v>
                </c:pt>
                <c:pt idx="12">
                  <c:v>2457000</c:v>
                </c:pt>
                <c:pt idx="13">
                  <c:v>2354000</c:v>
                </c:pt>
                <c:pt idx="14">
                  <c:v>2505000</c:v>
                </c:pt>
                <c:pt idx="15">
                  <c:v>2657000</c:v>
                </c:pt>
                <c:pt idx="16">
                  <c:v>2513000</c:v>
                </c:pt>
                <c:pt idx="17">
                  <c:v>2559000</c:v>
                </c:pt>
                <c:pt idx="18">
                  <c:v>2625000</c:v>
                </c:pt>
                <c:pt idx="19">
                  <c:v>2587000</c:v>
                </c:pt>
                <c:pt idx="20">
                  <c:v>2711000</c:v>
                </c:pt>
                <c:pt idx="21">
                  <c:v>2720000</c:v>
                </c:pt>
                <c:pt idx="22">
                  <c:v>2843000</c:v>
                </c:pt>
                <c:pt idx="23">
                  <c:v>2906000</c:v>
                </c:pt>
                <c:pt idx="24">
                  <c:v>2983000</c:v>
                </c:pt>
                <c:pt idx="25">
                  <c:v>3173000</c:v>
                </c:pt>
                <c:pt idx="26">
                  <c:v>3158000</c:v>
                </c:pt>
              </c:numCache>
            </c:numRef>
          </c:xVal>
          <c:yVal>
            <c:numRef>
              <c:f>Relationships!$E$49:$AE$49</c:f>
              <c:numCache>
                <c:formatCode>General</c:formatCode>
                <c:ptCount val="27"/>
                <c:pt idx="0">
                  <c:v>887480</c:v>
                </c:pt>
                <c:pt idx="1">
                  <c:v>1021720.0000000001</c:v>
                </c:pt>
                <c:pt idx="2">
                  <c:v>883920</c:v>
                </c:pt>
                <c:pt idx="3">
                  <c:v>937480</c:v>
                </c:pt>
                <c:pt idx="4">
                  <c:v>869680</c:v>
                </c:pt>
                <c:pt idx="5">
                  <c:v>930360</c:v>
                </c:pt>
                <c:pt idx="6">
                  <c:v>933920</c:v>
                </c:pt>
                <c:pt idx="7">
                  <c:v>900360</c:v>
                </c:pt>
                <c:pt idx="8">
                  <c:v>889680.00000000012</c:v>
                </c:pt>
                <c:pt idx="9">
                  <c:v>873920</c:v>
                </c:pt>
                <c:pt idx="10">
                  <c:v>1125280</c:v>
                </c:pt>
                <c:pt idx="11">
                  <c:v>1121720</c:v>
                </c:pt>
                <c:pt idx="12">
                  <c:v>978160.00000000012</c:v>
                </c:pt>
                <c:pt idx="13">
                  <c:v>889680.00000000012</c:v>
                </c:pt>
                <c:pt idx="14">
                  <c:v>859000</c:v>
                </c:pt>
                <c:pt idx="15">
                  <c:v>919680</c:v>
                </c:pt>
                <c:pt idx="16">
                  <c:v>899680</c:v>
                </c:pt>
                <c:pt idx="17">
                  <c:v>893240.00000000012</c:v>
                </c:pt>
                <c:pt idx="18">
                  <c:v>1093920</c:v>
                </c:pt>
                <c:pt idx="19">
                  <c:v>1121040</c:v>
                </c:pt>
                <c:pt idx="20">
                  <c:v>1121040</c:v>
                </c:pt>
                <c:pt idx="21">
                  <c:v>1080360</c:v>
                </c:pt>
                <c:pt idx="22">
                  <c:v>1040360.0000000001</c:v>
                </c:pt>
                <c:pt idx="23">
                  <c:v>1121720</c:v>
                </c:pt>
                <c:pt idx="24">
                  <c:v>1060360.0000000002</c:v>
                </c:pt>
                <c:pt idx="25">
                  <c:v>1073240</c:v>
                </c:pt>
                <c:pt idx="26">
                  <c:v>1113240.0000000002</c:v>
                </c:pt>
              </c:numCache>
            </c:numRef>
          </c:yVal>
          <c:smooth val="0"/>
          <c:extLst>
            <c:ext xmlns:c16="http://schemas.microsoft.com/office/drawing/2014/chart" uri="{C3380CC4-5D6E-409C-BE32-E72D297353CC}">
              <c16:uniqueId val="{00000000-B820-40F7-892B-C054E2598202}"/>
            </c:ext>
          </c:extLst>
        </c:ser>
        <c:dLbls>
          <c:showLegendKey val="0"/>
          <c:showVal val="0"/>
          <c:showCatName val="0"/>
          <c:showSerName val="0"/>
          <c:showPercent val="0"/>
          <c:showBubbleSize val="0"/>
        </c:dLbls>
        <c:axId val="69760479"/>
        <c:axId val="69750911"/>
      </c:scatterChart>
      <c:valAx>
        <c:axId val="697604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Milk production (t)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50911"/>
        <c:crosses val="autoZero"/>
        <c:crossBetween val="midCat"/>
      </c:valAx>
      <c:valAx>
        <c:axId val="69750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Dairy cattle population (head)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6047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Relationships!$A$126:$B$126</c:f>
              <c:strCache>
                <c:ptCount val="2"/>
                <c:pt idx="0">
                  <c:v>subsistence goats</c:v>
                </c:pt>
                <c:pt idx="1">
                  <c:v>head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1504483814523184"/>
                  <c:y val="1.781714785651797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Relationships!$J$124:$AF$124</c:f>
              <c:numCache>
                <c:formatCode>General</c:formatCode>
                <c:ptCount val="23"/>
                <c:pt idx="0">
                  <c:v>41435758</c:v>
                </c:pt>
                <c:pt idx="1">
                  <c:v>42241011</c:v>
                </c:pt>
                <c:pt idx="2">
                  <c:v>42987461</c:v>
                </c:pt>
                <c:pt idx="3">
                  <c:v>43682260</c:v>
                </c:pt>
                <c:pt idx="4">
                  <c:v>44338543</c:v>
                </c:pt>
                <c:pt idx="5">
                  <c:v>44967708</c:v>
                </c:pt>
                <c:pt idx="6">
                  <c:v>45571274</c:v>
                </c:pt>
                <c:pt idx="7">
                  <c:v>46150913</c:v>
                </c:pt>
                <c:pt idx="8">
                  <c:v>46719196</c:v>
                </c:pt>
                <c:pt idx="9">
                  <c:v>47291610</c:v>
                </c:pt>
                <c:pt idx="10">
                  <c:v>47880601</c:v>
                </c:pt>
                <c:pt idx="11">
                  <c:v>48489459</c:v>
                </c:pt>
                <c:pt idx="12">
                  <c:v>49119759</c:v>
                </c:pt>
                <c:pt idx="13">
                  <c:v>49779471</c:v>
                </c:pt>
                <c:pt idx="14">
                  <c:v>50477011</c:v>
                </c:pt>
                <c:pt idx="15">
                  <c:v>51216964</c:v>
                </c:pt>
                <c:pt idx="16">
                  <c:v>52004172</c:v>
                </c:pt>
                <c:pt idx="17">
                  <c:v>53032389.033699296</c:v>
                </c:pt>
                <c:pt idx="18">
                  <c:v>53514007.585114054</c:v>
                </c:pt>
                <c:pt idx="19">
                  <c:v>54000000</c:v>
                </c:pt>
                <c:pt idx="20">
                  <c:v>54490406</c:v>
                </c:pt>
                <c:pt idx="21">
                  <c:v>55024891.060000002</c:v>
                </c:pt>
                <c:pt idx="22">
                  <c:v>55559376.119999997</c:v>
                </c:pt>
              </c:numCache>
            </c:numRef>
          </c:xVal>
          <c:yVal>
            <c:numRef>
              <c:f>Relationships!$J$126:$AF$126</c:f>
              <c:numCache>
                <c:formatCode>General</c:formatCode>
                <c:ptCount val="23"/>
                <c:pt idx="0">
                  <c:v>4679317.2158057094</c:v>
                </c:pt>
                <c:pt idx="1">
                  <c:v>4752400.6843514293</c:v>
                </c:pt>
                <c:pt idx="2">
                  <c:v>4728697.93779606</c:v>
                </c:pt>
                <c:pt idx="3">
                  <c:v>4661540.1558891824</c:v>
                </c:pt>
                <c:pt idx="4">
                  <c:v>4592407.1451026909</c:v>
                </c:pt>
                <c:pt idx="5">
                  <c:v>4651664.0114911124</c:v>
                </c:pt>
                <c:pt idx="6">
                  <c:v>4793880.4908233248</c:v>
                </c:pt>
                <c:pt idx="7">
                  <c:v>4377107.1972247576</c:v>
                </c:pt>
                <c:pt idx="8">
                  <c:v>4266494.3799663708</c:v>
                </c:pt>
                <c:pt idx="9">
                  <c:v>4274395.295484826</c:v>
                </c:pt>
                <c:pt idx="10">
                  <c:v>4219088.886855633</c:v>
                </c:pt>
                <c:pt idx="11">
                  <c:v>4307974.1864382662</c:v>
                </c:pt>
                <c:pt idx="12">
                  <c:v>4179584.3092633514</c:v>
                </c:pt>
                <c:pt idx="13">
                  <c:v>4175633.8515041238</c:v>
                </c:pt>
                <c:pt idx="14">
                  <c:v>4102550.3829584038</c:v>
                </c:pt>
                <c:pt idx="15">
                  <c:v>4053169.6609680527</c:v>
                </c:pt>
                <c:pt idx="16">
                  <c:v>4015640.3122553849</c:v>
                </c:pt>
                <c:pt idx="17">
                  <c:v>4005764.1678573145</c:v>
                </c:pt>
                <c:pt idx="18">
                  <c:v>3960333.9036261914</c:v>
                </c:pt>
                <c:pt idx="19">
                  <c:v>3924779.7837931383</c:v>
                </c:pt>
                <c:pt idx="20">
                  <c:v>3871448.6040435582</c:v>
                </c:pt>
                <c:pt idx="21">
                  <c:v>3754910.100146329</c:v>
                </c:pt>
                <c:pt idx="22">
                  <c:v>3640346.8251287141</c:v>
                </c:pt>
              </c:numCache>
            </c:numRef>
          </c:yVal>
          <c:smooth val="0"/>
          <c:extLst>
            <c:ext xmlns:c16="http://schemas.microsoft.com/office/drawing/2014/chart" uri="{C3380CC4-5D6E-409C-BE32-E72D297353CC}">
              <c16:uniqueId val="{00000000-F37E-4ACF-AB08-B89B4160A892}"/>
            </c:ext>
          </c:extLst>
        </c:ser>
        <c:dLbls>
          <c:showLegendKey val="0"/>
          <c:showVal val="0"/>
          <c:showCatName val="0"/>
          <c:showSerName val="0"/>
          <c:showPercent val="0"/>
          <c:showBubbleSize val="0"/>
        </c:dLbls>
        <c:axId val="447570304"/>
        <c:axId val="447569472"/>
      </c:scatterChart>
      <c:valAx>
        <c:axId val="4475703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Population (capita)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69472"/>
        <c:crosses val="autoZero"/>
        <c:crossBetween val="midCat"/>
      </c:valAx>
      <c:valAx>
        <c:axId val="447569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Subsistence goats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703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Relationships!$A$229:$B$229</c:f>
              <c:strCache>
                <c:ptCount val="2"/>
                <c:pt idx="0">
                  <c:v>Chicken consumption</c:v>
                </c:pt>
                <c:pt idx="1">
                  <c:v>t</c:v>
                </c:pt>
              </c:strCache>
            </c:strRef>
          </c:tx>
          <c:spPr>
            <a:ln w="19050" cap="rnd">
              <a:noFill/>
              <a:round/>
            </a:ln>
            <a:effectLst/>
          </c:spPr>
          <c:marker>
            <c:symbol val="circle"/>
            <c:size val="5"/>
            <c:spPr>
              <a:solidFill>
                <a:schemeClr val="accent1"/>
              </a:solidFill>
              <a:ln w="9525">
                <a:solidFill>
                  <a:schemeClr val="accent1"/>
                </a:solidFill>
              </a:ln>
              <a:effectLst/>
            </c:spPr>
          </c:marker>
          <c:xVal>
            <c:numRef>
              <c:f>Relationships!$C$228:$AG$228</c:f>
              <c:numCache>
                <c:formatCode>General</c:formatCode>
                <c:ptCount val="31"/>
                <c:pt idx="2">
                  <c:v>36800509</c:v>
                </c:pt>
                <c:pt idx="3">
                  <c:v>37718950</c:v>
                </c:pt>
                <c:pt idx="4">
                  <c:v>38672607</c:v>
                </c:pt>
                <c:pt idx="5">
                  <c:v>39633750</c:v>
                </c:pt>
                <c:pt idx="6">
                  <c:v>40564059</c:v>
                </c:pt>
                <c:pt idx="7">
                  <c:v>41435758</c:v>
                </c:pt>
                <c:pt idx="8">
                  <c:v>42241011</c:v>
                </c:pt>
                <c:pt idx="9">
                  <c:v>42987461</c:v>
                </c:pt>
                <c:pt idx="10">
                  <c:v>43682260</c:v>
                </c:pt>
                <c:pt idx="11">
                  <c:v>44338543</c:v>
                </c:pt>
                <c:pt idx="12">
                  <c:v>44967708</c:v>
                </c:pt>
                <c:pt idx="13">
                  <c:v>45571274</c:v>
                </c:pt>
                <c:pt idx="14">
                  <c:v>46150913</c:v>
                </c:pt>
                <c:pt idx="15">
                  <c:v>46719196</c:v>
                </c:pt>
                <c:pt idx="16">
                  <c:v>47291610</c:v>
                </c:pt>
                <c:pt idx="17">
                  <c:v>47880601</c:v>
                </c:pt>
                <c:pt idx="18">
                  <c:v>48489459</c:v>
                </c:pt>
                <c:pt idx="19">
                  <c:v>49119759</c:v>
                </c:pt>
                <c:pt idx="20">
                  <c:v>49779471</c:v>
                </c:pt>
                <c:pt idx="21">
                  <c:v>50477011</c:v>
                </c:pt>
                <c:pt idx="22">
                  <c:v>51216964</c:v>
                </c:pt>
                <c:pt idx="23">
                  <c:v>52004172</c:v>
                </c:pt>
                <c:pt idx="24">
                  <c:v>53032389.033699296</c:v>
                </c:pt>
                <c:pt idx="25">
                  <c:v>53514007.585114054</c:v>
                </c:pt>
                <c:pt idx="26">
                  <c:v>54000000</c:v>
                </c:pt>
                <c:pt idx="27">
                  <c:v>54490406</c:v>
                </c:pt>
                <c:pt idx="28">
                  <c:v>55024891.060000002</c:v>
                </c:pt>
                <c:pt idx="29">
                  <c:v>55559376.119999997</c:v>
                </c:pt>
                <c:pt idx="30">
                  <c:v>56093861.18</c:v>
                </c:pt>
              </c:numCache>
            </c:numRef>
          </c:xVal>
          <c:yVal>
            <c:numRef>
              <c:f>Relationships!$C$229:$AG$229</c:f>
              <c:numCache>
                <c:formatCode>General</c:formatCode>
                <c:ptCount val="31"/>
                <c:pt idx="2">
                  <c:v>605000</c:v>
                </c:pt>
                <c:pt idx="3">
                  <c:v>593000</c:v>
                </c:pt>
                <c:pt idx="4">
                  <c:v>571000</c:v>
                </c:pt>
                <c:pt idx="5">
                  <c:v>580000</c:v>
                </c:pt>
                <c:pt idx="6">
                  <c:v>609000</c:v>
                </c:pt>
                <c:pt idx="7">
                  <c:v>662000</c:v>
                </c:pt>
                <c:pt idx="8">
                  <c:v>738000</c:v>
                </c:pt>
                <c:pt idx="9">
                  <c:v>826000</c:v>
                </c:pt>
                <c:pt idx="10">
                  <c:v>854000</c:v>
                </c:pt>
                <c:pt idx="11">
                  <c:v>874000</c:v>
                </c:pt>
                <c:pt idx="12">
                  <c:v>927000</c:v>
                </c:pt>
                <c:pt idx="13">
                  <c:v>938000</c:v>
                </c:pt>
                <c:pt idx="14">
                  <c:v>965000</c:v>
                </c:pt>
                <c:pt idx="15">
                  <c:v>1032000</c:v>
                </c:pt>
                <c:pt idx="16">
                  <c:v>1196000</c:v>
                </c:pt>
                <c:pt idx="17">
                  <c:v>1455000</c:v>
                </c:pt>
                <c:pt idx="18">
                  <c:v>1664000</c:v>
                </c:pt>
                <c:pt idx="19">
                  <c:v>1767000</c:v>
                </c:pt>
                <c:pt idx="20">
                  <c:v>1813000</c:v>
                </c:pt>
                <c:pt idx="21">
                  <c:v>1841000</c:v>
                </c:pt>
                <c:pt idx="22">
                  <c:v>1887000</c:v>
                </c:pt>
                <c:pt idx="23">
                  <c:v>1987000</c:v>
                </c:pt>
                <c:pt idx="24">
                  <c:v>2048000</c:v>
                </c:pt>
                <c:pt idx="25">
                  <c:v>2061000</c:v>
                </c:pt>
                <c:pt idx="26">
                  <c:v>2015000</c:v>
                </c:pt>
                <c:pt idx="27">
                  <c:v>2076000</c:v>
                </c:pt>
                <c:pt idx="28">
                  <c:v>2200000</c:v>
                </c:pt>
                <c:pt idx="29">
                  <c:v>2155000</c:v>
                </c:pt>
                <c:pt idx="30">
                  <c:v>2392000</c:v>
                </c:pt>
              </c:numCache>
            </c:numRef>
          </c:yVal>
          <c:smooth val="0"/>
          <c:extLst>
            <c:ext xmlns:c16="http://schemas.microsoft.com/office/drawing/2014/chart" uri="{C3380CC4-5D6E-409C-BE32-E72D297353CC}">
              <c16:uniqueId val="{00000000-7D48-44E1-96AF-6BE532B8F63A}"/>
            </c:ext>
          </c:extLst>
        </c:ser>
        <c:dLbls>
          <c:showLegendKey val="0"/>
          <c:showVal val="0"/>
          <c:showCatName val="0"/>
          <c:showSerName val="0"/>
          <c:showPercent val="0"/>
          <c:showBubbleSize val="0"/>
        </c:dLbls>
        <c:axId val="782531184"/>
        <c:axId val="782527024"/>
      </c:scatterChart>
      <c:valAx>
        <c:axId val="782531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527024"/>
        <c:crosses val="autoZero"/>
        <c:crossBetween val="midCat"/>
      </c:valAx>
      <c:valAx>
        <c:axId val="78252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5311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Relationships!$A$257:$B$257</c:f>
              <c:strCache>
                <c:ptCount val="2"/>
                <c:pt idx="0">
                  <c:v>Maize consumption (human</c:v>
                </c:pt>
                <c:pt idx="1">
                  <c:v>t</c:v>
                </c:pt>
              </c:strCache>
            </c:strRef>
          </c:tx>
          <c:spPr>
            <a:ln w="19050" cap="rnd">
              <a:noFill/>
              <a:round/>
            </a:ln>
            <a:effectLst/>
          </c:spPr>
          <c:marker>
            <c:symbol val="circle"/>
            <c:size val="5"/>
            <c:spPr>
              <a:solidFill>
                <a:schemeClr val="accent1"/>
              </a:solidFill>
              <a:ln w="9525">
                <a:solidFill>
                  <a:schemeClr val="accent1"/>
                </a:solidFill>
              </a:ln>
              <a:effectLst/>
            </c:spPr>
          </c:marker>
          <c:xVal>
            <c:numRef>
              <c:f>Relationships!$C$256:$AG$256</c:f>
              <c:numCache>
                <c:formatCode>General</c:formatCode>
                <c:ptCount val="31"/>
                <c:pt idx="2">
                  <c:v>36800509</c:v>
                </c:pt>
                <c:pt idx="3">
                  <c:v>37718950</c:v>
                </c:pt>
                <c:pt idx="4">
                  <c:v>38672607</c:v>
                </c:pt>
                <c:pt idx="5">
                  <c:v>39633750</c:v>
                </c:pt>
                <c:pt idx="6">
                  <c:v>40564059</c:v>
                </c:pt>
                <c:pt idx="7">
                  <c:v>41435758</c:v>
                </c:pt>
                <c:pt idx="8">
                  <c:v>42241011</c:v>
                </c:pt>
                <c:pt idx="9">
                  <c:v>42987461</c:v>
                </c:pt>
                <c:pt idx="10">
                  <c:v>43682260</c:v>
                </c:pt>
                <c:pt idx="11">
                  <c:v>44338543</c:v>
                </c:pt>
                <c:pt idx="12">
                  <c:v>44967708</c:v>
                </c:pt>
                <c:pt idx="13">
                  <c:v>45571274</c:v>
                </c:pt>
                <c:pt idx="14">
                  <c:v>46150913</c:v>
                </c:pt>
                <c:pt idx="15">
                  <c:v>46719196</c:v>
                </c:pt>
                <c:pt idx="16">
                  <c:v>47291610</c:v>
                </c:pt>
                <c:pt idx="17">
                  <c:v>47880601</c:v>
                </c:pt>
                <c:pt idx="18">
                  <c:v>48489459</c:v>
                </c:pt>
                <c:pt idx="19">
                  <c:v>49119759</c:v>
                </c:pt>
                <c:pt idx="20">
                  <c:v>49779471</c:v>
                </c:pt>
                <c:pt idx="21">
                  <c:v>50477011</c:v>
                </c:pt>
                <c:pt idx="22">
                  <c:v>51216964</c:v>
                </c:pt>
                <c:pt idx="23">
                  <c:v>52004172</c:v>
                </c:pt>
                <c:pt idx="24">
                  <c:v>53032389.033699296</c:v>
                </c:pt>
                <c:pt idx="25">
                  <c:v>53514007.585114054</c:v>
                </c:pt>
                <c:pt idx="26">
                  <c:v>54000000</c:v>
                </c:pt>
                <c:pt idx="27">
                  <c:v>54490406</c:v>
                </c:pt>
                <c:pt idx="28">
                  <c:v>55024891.060000002</c:v>
                </c:pt>
                <c:pt idx="29">
                  <c:v>55559376.119999997</c:v>
                </c:pt>
                <c:pt idx="30">
                  <c:v>56093861.18</c:v>
                </c:pt>
              </c:numCache>
            </c:numRef>
          </c:xVal>
          <c:yVal>
            <c:numRef>
              <c:f>Relationships!$C$257:$AG$257</c:f>
              <c:numCache>
                <c:formatCode>General</c:formatCode>
                <c:ptCount val="31"/>
                <c:pt idx="2">
                  <c:v>2353000</c:v>
                </c:pt>
                <c:pt idx="3">
                  <c:v>2534000</c:v>
                </c:pt>
                <c:pt idx="4">
                  <c:v>2567000</c:v>
                </c:pt>
                <c:pt idx="5">
                  <c:v>2743000</c:v>
                </c:pt>
                <c:pt idx="6">
                  <c:v>2918000</c:v>
                </c:pt>
                <c:pt idx="7">
                  <c:v>2540000</c:v>
                </c:pt>
                <c:pt idx="8">
                  <c:v>2807000</c:v>
                </c:pt>
                <c:pt idx="9">
                  <c:v>2912000</c:v>
                </c:pt>
                <c:pt idx="10">
                  <c:v>3382000</c:v>
                </c:pt>
                <c:pt idx="11">
                  <c:v>3381000</c:v>
                </c:pt>
                <c:pt idx="12">
                  <c:v>3426000</c:v>
                </c:pt>
                <c:pt idx="13">
                  <c:v>3589000</c:v>
                </c:pt>
                <c:pt idx="14">
                  <c:v>3877000</c:v>
                </c:pt>
                <c:pt idx="15">
                  <c:v>3708000</c:v>
                </c:pt>
                <c:pt idx="16">
                  <c:v>3712000</c:v>
                </c:pt>
                <c:pt idx="17">
                  <c:v>3740000</c:v>
                </c:pt>
                <c:pt idx="18">
                  <c:v>3825000</c:v>
                </c:pt>
                <c:pt idx="19">
                  <c:v>3816000</c:v>
                </c:pt>
                <c:pt idx="20">
                  <c:v>3809000</c:v>
                </c:pt>
                <c:pt idx="21">
                  <c:v>4524000</c:v>
                </c:pt>
                <c:pt idx="22">
                  <c:v>4471000</c:v>
                </c:pt>
                <c:pt idx="23">
                  <c:v>4513000</c:v>
                </c:pt>
                <c:pt idx="24">
                  <c:v>4512000</c:v>
                </c:pt>
                <c:pt idx="25">
                  <c:v>4499000</c:v>
                </c:pt>
                <c:pt idx="26">
                  <c:v>4582000</c:v>
                </c:pt>
                <c:pt idx="27">
                  <c:v>4840000</c:v>
                </c:pt>
                <c:pt idx="28">
                  <c:v>4698000</c:v>
                </c:pt>
                <c:pt idx="29">
                  <c:v>4809000</c:v>
                </c:pt>
                <c:pt idx="30">
                  <c:v>4993000</c:v>
                </c:pt>
              </c:numCache>
            </c:numRef>
          </c:yVal>
          <c:smooth val="0"/>
          <c:extLst>
            <c:ext xmlns:c16="http://schemas.microsoft.com/office/drawing/2014/chart" uri="{C3380CC4-5D6E-409C-BE32-E72D297353CC}">
              <c16:uniqueId val="{00000000-BFBB-446C-8BEB-E1CE940B4945}"/>
            </c:ext>
          </c:extLst>
        </c:ser>
        <c:dLbls>
          <c:showLegendKey val="0"/>
          <c:showVal val="0"/>
          <c:showCatName val="0"/>
          <c:showSerName val="0"/>
          <c:showPercent val="0"/>
          <c:showBubbleSize val="0"/>
        </c:dLbls>
        <c:axId val="697687824"/>
        <c:axId val="697685744"/>
      </c:scatterChart>
      <c:valAx>
        <c:axId val="697687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685744"/>
        <c:crosses val="autoZero"/>
        <c:crossBetween val="midCat"/>
      </c:valAx>
      <c:valAx>
        <c:axId val="69768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6878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Relationships!$A$255:$B$255</c:f>
              <c:strCache>
                <c:ptCount val="2"/>
                <c:pt idx="0">
                  <c:v>Maize consumption (feed)</c:v>
                </c:pt>
                <c:pt idx="1">
                  <c:v>t</c:v>
                </c:pt>
              </c:strCache>
            </c:strRef>
          </c:tx>
          <c:spPr>
            <a:ln w="19050" cap="rnd">
              <a:noFill/>
              <a:round/>
            </a:ln>
            <a:effectLst/>
          </c:spPr>
          <c:marker>
            <c:symbol val="circle"/>
            <c:size val="5"/>
            <c:spPr>
              <a:solidFill>
                <a:schemeClr val="accent1"/>
              </a:solidFill>
              <a:ln w="9525">
                <a:solidFill>
                  <a:schemeClr val="accent1"/>
                </a:solidFill>
              </a:ln>
              <a:effectLst/>
            </c:spPr>
          </c:marker>
          <c:xVal>
            <c:numRef>
              <c:f>Relationships!$O$254:$AG$254</c:f>
              <c:numCache>
                <c:formatCode>#,##0</c:formatCode>
                <c:ptCount val="19"/>
                <c:pt idx="0">
                  <c:v>138541204.56803936</c:v>
                </c:pt>
                <c:pt idx="1">
                  <c:v>136109031.1249536</c:v>
                </c:pt>
                <c:pt idx="2">
                  <c:v>142033425.34914675</c:v>
                </c:pt>
                <c:pt idx="3">
                  <c:v>137505025.69985911</c:v>
                </c:pt>
                <c:pt idx="4">
                  <c:v>139250920.70763093</c:v>
                </c:pt>
                <c:pt idx="5">
                  <c:v>147971770.34070343</c:v>
                </c:pt>
                <c:pt idx="6">
                  <c:v>155308395.04702362</c:v>
                </c:pt>
                <c:pt idx="7">
                  <c:v>161778836.09422663</c:v>
                </c:pt>
                <c:pt idx="8">
                  <c:v>168144776.83189645</c:v>
                </c:pt>
                <c:pt idx="9">
                  <c:v>161627647.86506164</c:v>
                </c:pt>
                <c:pt idx="10">
                  <c:v>164112898.94746146</c:v>
                </c:pt>
                <c:pt idx="11">
                  <c:v>168066984.05931899</c:v>
                </c:pt>
                <c:pt idx="12">
                  <c:v>171365728.24742162</c:v>
                </c:pt>
                <c:pt idx="13">
                  <c:v>168543992.65879551</c:v>
                </c:pt>
                <c:pt idx="14">
                  <c:v>172035521.73580882</c:v>
                </c:pt>
                <c:pt idx="15">
                  <c:v>176053425.40280333</c:v>
                </c:pt>
                <c:pt idx="16">
                  <c:v>167642271.77821466</c:v>
                </c:pt>
                <c:pt idx="17">
                  <c:v>164750666.63080817</c:v>
                </c:pt>
                <c:pt idx="18">
                  <c:v>180124322.89400485</c:v>
                </c:pt>
              </c:numCache>
            </c:numRef>
          </c:xVal>
          <c:yVal>
            <c:numRef>
              <c:f>Relationships!$O$255:$AG$255</c:f>
              <c:numCache>
                <c:formatCode>General</c:formatCode>
                <c:ptCount val="19"/>
                <c:pt idx="0">
                  <c:v>2936000</c:v>
                </c:pt>
                <c:pt idx="1">
                  <c:v>3263000</c:v>
                </c:pt>
                <c:pt idx="2">
                  <c:v>3274000</c:v>
                </c:pt>
                <c:pt idx="3">
                  <c:v>3275000</c:v>
                </c:pt>
                <c:pt idx="4">
                  <c:v>3531000</c:v>
                </c:pt>
                <c:pt idx="5">
                  <c:v>3543000</c:v>
                </c:pt>
                <c:pt idx="6">
                  <c:v>3637000</c:v>
                </c:pt>
                <c:pt idx="7">
                  <c:v>3844000</c:v>
                </c:pt>
                <c:pt idx="8">
                  <c:v>4220000</c:v>
                </c:pt>
                <c:pt idx="9">
                  <c:v>4089000</c:v>
                </c:pt>
                <c:pt idx="10">
                  <c:v>4187000</c:v>
                </c:pt>
                <c:pt idx="11">
                  <c:v>4344000</c:v>
                </c:pt>
                <c:pt idx="12">
                  <c:v>4429000</c:v>
                </c:pt>
                <c:pt idx="13">
                  <c:v>4436000</c:v>
                </c:pt>
                <c:pt idx="14">
                  <c:v>4767000</c:v>
                </c:pt>
                <c:pt idx="15">
                  <c:v>5087000</c:v>
                </c:pt>
                <c:pt idx="16">
                  <c:v>5551000</c:v>
                </c:pt>
                <c:pt idx="17">
                  <c:v>5004000</c:v>
                </c:pt>
                <c:pt idx="18">
                  <c:v>5277000</c:v>
                </c:pt>
              </c:numCache>
            </c:numRef>
          </c:yVal>
          <c:smooth val="0"/>
          <c:extLst>
            <c:ext xmlns:c16="http://schemas.microsoft.com/office/drawing/2014/chart" uri="{C3380CC4-5D6E-409C-BE32-E72D297353CC}">
              <c16:uniqueId val="{00000000-3A0B-46AB-B48F-B5A470B7FC31}"/>
            </c:ext>
          </c:extLst>
        </c:ser>
        <c:dLbls>
          <c:showLegendKey val="0"/>
          <c:showVal val="0"/>
          <c:showCatName val="0"/>
          <c:showSerName val="0"/>
          <c:showPercent val="0"/>
          <c:showBubbleSize val="0"/>
        </c:dLbls>
        <c:axId val="697689488"/>
        <c:axId val="697701552"/>
      </c:scatterChart>
      <c:valAx>
        <c:axId val="69768948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701552"/>
        <c:crosses val="autoZero"/>
        <c:crossBetween val="midCat"/>
      </c:valAx>
      <c:valAx>
        <c:axId val="69770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6894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75" b="1" i="0" u="none" strike="noStrike" baseline="0">
                <a:solidFill>
                  <a:srgbClr val="000000"/>
                </a:solidFill>
                <a:latin typeface="Arial"/>
                <a:ea typeface="Arial"/>
                <a:cs typeface="Arial"/>
              </a:defRPr>
            </a:pPr>
            <a:r>
              <a:rPr lang="en-ZA"/>
              <a:t>Beef price outlook: Economy shock</a:t>
            </a:r>
          </a:p>
        </c:rich>
      </c:tx>
      <c:overlay val="0"/>
      <c:spPr>
        <a:noFill/>
        <a:ln w="25400">
          <a:noFill/>
        </a:ln>
      </c:spPr>
    </c:title>
    <c:autoTitleDeleted val="0"/>
    <c:plotArea>
      <c:layout/>
      <c:lineChart>
        <c:grouping val="standard"/>
        <c:varyColors val="0"/>
        <c:ser>
          <c:idx val="0"/>
          <c:order val="0"/>
          <c:spPr>
            <a:ln w="25400">
              <a:solidFill>
                <a:srgbClr val="FF0000"/>
              </a:solidFill>
              <a:prstDash val="solid"/>
            </a:ln>
          </c:spPr>
          <c:marker>
            <c:symbol val="diamond"/>
            <c:size val="7"/>
            <c:spPr>
              <a:solidFill>
                <a:srgbClr val="FF0000"/>
              </a:solidFill>
              <a:ln>
                <a:solidFill>
                  <a:srgbClr val="FF0000"/>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2117-45CF-AAC5-4FAE3027B774}"/>
            </c:ext>
          </c:extLst>
        </c:ser>
        <c:ser>
          <c:idx val="1"/>
          <c:order val="1"/>
          <c:spPr>
            <a:ln w="25400">
              <a:solidFill>
                <a:srgbClr val="FF0000"/>
              </a:solidFill>
              <a:prstDash val="solid"/>
            </a:ln>
          </c:spPr>
          <c:marker>
            <c:symbol val="square"/>
            <c:size val="7"/>
            <c:spPr>
              <a:noFill/>
              <a:ln>
                <a:solidFill>
                  <a:srgbClr val="FF0000"/>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2117-45CF-AAC5-4FAE3027B774}"/>
            </c:ext>
          </c:extLst>
        </c:ser>
        <c:dLbls>
          <c:showLegendKey val="0"/>
          <c:showVal val="0"/>
          <c:showCatName val="0"/>
          <c:showSerName val="0"/>
          <c:showPercent val="0"/>
          <c:showBubbleSize val="0"/>
        </c:dLbls>
        <c:marker val="1"/>
        <c:smooth val="0"/>
        <c:axId val="1910012864"/>
        <c:axId val="1909993280"/>
      </c:lineChart>
      <c:catAx>
        <c:axId val="19100128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n-US"/>
          </a:p>
        </c:txPr>
        <c:crossAx val="1909993280"/>
        <c:crosses val="autoZero"/>
        <c:auto val="1"/>
        <c:lblAlgn val="ctr"/>
        <c:lblOffset val="100"/>
        <c:tickLblSkip val="1"/>
        <c:tickMarkSkip val="1"/>
        <c:noMultiLvlLbl val="0"/>
      </c:catAx>
      <c:valAx>
        <c:axId val="1909993280"/>
        <c:scaling>
          <c:orientation val="minMax"/>
        </c:scaling>
        <c:delete val="0"/>
        <c:axPos val="l"/>
        <c:majorGridlines>
          <c:spPr>
            <a:ln w="3175">
              <a:solidFill>
                <a:srgbClr val="000000"/>
              </a:solidFill>
              <a:prstDash val="solid"/>
            </a:ln>
          </c:spPr>
        </c:majorGridlines>
        <c:title>
          <c:tx>
            <c:rich>
              <a:bodyPr/>
              <a:lstStyle/>
              <a:p>
                <a:pPr>
                  <a:defRPr sz="250" b="0" i="0" u="none" strike="noStrike" baseline="0">
                    <a:solidFill>
                      <a:srgbClr val="000000"/>
                    </a:solidFill>
                    <a:latin typeface="Arial"/>
                    <a:ea typeface="Arial"/>
                    <a:cs typeface="Arial"/>
                  </a:defRPr>
                </a:pPr>
                <a:r>
                  <a:rPr lang="en-ZA"/>
                  <a:t>c/kg</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n-US"/>
          </a:p>
        </c:txPr>
        <c:crossAx val="1910012864"/>
        <c:crosses val="autoZero"/>
        <c:crossBetween val="between"/>
        <c:majorUnit val="1000"/>
      </c:valAx>
      <c:spPr>
        <a:noFill/>
        <a:ln w="12700">
          <a:solidFill>
            <a:srgbClr val="808080"/>
          </a:solidFill>
          <a:prstDash val="solid"/>
        </a:ln>
      </c:spPr>
    </c:plotArea>
    <c:legend>
      <c:legendPos val="b"/>
      <c:overlay val="0"/>
      <c:spPr>
        <a:noFill/>
        <a:ln w="25400">
          <a:noFill/>
        </a:ln>
      </c:spPr>
      <c:txPr>
        <a:bodyPr/>
        <a:lstStyle/>
        <a:p>
          <a:pPr>
            <a:defRPr sz="23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50" b="1" i="0" u="none" strike="noStrike" baseline="0">
                <a:solidFill>
                  <a:srgbClr val="000000"/>
                </a:solidFill>
                <a:latin typeface="Arial"/>
                <a:ea typeface="Arial"/>
                <a:cs typeface="Arial"/>
              </a:defRPr>
            </a:pPr>
            <a:r>
              <a:rPr lang="en-ZA"/>
              <a:t>Beef:Maize price ratio outlook</a:t>
            </a:r>
          </a:p>
        </c:rich>
      </c:tx>
      <c:overlay val="0"/>
      <c:spPr>
        <a:noFill/>
        <a:ln w="25400">
          <a:noFill/>
        </a:ln>
      </c:spPr>
    </c:title>
    <c:autoTitleDeleted val="0"/>
    <c:plotArea>
      <c:layout/>
      <c:barChart>
        <c:barDir val="col"/>
        <c:grouping val="clustered"/>
        <c:varyColors val="0"/>
        <c:ser>
          <c:idx val="0"/>
          <c:order val="0"/>
          <c:spPr>
            <a:solidFill>
              <a:srgbClr val="0000FF"/>
            </a:solidFill>
            <a:ln w="12700">
              <a:solidFill>
                <a:srgbClr val="000000"/>
              </a:solidFill>
              <a:prstDash val="solid"/>
            </a:ln>
          </c:spPr>
          <c:invertIfNegative val="0"/>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B07A-430E-847B-882FB6A03E40}"/>
            </c:ext>
          </c:extLst>
        </c:ser>
        <c:ser>
          <c:idx val="1"/>
          <c:order val="1"/>
          <c:spPr>
            <a:solidFill>
              <a:srgbClr val="FF0000"/>
            </a:solidFill>
            <a:ln w="12700">
              <a:solidFill>
                <a:srgbClr val="000000"/>
              </a:solidFill>
              <a:prstDash val="solid"/>
            </a:ln>
          </c:spPr>
          <c:invertIfNegative val="0"/>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B07A-430E-847B-882FB6A03E40}"/>
            </c:ext>
          </c:extLst>
        </c:ser>
        <c:dLbls>
          <c:showLegendKey val="0"/>
          <c:showVal val="0"/>
          <c:showCatName val="0"/>
          <c:showSerName val="0"/>
          <c:showPercent val="0"/>
          <c:showBubbleSize val="0"/>
        </c:dLbls>
        <c:gapWidth val="150"/>
        <c:axId val="1909999808"/>
        <c:axId val="1910000896"/>
      </c:barChart>
      <c:catAx>
        <c:axId val="19099998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1910000896"/>
        <c:crosses val="autoZero"/>
        <c:auto val="1"/>
        <c:lblAlgn val="ctr"/>
        <c:lblOffset val="100"/>
        <c:tickLblSkip val="1"/>
        <c:tickMarkSkip val="1"/>
        <c:noMultiLvlLbl val="0"/>
      </c:catAx>
      <c:valAx>
        <c:axId val="19100008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1909999808"/>
        <c:crosses val="autoZero"/>
        <c:crossBetween val="between"/>
      </c:valAx>
      <c:spPr>
        <a:noFill/>
        <a:ln w="12700">
          <a:solidFill>
            <a:srgbClr val="808080"/>
          </a:solidFill>
          <a:prstDash val="solid"/>
        </a:ln>
      </c:spPr>
    </c:plotArea>
    <c:legend>
      <c:legendPos val="b"/>
      <c:overlay val="0"/>
      <c:spPr>
        <a:noFill/>
        <a:ln w="25400">
          <a:noFill/>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339966"/>
            </a:solidFill>
            <a:ln w="12700">
              <a:solidFill>
                <a:srgbClr val="000000"/>
              </a:solidFill>
              <a:prstDash val="solid"/>
            </a:ln>
          </c:spPr>
          <c:invertIfNegative val="0"/>
          <c:trendline>
            <c:spPr>
              <a:ln w="25400">
                <a:solidFill>
                  <a:srgbClr val="FF0000"/>
                </a:solidFill>
                <a:prstDash val="sysDash"/>
              </a:ln>
            </c:spPr>
            <c:trendlineType val="linear"/>
            <c:dispRSqr val="0"/>
            <c:dispEq val="0"/>
          </c:trendline>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2001-47AC-96D9-508B160716E2}"/>
            </c:ext>
          </c:extLst>
        </c:ser>
        <c:ser>
          <c:idx val="1"/>
          <c:order val="1"/>
          <c:spPr>
            <a:solidFill>
              <a:srgbClr val="808080"/>
            </a:solidFill>
            <a:ln w="12700">
              <a:solidFill>
                <a:srgbClr val="000000"/>
              </a:solidFill>
              <a:prstDash val="solid"/>
            </a:ln>
          </c:spPr>
          <c:invertIfNegative val="0"/>
          <c:trendline>
            <c:spPr>
              <a:ln w="25400">
                <a:solidFill>
                  <a:srgbClr val="000000"/>
                </a:solidFill>
                <a:prstDash val="solid"/>
              </a:ln>
            </c:spPr>
            <c:trendlineType val="linear"/>
            <c:dispRSqr val="0"/>
            <c:dispEq val="0"/>
          </c:trendline>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2001-47AC-96D9-508B160716E2}"/>
            </c:ext>
          </c:extLst>
        </c:ser>
        <c:dLbls>
          <c:showLegendKey val="0"/>
          <c:showVal val="0"/>
          <c:showCatName val="0"/>
          <c:showSerName val="0"/>
          <c:showPercent val="0"/>
          <c:showBubbleSize val="0"/>
        </c:dLbls>
        <c:gapWidth val="150"/>
        <c:axId val="1910001440"/>
        <c:axId val="1910004160"/>
      </c:barChart>
      <c:catAx>
        <c:axId val="19100014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en-US"/>
          </a:p>
        </c:txPr>
        <c:crossAx val="1910004160"/>
        <c:crosses val="autoZero"/>
        <c:auto val="1"/>
        <c:lblAlgn val="ctr"/>
        <c:lblOffset val="100"/>
        <c:tickLblSkip val="2"/>
        <c:tickMarkSkip val="1"/>
        <c:noMultiLvlLbl val="0"/>
      </c:catAx>
      <c:valAx>
        <c:axId val="1910004160"/>
        <c:scaling>
          <c:orientation val="minMax"/>
        </c:scaling>
        <c:delete val="0"/>
        <c:axPos val="l"/>
        <c:majorGridlines>
          <c:spPr>
            <a:ln w="3175">
              <a:solidFill>
                <a:srgbClr val="000000"/>
              </a:solidFill>
              <a:prstDash val="solid"/>
            </a:ln>
          </c:spPr>
        </c:majorGridlines>
        <c:title>
          <c:tx>
            <c:rich>
              <a:bodyPr/>
              <a:lstStyle/>
              <a:p>
                <a:pPr>
                  <a:defRPr sz="275" b="0" i="0" u="none" strike="noStrike" baseline="0">
                    <a:solidFill>
                      <a:srgbClr val="000000"/>
                    </a:solidFill>
                    <a:latin typeface="Arial"/>
                    <a:ea typeface="Arial"/>
                    <a:cs typeface="Arial"/>
                  </a:defRPr>
                </a:pPr>
                <a:r>
                  <a:rPr lang="en-ZA"/>
                  <a:t>Thousand tons</a:t>
                </a:r>
              </a:p>
            </c:rich>
          </c:tx>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en-US"/>
          </a:p>
        </c:txPr>
        <c:crossAx val="1910001440"/>
        <c:crosses val="autoZero"/>
        <c:crossBetween val="between"/>
        <c:majorUnit val="200"/>
      </c:valAx>
      <c:spPr>
        <a:noFill/>
        <a:ln w="12700">
          <a:solidFill>
            <a:srgbClr val="808080"/>
          </a:solidFill>
          <a:prstDash val="solid"/>
        </a:ln>
      </c:spPr>
    </c:plotArea>
    <c:legend>
      <c:legendPos val="r"/>
      <c:legendEntry>
        <c:idx val="2"/>
        <c:delete val="1"/>
      </c:legendEntry>
      <c:legendEntry>
        <c:idx val="3"/>
        <c:delete val="1"/>
      </c:legendEntry>
      <c:overlay val="0"/>
      <c:spPr>
        <a:noFill/>
        <a:ln w="25400">
          <a:noFill/>
        </a:ln>
      </c:spPr>
      <c:txPr>
        <a:bodyPr/>
        <a:lstStyle/>
        <a:p>
          <a:pPr>
            <a:defRPr sz="128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2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FF0000"/>
              </a:solidFill>
              <a:prstDash val="solid"/>
            </a:ln>
          </c:spPr>
          <c:marker>
            <c:symbol val="diamond"/>
            <c:size val="9"/>
            <c:spPr>
              <a:solidFill>
                <a:srgbClr val="FF0000"/>
              </a:solidFill>
              <a:ln>
                <a:solidFill>
                  <a:srgbClr val="FF0000"/>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176A-454D-9E8D-7C35430BA000}"/>
            </c:ext>
          </c:extLst>
        </c:ser>
        <c:ser>
          <c:idx val="1"/>
          <c:order val="1"/>
          <c:spPr>
            <a:ln w="38100">
              <a:solidFill>
                <a:srgbClr val="333333"/>
              </a:solidFill>
              <a:prstDash val="sysDash"/>
            </a:ln>
          </c:spPr>
          <c:marker>
            <c:symbol val="square"/>
            <c:size val="9"/>
            <c:spPr>
              <a:noFill/>
              <a:ln>
                <a:solidFill>
                  <a:srgbClr val="333333"/>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176A-454D-9E8D-7C35430BA000}"/>
            </c:ext>
          </c:extLst>
        </c:ser>
        <c:dLbls>
          <c:showLegendKey val="0"/>
          <c:showVal val="0"/>
          <c:showCatName val="0"/>
          <c:showSerName val="0"/>
          <c:showPercent val="0"/>
          <c:showBubbleSize val="0"/>
        </c:dLbls>
        <c:marker val="1"/>
        <c:smooth val="0"/>
        <c:axId val="1909986208"/>
        <c:axId val="1910006336"/>
      </c:lineChart>
      <c:catAx>
        <c:axId val="190998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n-US"/>
          </a:p>
        </c:txPr>
        <c:crossAx val="1910006336"/>
        <c:crosses val="autoZero"/>
        <c:auto val="1"/>
        <c:lblAlgn val="ctr"/>
        <c:lblOffset val="100"/>
        <c:tickLblSkip val="2"/>
        <c:tickMarkSkip val="1"/>
        <c:noMultiLvlLbl val="0"/>
      </c:catAx>
      <c:valAx>
        <c:axId val="1910006336"/>
        <c:scaling>
          <c:orientation val="minMax"/>
        </c:scaling>
        <c:delete val="0"/>
        <c:axPos val="l"/>
        <c:majorGridlines>
          <c:spPr>
            <a:ln w="3175">
              <a:solidFill>
                <a:srgbClr val="000000"/>
              </a:solidFill>
              <a:prstDash val="solid"/>
            </a:ln>
          </c:spPr>
        </c:majorGridlines>
        <c:title>
          <c:tx>
            <c:rich>
              <a:bodyPr/>
              <a:lstStyle/>
              <a:p>
                <a:pPr>
                  <a:defRPr sz="300" b="0" i="0" u="none" strike="noStrike" baseline="0">
                    <a:solidFill>
                      <a:srgbClr val="000000"/>
                    </a:solidFill>
                    <a:latin typeface="Arial"/>
                    <a:ea typeface="Arial"/>
                    <a:cs typeface="Arial"/>
                  </a:defRPr>
                </a:pPr>
                <a:r>
                  <a:rPr lang="en-ZA"/>
                  <a:t>Thousand tons</a:t>
                </a:r>
              </a:p>
            </c:rich>
          </c:tx>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n-US"/>
          </a:p>
        </c:txPr>
        <c:crossAx val="1909986208"/>
        <c:crosses val="autoZero"/>
        <c:crossBetween val="between"/>
        <c:majorUnit val="200"/>
      </c:valAx>
      <c:spPr>
        <a:noFill/>
        <a:ln w="12700">
          <a:solidFill>
            <a:srgbClr val="808080"/>
          </a:solidFill>
          <a:prstDash val="solid"/>
        </a:ln>
      </c:spPr>
    </c:plotArea>
    <c:legend>
      <c:legendPos val="b"/>
      <c:overlay val="0"/>
      <c:spPr>
        <a:solidFill>
          <a:srgbClr val="FFFFFF"/>
        </a:solidFill>
        <a:ln w="25400">
          <a:noFill/>
        </a:ln>
      </c:spPr>
      <c:txPr>
        <a:bodyPr/>
        <a:lstStyle/>
        <a:p>
          <a:pPr>
            <a:defRPr sz="128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2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verification'!$B$4</c:f>
              <c:strCache>
                <c:ptCount val="1"/>
                <c:pt idx="0">
                  <c:v>Chicken production (BFAP)</c:v>
                </c:pt>
              </c:strCache>
            </c:strRef>
          </c:tx>
          <c:spPr>
            <a:ln w="28575" cap="rnd">
              <a:solidFill>
                <a:schemeClr val="accent1"/>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verification'!$C$4:$BA$4</c:f>
              <c:numCache>
                <c:formatCode>0.00</c:formatCode>
                <c:ptCount val="51"/>
                <c:pt idx="0">
                  <c:v>993.09182234073091</c:v>
                </c:pt>
                <c:pt idx="1">
                  <c:v>993.09182234073091</c:v>
                </c:pt>
                <c:pt idx="2">
                  <c:v>993.09182234073091</c:v>
                </c:pt>
                <c:pt idx="3">
                  <c:v>1043.5184288423109</c:v>
                </c:pt>
                <c:pt idx="4">
                  <c:v>1063.935684388</c:v>
                </c:pt>
                <c:pt idx="5">
                  <c:v>1250.3949420410001</c:v>
                </c:pt>
                <c:pt idx="6">
                  <c:v>1361.4582773811801</c:v>
                </c:pt>
                <c:pt idx="7">
                  <c:v>1418.12680256985</c:v>
                </c:pt>
                <c:pt idx="8">
                  <c:v>1510.0595450369999</c:v>
                </c:pt>
                <c:pt idx="9">
                  <c:v>1467.5146597320002</c:v>
                </c:pt>
                <c:pt idx="10">
                  <c:v>1455.5368726329998</c:v>
                </c:pt>
                <c:pt idx="11">
                  <c:v>1511.75508982</c:v>
                </c:pt>
                <c:pt idx="12">
                  <c:v>1600</c:v>
                </c:pt>
                <c:pt idx="13">
                  <c:v>1550</c:v>
                </c:pt>
                <c:pt idx="14">
                  <c:v>1500</c:v>
                </c:pt>
                <c:pt idx="15">
                  <c:v>1604.9091918984675</c:v>
                </c:pt>
                <c:pt idx="16">
                  <c:v>1560</c:v>
                </c:pt>
                <c:pt idx="17">
                  <c:v>1530</c:v>
                </c:pt>
                <c:pt idx="18">
                  <c:v>1620</c:v>
                </c:pt>
                <c:pt idx="19">
                  <c:v>1680</c:v>
                </c:pt>
                <c:pt idx="20">
                  <c:v>1715</c:v>
                </c:pt>
                <c:pt idx="21">
                  <c:v>1780</c:v>
                </c:pt>
                <c:pt idx="22">
                  <c:v>1785</c:v>
                </c:pt>
                <c:pt idx="23">
                  <c:v>1790</c:v>
                </c:pt>
                <c:pt idx="24">
                  <c:v>1795</c:v>
                </c:pt>
                <c:pt idx="25">
                  <c:v>1800</c:v>
                </c:pt>
                <c:pt idx="26">
                  <c:v>1805</c:v>
                </c:pt>
                <c:pt idx="27">
                  <c:v>1810</c:v>
                </c:pt>
                <c:pt idx="28">
                  <c:v>1815</c:v>
                </c:pt>
              </c:numCache>
            </c:numRef>
          </c:val>
          <c:smooth val="0"/>
          <c:extLst>
            <c:ext xmlns:c16="http://schemas.microsoft.com/office/drawing/2014/chart" uri="{C3380CC4-5D6E-409C-BE32-E72D297353CC}">
              <c16:uniqueId val="{00000000-0961-441D-9E04-BF04E6707262}"/>
            </c:ext>
          </c:extLst>
        </c:ser>
        <c:ser>
          <c:idx val="1"/>
          <c:order val="1"/>
          <c:tx>
            <c:strRef>
              <c:f>'BFAP verification'!$B$5</c:f>
              <c:strCache>
                <c:ptCount val="1"/>
                <c:pt idx="0">
                  <c:v>Chicken consumption (BFAP)</c:v>
                </c:pt>
              </c:strCache>
            </c:strRef>
          </c:tx>
          <c:spPr>
            <a:ln w="28575" cap="rnd">
              <a:solidFill>
                <a:schemeClr val="accent2"/>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verification'!$C$5:$BA$5</c:f>
              <c:numCache>
                <c:formatCode>0.00</c:formatCode>
                <c:ptCount val="51"/>
                <c:pt idx="0">
                  <c:v>1079.3522583407307</c:v>
                </c:pt>
                <c:pt idx="1">
                  <c:v>1079.3522583407307</c:v>
                </c:pt>
                <c:pt idx="2">
                  <c:v>1079.3522583407307</c:v>
                </c:pt>
                <c:pt idx="3">
                  <c:v>1188.8597378423108</c:v>
                </c:pt>
                <c:pt idx="4">
                  <c:v>1206.674888388</c:v>
                </c:pt>
                <c:pt idx="5">
                  <c:v>1426.810047041</c:v>
                </c:pt>
                <c:pt idx="6">
                  <c:v>1614.02513538118</c:v>
                </c:pt>
                <c:pt idx="7">
                  <c:v>1649.1401165698499</c:v>
                </c:pt>
                <c:pt idx="8">
                  <c:v>1693.2698300369998</c:v>
                </c:pt>
                <c:pt idx="9">
                  <c:v>1660.260131732</c:v>
                </c:pt>
                <c:pt idx="10">
                  <c:v>1679.6840026329999</c:v>
                </c:pt>
                <c:pt idx="11">
                  <c:v>1828.6388368200001</c:v>
                </c:pt>
                <c:pt idx="12">
                  <c:v>1876.7825659999999</c:v>
                </c:pt>
                <c:pt idx="13">
                  <c:v>1848.129913</c:v>
                </c:pt>
                <c:pt idx="14">
                  <c:v>1879.0711650000001</c:v>
                </c:pt>
                <c:pt idx="15">
                  <c:v>1922.8356980734377</c:v>
                </c:pt>
                <c:pt idx="16">
                  <c:v>1990.456203544496</c:v>
                </c:pt>
                <c:pt idx="17">
                  <c:v>2057.8989690155481</c:v>
                </c:pt>
                <c:pt idx="18">
                  <c:v>2126.2640708919885</c:v>
                </c:pt>
                <c:pt idx="19">
                  <c:v>2198.3453171198826</c:v>
                </c:pt>
                <c:pt idx="20">
                  <c:v>2269.7994713342828</c:v>
                </c:pt>
                <c:pt idx="21">
                  <c:v>2342.1782343068635</c:v>
                </c:pt>
                <c:pt idx="22">
                  <c:v>2416.4818482639166</c:v>
                </c:pt>
                <c:pt idx="23">
                  <c:v>2491.5186816187529</c:v>
                </c:pt>
                <c:pt idx="24">
                  <c:v>2570.8561685926552</c:v>
                </c:pt>
              </c:numCache>
            </c:numRef>
          </c:val>
          <c:smooth val="0"/>
          <c:extLst>
            <c:ext xmlns:c16="http://schemas.microsoft.com/office/drawing/2014/chart" uri="{C3380CC4-5D6E-409C-BE32-E72D297353CC}">
              <c16:uniqueId val="{00000001-0961-441D-9E04-BF04E6707262}"/>
            </c:ext>
          </c:extLst>
        </c:ser>
        <c:ser>
          <c:idx val="2"/>
          <c:order val="2"/>
          <c:tx>
            <c:strRef>
              <c:f>'BFAP verification'!$B$6</c:f>
              <c:strCache>
                <c:ptCount val="1"/>
                <c:pt idx="0">
                  <c:v>Chicken production (model)</c:v>
                </c:pt>
              </c:strCache>
            </c:strRef>
          </c:tx>
          <c:spPr>
            <a:ln w="28575" cap="rnd">
              <a:solidFill>
                <a:schemeClr val="accent3"/>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verification'!$C$6:$BA$6</c:f>
              <c:numCache>
                <c:formatCode>0.00</c:formatCode>
                <c:ptCount val="51"/>
                <c:pt idx="0">
                  <c:v>850</c:v>
                </c:pt>
                <c:pt idx="1">
                  <c:v>869</c:v>
                </c:pt>
                <c:pt idx="2">
                  <c:v>896</c:v>
                </c:pt>
                <c:pt idx="3">
                  <c:v>925</c:v>
                </c:pt>
                <c:pt idx="4">
                  <c:v>1043</c:v>
                </c:pt>
                <c:pt idx="5">
                  <c:v>1273</c:v>
                </c:pt>
                <c:pt idx="6">
                  <c:v>1427</c:v>
                </c:pt>
                <c:pt idx="7">
                  <c:v>1499</c:v>
                </c:pt>
                <c:pt idx="8">
                  <c:v>1584</c:v>
                </c:pt>
                <c:pt idx="9">
                  <c:v>1644</c:v>
                </c:pt>
                <c:pt idx="10">
                  <c:v>1681</c:v>
                </c:pt>
                <c:pt idx="11">
                  <c:v>1721</c:v>
                </c:pt>
                <c:pt idx="12">
                  <c:v>1681</c:v>
                </c:pt>
                <c:pt idx="13">
                  <c:v>1691</c:v>
                </c:pt>
                <c:pt idx="14">
                  <c:v>1668</c:v>
                </c:pt>
                <c:pt idx="15">
                  <c:v>1709</c:v>
                </c:pt>
                <c:pt idx="16">
                  <c:v>1704</c:v>
                </c:pt>
                <c:pt idx="17">
                  <c:v>1663</c:v>
                </c:pt>
                <c:pt idx="18">
                  <c:v>1873.9130791943549</c:v>
                </c:pt>
                <c:pt idx="19">
                  <c:v>1916.1139440254526</c:v>
                </c:pt>
                <c:pt idx="20">
                  <c:v>1958.3148088565508</c:v>
                </c:pt>
                <c:pt idx="21">
                  <c:v>2001.0899388955618</c:v>
                </c:pt>
                <c:pt idx="22">
                  <c:v>2043.8650681450117</c:v>
                </c:pt>
                <c:pt idx="23">
                  <c:v>2086.6401973944612</c:v>
                </c:pt>
                <c:pt idx="24">
                  <c:v>2129.4153266439102</c:v>
                </c:pt>
                <c:pt idx="25">
                  <c:v>2172.1904566829203</c:v>
                </c:pt>
                <c:pt idx="26">
                  <c:v>2218.5327206469401</c:v>
                </c:pt>
                <c:pt idx="27">
                  <c:v>2264.874984610959</c:v>
                </c:pt>
                <c:pt idx="28">
                  <c:v>2311.2172485749779</c:v>
                </c:pt>
                <c:pt idx="29">
                  <c:v>2357.5595125389964</c:v>
                </c:pt>
                <c:pt idx="30">
                  <c:v>2403.9017765030162</c:v>
                </c:pt>
                <c:pt idx="31">
                  <c:v>2448.6707142993496</c:v>
                </c:pt>
                <c:pt idx="32">
                  <c:v>2493.439651306122</c:v>
                </c:pt>
                <c:pt idx="33">
                  <c:v>2538.2085891024562</c:v>
                </c:pt>
                <c:pt idx="34">
                  <c:v>2582.97752610923</c:v>
                </c:pt>
                <c:pt idx="35">
                  <c:v>2627.7464631160019</c:v>
                </c:pt>
                <c:pt idx="36">
                  <c:v>2674.2754772457474</c:v>
                </c:pt>
                <c:pt idx="37">
                  <c:v>2720.804491375492</c:v>
                </c:pt>
                <c:pt idx="38">
                  <c:v>2767.3335047156761</c:v>
                </c:pt>
                <c:pt idx="39">
                  <c:v>2813.8625188454203</c:v>
                </c:pt>
                <c:pt idx="40">
                  <c:v>2860.3915329751653</c:v>
                </c:pt>
                <c:pt idx="41">
                  <c:v>2913.5057217466156</c:v>
                </c:pt>
                <c:pt idx="42">
                  <c:v>2966.6199097285044</c:v>
                </c:pt>
                <c:pt idx="43">
                  <c:v>3019.7340984999546</c:v>
                </c:pt>
                <c:pt idx="44">
                  <c:v>3072.8482872714048</c:v>
                </c:pt>
                <c:pt idx="45">
                  <c:v>3125.9624760428537</c:v>
                </c:pt>
                <c:pt idx="46">
                  <c:v>3177.2020444735531</c:v>
                </c:pt>
                <c:pt idx="47">
                  <c:v>3228.4416129042502</c:v>
                </c:pt>
                <c:pt idx="48">
                  <c:v>3279.6811821245092</c:v>
                </c:pt>
                <c:pt idx="49">
                  <c:v>3330.9207505552063</c:v>
                </c:pt>
                <c:pt idx="50">
                  <c:v>3382.1603189859043</c:v>
                </c:pt>
              </c:numCache>
            </c:numRef>
          </c:val>
          <c:smooth val="0"/>
          <c:extLst>
            <c:ext xmlns:c16="http://schemas.microsoft.com/office/drawing/2014/chart" uri="{C3380CC4-5D6E-409C-BE32-E72D297353CC}">
              <c16:uniqueId val="{00000002-0961-441D-9E04-BF04E6707262}"/>
            </c:ext>
          </c:extLst>
        </c:ser>
        <c:ser>
          <c:idx val="3"/>
          <c:order val="3"/>
          <c:tx>
            <c:strRef>
              <c:f>'BFAP verification'!$B$7</c:f>
              <c:strCache>
                <c:ptCount val="1"/>
                <c:pt idx="0">
                  <c:v>Chicken consumption (model)</c:v>
                </c:pt>
              </c:strCache>
            </c:strRef>
          </c:tx>
          <c:spPr>
            <a:ln w="28575" cap="rnd">
              <a:solidFill>
                <a:schemeClr val="accent4"/>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verification'!$C$7:$BA$7</c:f>
              <c:numCache>
                <c:formatCode>0.00</c:formatCode>
                <c:ptCount val="51"/>
                <c:pt idx="0">
                  <c:v>927</c:v>
                </c:pt>
                <c:pt idx="1">
                  <c:v>938</c:v>
                </c:pt>
                <c:pt idx="2">
                  <c:v>965</c:v>
                </c:pt>
                <c:pt idx="3">
                  <c:v>1032</c:v>
                </c:pt>
                <c:pt idx="4">
                  <c:v>1196</c:v>
                </c:pt>
                <c:pt idx="5">
                  <c:v>1455</c:v>
                </c:pt>
                <c:pt idx="6">
                  <c:v>1664</c:v>
                </c:pt>
                <c:pt idx="7">
                  <c:v>1767</c:v>
                </c:pt>
                <c:pt idx="8">
                  <c:v>1813</c:v>
                </c:pt>
                <c:pt idx="9">
                  <c:v>1841</c:v>
                </c:pt>
                <c:pt idx="10">
                  <c:v>1887</c:v>
                </c:pt>
                <c:pt idx="11">
                  <c:v>1987</c:v>
                </c:pt>
                <c:pt idx="12">
                  <c:v>2048</c:v>
                </c:pt>
                <c:pt idx="13">
                  <c:v>2061</c:v>
                </c:pt>
                <c:pt idx="14">
                  <c:v>2015</c:v>
                </c:pt>
                <c:pt idx="15">
                  <c:v>2076</c:v>
                </c:pt>
                <c:pt idx="16">
                  <c:v>2200</c:v>
                </c:pt>
                <c:pt idx="17">
                  <c:v>2155</c:v>
                </c:pt>
                <c:pt idx="18">
                  <c:v>2275.5165831531472</c:v>
                </c:pt>
                <c:pt idx="19">
                  <c:v>2331.1445987771758</c:v>
                </c:pt>
                <c:pt idx="20">
                  <c:v>2386.7726144012045</c:v>
                </c:pt>
                <c:pt idx="21">
                  <c:v>2443.1576105773133</c:v>
                </c:pt>
                <c:pt idx="22">
                  <c:v>2499.5426057126447</c:v>
                </c:pt>
                <c:pt idx="23">
                  <c:v>2555.9276008479756</c:v>
                </c:pt>
                <c:pt idx="24">
                  <c:v>2612.312595983306</c:v>
                </c:pt>
                <c:pt idx="25">
                  <c:v>2668.6975921594139</c:v>
                </c:pt>
                <c:pt idx="26">
                  <c:v>2729.7846858519501</c:v>
                </c:pt>
                <c:pt idx="27">
                  <c:v>2790.871779544485</c:v>
                </c:pt>
                <c:pt idx="28">
                  <c:v>2851.9588732370203</c:v>
                </c:pt>
                <c:pt idx="29">
                  <c:v>2913.0459669295551</c:v>
                </c:pt>
                <c:pt idx="30">
                  <c:v>2974.1330606220913</c:v>
                </c:pt>
                <c:pt idx="31">
                  <c:v>3033.1462391712284</c:v>
                </c:pt>
                <c:pt idx="32">
                  <c:v>3092.159416679588</c:v>
                </c:pt>
                <c:pt idx="33">
                  <c:v>3151.172595228727</c:v>
                </c:pt>
                <c:pt idx="34">
                  <c:v>3210.1857727370875</c:v>
                </c:pt>
                <c:pt idx="35">
                  <c:v>3269.1989502454476</c:v>
                </c:pt>
                <c:pt idx="36">
                  <c:v>3330.5322128536768</c:v>
                </c:pt>
                <c:pt idx="37">
                  <c:v>3391.8654754619047</c:v>
                </c:pt>
                <c:pt idx="38">
                  <c:v>3453.1987370293559</c:v>
                </c:pt>
                <c:pt idx="39">
                  <c:v>3514.5319996375842</c:v>
                </c:pt>
                <c:pt idx="40">
                  <c:v>3575.8652622458126</c:v>
                </c:pt>
                <c:pt idx="41">
                  <c:v>3645.8789203701494</c:v>
                </c:pt>
                <c:pt idx="42">
                  <c:v>3715.8925774537074</c:v>
                </c:pt>
                <c:pt idx="43">
                  <c:v>3785.9062355780443</c:v>
                </c:pt>
                <c:pt idx="44">
                  <c:v>3855.9198937023803</c:v>
                </c:pt>
                <c:pt idx="45">
                  <c:v>3925.9335518267153</c:v>
                </c:pt>
                <c:pt idx="46">
                  <c:v>3993.4761371419568</c:v>
                </c:pt>
                <c:pt idx="47">
                  <c:v>4061.0187224571955</c:v>
                </c:pt>
                <c:pt idx="48">
                  <c:v>4128.5613088132131</c:v>
                </c:pt>
                <c:pt idx="49">
                  <c:v>4196.1038941284523</c:v>
                </c:pt>
                <c:pt idx="50">
                  <c:v>4263.6464794436915</c:v>
                </c:pt>
              </c:numCache>
            </c:numRef>
          </c:val>
          <c:smooth val="0"/>
          <c:extLst>
            <c:ext xmlns:c16="http://schemas.microsoft.com/office/drawing/2014/chart" uri="{C3380CC4-5D6E-409C-BE32-E72D297353CC}">
              <c16:uniqueId val="{00000003-0961-441D-9E04-BF04E6707262}"/>
            </c:ext>
          </c:extLst>
        </c:ser>
        <c:dLbls>
          <c:showLegendKey val="0"/>
          <c:showVal val="0"/>
          <c:showCatName val="0"/>
          <c:showSerName val="0"/>
          <c:showPercent val="0"/>
          <c:showBubbleSize val="0"/>
        </c:dLbls>
        <c:smooth val="0"/>
        <c:axId val="1913240207"/>
        <c:axId val="1913233551"/>
      </c:lineChart>
      <c:catAx>
        <c:axId val="1913240207"/>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33551"/>
        <c:crosses val="autoZero"/>
        <c:auto val="1"/>
        <c:lblAlgn val="ctr"/>
        <c:lblOffset val="100"/>
        <c:noMultiLvlLbl val="0"/>
      </c:catAx>
      <c:valAx>
        <c:axId val="19132335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40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verification'!$B$10</c:f>
              <c:strCache>
                <c:ptCount val="1"/>
                <c:pt idx="0">
                  <c:v>Egg production (BFAP)</c:v>
                </c:pt>
              </c:strCache>
            </c:strRef>
          </c:tx>
          <c:spPr>
            <a:ln w="28575" cap="rnd">
              <a:solidFill>
                <a:schemeClr val="accent1"/>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verification'!$C$10:$BA$10</c:f>
              <c:numCache>
                <c:formatCode>0.00</c:formatCode>
                <c:ptCount val="51"/>
                <c:pt idx="0">
                  <c:v>325.34589665653499</c:v>
                </c:pt>
                <c:pt idx="1">
                  <c:v>325.34589665653499</c:v>
                </c:pt>
                <c:pt idx="2">
                  <c:v>325.34589665653499</c:v>
                </c:pt>
                <c:pt idx="3">
                  <c:v>318.8389787234043</c:v>
                </c:pt>
                <c:pt idx="4">
                  <c:v>318.8389787234043</c:v>
                </c:pt>
                <c:pt idx="5">
                  <c:v>325.21575829787241</c:v>
                </c:pt>
                <c:pt idx="6">
                  <c:v>328.46791588085114</c:v>
                </c:pt>
                <c:pt idx="7">
                  <c:v>363.86063999999999</c:v>
                </c:pt>
                <c:pt idx="8">
                  <c:v>368.28791999999999</c:v>
                </c:pt>
                <c:pt idx="9">
                  <c:v>373.60199999999998</c:v>
                </c:pt>
                <c:pt idx="10">
                  <c:v>386.43599999999998</c:v>
                </c:pt>
                <c:pt idx="11">
                  <c:v>404.49</c:v>
                </c:pt>
                <c:pt idx="12">
                  <c:v>450.04</c:v>
                </c:pt>
                <c:pt idx="13">
                  <c:v>439.4</c:v>
                </c:pt>
                <c:pt idx="14">
                  <c:v>421.88</c:v>
                </c:pt>
                <c:pt idx="15">
                  <c:v>433.92676812049251</c:v>
                </c:pt>
                <c:pt idx="16">
                  <c:v>435</c:v>
                </c:pt>
                <c:pt idx="17">
                  <c:v>400</c:v>
                </c:pt>
                <c:pt idx="18">
                  <c:v>410</c:v>
                </c:pt>
                <c:pt idx="19">
                  <c:v>415</c:v>
                </c:pt>
                <c:pt idx="20">
                  <c:v>424</c:v>
                </c:pt>
                <c:pt idx="21">
                  <c:v>440</c:v>
                </c:pt>
                <c:pt idx="22">
                  <c:v>450</c:v>
                </c:pt>
                <c:pt idx="23">
                  <c:v>458</c:v>
                </c:pt>
                <c:pt idx="24">
                  <c:v>460</c:v>
                </c:pt>
                <c:pt idx="25">
                  <c:v>470</c:v>
                </c:pt>
                <c:pt idx="26">
                  <c:v>480</c:v>
                </c:pt>
                <c:pt idx="27">
                  <c:v>490</c:v>
                </c:pt>
                <c:pt idx="28">
                  <c:v>500</c:v>
                </c:pt>
              </c:numCache>
            </c:numRef>
          </c:val>
          <c:smooth val="0"/>
          <c:extLst>
            <c:ext xmlns:c16="http://schemas.microsoft.com/office/drawing/2014/chart" uri="{C3380CC4-5D6E-409C-BE32-E72D297353CC}">
              <c16:uniqueId val="{00000000-76CF-4086-B27B-5C61DEAA5E1D}"/>
            </c:ext>
          </c:extLst>
        </c:ser>
        <c:ser>
          <c:idx val="1"/>
          <c:order val="1"/>
          <c:tx>
            <c:strRef>
              <c:f>'BFAP verification'!$B$11</c:f>
              <c:strCache>
                <c:ptCount val="1"/>
                <c:pt idx="0">
                  <c:v>Egg consumption (BFAP)</c:v>
                </c:pt>
              </c:strCache>
            </c:strRef>
          </c:tx>
          <c:spPr>
            <a:ln w="28575" cap="rnd">
              <a:solidFill>
                <a:schemeClr val="accent2"/>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verification'!$C$11:$BA$11</c:f>
              <c:numCache>
                <c:formatCode>0.00</c:formatCode>
                <c:ptCount val="51"/>
                <c:pt idx="0">
                  <c:v>321.91089665653499</c:v>
                </c:pt>
                <c:pt idx="1">
                  <c:v>321.91089665653499</c:v>
                </c:pt>
                <c:pt idx="2">
                  <c:v>321.91089665653499</c:v>
                </c:pt>
                <c:pt idx="3">
                  <c:v>316.1402608231254</c:v>
                </c:pt>
                <c:pt idx="4">
                  <c:v>317.8939787234043</c:v>
                </c:pt>
                <c:pt idx="5">
                  <c:v>324.27075829787242</c:v>
                </c:pt>
                <c:pt idx="6">
                  <c:v>328.91791588085113</c:v>
                </c:pt>
                <c:pt idx="7">
                  <c:v>364.32063999999997</c:v>
                </c:pt>
                <c:pt idx="8">
                  <c:v>367.77791999999999</c:v>
                </c:pt>
                <c:pt idx="9">
                  <c:v>371.36519499999997</c:v>
                </c:pt>
                <c:pt idx="10">
                  <c:v>382.88327899999996</c:v>
                </c:pt>
                <c:pt idx="11">
                  <c:v>401.97165999999999</c:v>
                </c:pt>
                <c:pt idx="12">
                  <c:v>445.23</c:v>
                </c:pt>
                <c:pt idx="13">
                  <c:v>435.75099999999998</c:v>
                </c:pt>
                <c:pt idx="14">
                  <c:v>416.88200000000001</c:v>
                </c:pt>
                <c:pt idx="15">
                  <c:v>429.92676812049251</c:v>
                </c:pt>
                <c:pt idx="16">
                  <c:v>431</c:v>
                </c:pt>
                <c:pt idx="17">
                  <c:v>396</c:v>
                </c:pt>
                <c:pt idx="18">
                  <c:v>406</c:v>
                </c:pt>
                <c:pt idx="19">
                  <c:v>411</c:v>
                </c:pt>
                <c:pt idx="20">
                  <c:v>420</c:v>
                </c:pt>
                <c:pt idx="21">
                  <c:v>436</c:v>
                </c:pt>
                <c:pt idx="22">
                  <c:v>446</c:v>
                </c:pt>
                <c:pt idx="23">
                  <c:v>454</c:v>
                </c:pt>
                <c:pt idx="24">
                  <c:v>456</c:v>
                </c:pt>
                <c:pt idx="25">
                  <c:v>466</c:v>
                </c:pt>
                <c:pt idx="26">
                  <c:v>476</c:v>
                </c:pt>
                <c:pt idx="27">
                  <c:v>486</c:v>
                </c:pt>
                <c:pt idx="28">
                  <c:v>496</c:v>
                </c:pt>
              </c:numCache>
            </c:numRef>
          </c:val>
          <c:smooth val="0"/>
          <c:extLst>
            <c:ext xmlns:c16="http://schemas.microsoft.com/office/drawing/2014/chart" uri="{C3380CC4-5D6E-409C-BE32-E72D297353CC}">
              <c16:uniqueId val="{00000001-76CF-4086-B27B-5C61DEAA5E1D}"/>
            </c:ext>
          </c:extLst>
        </c:ser>
        <c:ser>
          <c:idx val="2"/>
          <c:order val="2"/>
          <c:tx>
            <c:strRef>
              <c:f>'BFAP verification'!$B$12</c:f>
              <c:strCache>
                <c:ptCount val="1"/>
                <c:pt idx="0">
                  <c:v>Egg production (model)</c:v>
                </c:pt>
              </c:strCache>
            </c:strRef>
          </c:tx>
          <c:spPr>
            <a:ln w="28575" cap="rnd">
              <a:solidFill>
                <a:schemeClr val="accent3"/>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verification'!$C$12:$BA$12</c:f>
              <c:numCache>
                <c:formatCode>0.00</c:formatCode>
                <c:ptCount val="51"/>
                <c:pt idx="0">
                  <c:v>329</c:v>
                </c:pt>
                <c:pt idx="1">
                  <c:v>330</c:v>
                </c:pt>
                <c:pt idx="2">
                  <c:v>340</c:v>
                </c:pt>
                <c:pt idx="3">
                  <c:v>328</c:v>
                </c:pt>
                <c:pt idx="4">
                  <c:v>348</c:v>
                </c:pt>
                <c:pt idx="5">
                  <c:v>375</c:v>
                </c:pt>
                <c:pt idx="6">
                  <c:v>412</c:v>
                </c:pt>
                <c:pt idx="7">
                  <c:v>438</c:v>
                </c:pt>
                <c:pt idx="8">
                  <c:v>426</c:v>
                </c:pt>
                <c:pt idx="9">
                  <c:v>404</c:v>
                </c:pt>
                <c:pt idx="10">
                  <c:v>413</c:v>
                </c:pt>
                <c:pt idx="11">
                  <c:v>452</c:v>
                </c:pt>
                <c:pt idx="12">
                  <c:v>477</c:v>
                </c:pt>
                <c:pt idx="13">
                  <c:v>468</c:v>
                </c:pt>
                <c:pt idx="14">
                  <c:v>453</c:v>
                </c:pt>
                <c:pt idx="15">
                  <c:v>477</c:v>
                </c:pt>
                <c:pt idx="16">
                  <c:v>478</c:v>
                </c:pt>
                <c:pt idx="17">
                  <c:v>445</c:v>
                </c:pt>
                <c:pt idx="18">
                  <c:v>486.5851576717522</c:v>
                </c:pt>
                <c:pt idx="19">
                  <c:v>491.14218538837775</c:v>
                </c:pt>
                <c:pt idx="20">
                  <c:v>488.97681247086626</c:v>
                </c:pt>
                <c:pt idx="21">
                  <c:v>494.58844935570505</c:v>
                </c:pt>
                <c:pt idx="22">
                  <c:v>500.13175130277506</c:v>
                </c:pt>
                <c:pt idx="23">
                  <c:v>505.69039255744616</c:v>
                </c:pt>
                <c:pt idx="24">
                  <c:v>511.19020701907453</c:v>
                </c:pt>
                <c:pt idx="25">
                  <c:v>516.75825457424355</c:v>
                </c:pt>
                <c:pt idx="26">
                  <c:v>522.96378028380047</c:v>
                </c:pt>
                <c:pt idx="27">
                  <c:v>529.15121428020404</c:v>
                </c:pt>
                <c:pt idx="28">
                  <c:v>535.43100793463316</c:v>
                </c:pt>
                <c:pt idx="29">
                  <c:v>541.77938192549811</c:v>
                </c:pt>
                <c:pt idx="30">
                  <c:v>548.20259575574778</c:v>
                </c:pt>
                <c:pt idx="31">
                  <c:v>554.92175889142152</c:v>
                </c:pt>
                <c:pt idx="32">
                  <c:v>561.51788368183031</c:v>
                </c:pt>
                <c:pt idx="33">
                  <c:v>568.39152100916999</c:v>
                </c:pt>
                <c:pt idx="34">
                  <c:v>575.4591636850231</c:v>
                </c:pt>
                <c:pt idx="35">
                  <c:v>582.73131218249284</c:v>
                </c:pt>
                <c:pt idx="36">
                  <c:v>590.25802565240213</c:v>
                </c:pt>
                <c:pt idx="37">
                  <c:v>597.92540428118923</c:v>
                </c:pt>
                <c:pt idx="38">
                  <c:v>605.64503937256814</c:v>
                </c:pt>
                <c:pt idx="39">
                  <c:v>613.50666628121894</c:v>
                </c:pt>
                <c:pt idx="40">
                  <c:v>621.58974171283444</c:v>
                </c:pt>
                <c:pt idx="41">
                  <c:v>630.43205724263089</c:v>
                </c:pt>
                <c:pt idx="42">
                  <c:v>639.44437160838049</c:v>
                </c:pt>
                <c:pt idx="43">
                  <c:v>648.61699408413529</c:v>
                </c:pt>
                <c:pt idx="44">
                  <c:v>657.97384493453296</c:v>
                </c:pt>
                <c:pt idx="45">
                  <c:v>667.60976202715233</c:v>
                </c:pt>
                <c:pt idx="46">
                  <c:v>677.31128652552695</c:v>
                </c:pt>
                <c:pt idx="47">
                  <c:v>687.25342976428192</c:v>
                </c:pt>
                <c:pt idx="48">
                  <c:v>697.25591186319696</c:v>
                </c:pt>
                <c:pt idx="49">
                  <c:v>707.52082035224294</c:v>
                </c:pt>
                <c:pt idx="50">
                  <c:v>718.07005442390982</c:v>
                </c:pt>
              </c:numCache>
            </c:numRef>
          </c:val>
          <c:smooth val="0"/>
          <c:extLst>
            <c:ext xmlns:c16="http://schemas.microsoft.com/office/drawing/2014/chart" uri="{C3380CC4-5D6E-409C-BE32-E72D297353CC}">
              <c16:uniqueId val="{00000002-76CF-4086-B27B-5C61DEAA5E1D}"/>
            </c:ext>
          </c:extLst>
        </c:ser>
        <c:ser>
          <c:idx val="3"/>
          <c:order val="3"/>
          <c:tx>
            <c:strRef>
              <c:f>'BFAP verification'!$B$13</c:f>
              <c:strCache>
                <c:ptCount val="1"/>
                <c:pt idx="0">
                  <c:v>Egg consumption (model)</c:v>
                </c:pt>
              </c:strCache>
            </c:strRef>
          </c:tx>
          <c:spPr>
            <a:ln w="28575" cap="rnd">
              <a:solidFill>
                <a:schemeClr val="accent4"/>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verification'!$C$13:$BA$13</c:f>
              <c:numCache>
                <c:formatCode>0.00</c:formatCode>
                <c:ptCount val="51"/>
                <c:pt idx="0">
                  <c:v>310</c:v>
                </c:pt>
                <c:pt idx="1">
                  <c:v>308</c:v>
                </c:pt>
                <c:pt idx="2">
                  <c:v>313</c:v>
                </c:pt>
                <c:pt idx="3">
                  <c:v>305</c:v>
                </c:pt>
                <c:pt idx="4">
                  <c:v>329</c:v>
                </c:pt>
                <c:pt idx="5">
                  <c:v>357</c:v>
                </c:pt>
                <c:pt idx="6">
                  <c:v>392</c:v>
                </c:pt>
                <c:pt idx="7">
                  <c:v>416</c:v>
                </c:pt>
                <c:pt idx="8">
                  <c:v>404</c:v>
                </c:pt>
                <c:pt idx="9">
                  <c:v>379</c:v>
                </c:pt>
                <c:pt idx="10">
                  <c:v>386</c:v>
                </c:pt>
                <c:pt idx="11">
                  <c:v>426</c:v>
                </c:pt>
                <c:pt idx="12">
                  <c:v>447</c:v>
                </c:pt>
                <c:pt idx="13">
                  <c:v>433</c:v>
                </c:pt>
                <c:pt idx="14">
                  <c:v>418</c:v>
                </c:pt>
                <c:pt idx="15">
                  <c:v>438</c:v>
                </c:pt>
                <c:pt idx="16">
                  <c:v>441</c:v>
                </c:pt>
                <c:pt idx="17">
                  <c:v>412</c:v>
                </c:pt>
                <c:pt idx="18">
                  <c:v>454.84885734851554</c:v>
                </c:pt>
                <c:pt idx="19">
                  <c:v>459.11028413462356</c:v>
                </c:pt>
                <c:pt idx="20">
                  <c:v>457.08537256366003</c:v>
                </c:pt>
                <c:pt idx="21">
                  <c:v>462.33299913562911</c:v>
                </c:pt>
                <c:pt idx="22">
                  <c:v>467.51672345544102</c:v>
                </c:pt>
                <c:pt idx="23">
                  <c:v>472.71479206726877</c:v>
                </c:pt>
                <c:pt idx="24">
                  <c:v>477.85784980639579</c:v>
                </c:pt>
                <c:pt idx="25">
                  <c:v>483.06471455978613</c:v>
                </c:pt>
                <c:pt idx="26">
                  <c:v>488.86770614224014</c:v>
                </c:pt>
                <c:pt idx="27">
                  <c:v>494.65377956754605</c:v>
                </c:pt>
                <c:pt idx="28">
                  <c:v>500.52622155261076</c:v>
                </c:pt>
                <c:pt idx="29">
                  <c:v>506.46279527021272</c:v>
                </c:pt>
                <c:pt idx="30">
                  <c:v>512.46935418782971</c:v>
                </c:pt>
                <c:pt idx="31">
                  <c:v>518.75266505340244</c:v>
                </c:pt>
                <c:pt idx="32">
                  <c:v>524.92091870782042</c:v>
                </c:pt>
                <c:pt idx="33">
                  <c:v>531.34868348042687</c:v>
                </c:pt>
                <c:pt idx="34">
                  <c:v>537.95786904751026</c:v>
                </c:pt>
                <c:pt idx="35">
                  <c:v>544.75829474749264</c:v>
                </c:pt>
                <c:pt idx="36">
                  <c:v>551.79677254191392</c:v>
                </c:pt>
                <c:pt idx="37">
                  <c:v>558.96679096175808</c:v>
                </c:pt>
                <c:pt idx="38">
                  <c:v>566.18567612178538</c:v>
                </c:pt>
                <c:pt idx="39">
                  <c:v>573.53734250921741</c:v>
                </c:pt>
                <c:pt idx="40">
                  <c:v>581.09609270789394</c:v>
                </c:pt>
                <c:pt idx="41">
                  <c:v>589.36483334171123</c:v>
                </c:pt>
                <c:pt idx="42">
                  <c:v>597.79254548902065</c:v>
                </c:pt>
                <c:pt idx="43">
                  <c:v>606.37016703264885</c:v>
                </c:pt>
                <c:pt idx="44">
                  <c:v>615.12006660030568</c:v>
                </c:pt>
                <c:pt idx="45">
                  <c:v>624.13093020716803</c:v>
                </c:pt>
                <c:pt idx="46">
                  <c:v>633.20314546112093</c:v>
                </c:pt>
                <c:pt idx="47">
                  <c:v>642.50037122834226</c:v>
                </c:pt>
                <c:pt idx="48">
                  <c:v>651.85402185205328</c:v>
                </c:pt>
                <c:pt idx="49">
                  <c:v>661.45307604094432</c:v>
                </c:pt>
                <c:pt idx="50">
                  <c:v>671.31801245156009</c:v>
                </c:pt>
              </c:numCache>
            </c:numRef>
          </c:val>
          <c:smooth val="0"/>
          <c:extLst>
            <c:ext xmlns:c16="http://schemas.microsoft.com/office/drawing/2014/chart" uri="{C3380CC4-5D6E-409C-BE32-E72D297353CC}">
              <c16:uniqueId val="{00000003-76CF-4086-B27B-5C61DEAA5E1D}"/>
            </c:ext>
          </c:extLst>
        </c:ser>
        <c:dLbls>
          <c:showLegendKey val="0"/>
          <c:showVal val="0"/>
          <c:showCatName val="0"/>
          <c:showSerName val="0"/>
          <c:showPercent val="0"/>
          <c:showBubbleSize val="0"/>
        </c:dLbls>
        <c:smooth val="0"/>
        <c:axId val="1784320671"/>
        <c:axId val="1784315263"/>
      </c:lineChart>
      <c:catAx>
        <c:axId val="1784320671"/>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315263"/>
        <c:crosses val="autoZero"/>
        <c:auto val="1"/>
        <c:lblAlgn val="ctr"/>
        <c:lblOffset val="100"/>
        <c:noMultiLvlLbl val="0"/>
      </c:catAx>
      <c:valAx>
        <c:axId val="17843152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320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Relationships!$A$83:$B$83</c:f>
              <c:strCache>
                <c:ptCount val="2"/>
                <c:pt idx="0">
                  <c:v>Lamb consumption</c:v>
                </c:pt>
                <c:pt idx="1">
                  <c:v>t/capita</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4.4347769028871394E-2"/>
                  <c:y val="0.1959215514727325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Relationships!$E$82:$AF$82</c:f>
              <c:numCache>
                <c:formatCode>General</c:formatCode>
                <c:ptCount val="28"/>
                <c:pt idx="0">
                  <c:v>7.3995172186341224E-6</c:v>
                </c:pt>
                <c:pt idx="1">
                  <c:v>8.3160321270873128E-6</c:v>
                </c:pt>
                <c:pt idx="2">
                  <c:v>9.1809688444329608E-6</c:v>
                </c:pt>
                <c:pt idx="3">
                  <c:v>1.0183063676790614E-5</c:v>
                </c:pt>
                <c:pt idx="4">
                  <c:v>1.1198558803003417E-5</c:v>
                </c:pt>
                <c:pt idx="5">
                  <c:v>1.2456004786976505E-5</c:v>
                </c:pt>
                <c:pt idx="6">
                  <c:v>1.5023575074943164E-5</c:v>
                </c:pt>
                <c:pt idx="7">
                  <c:v>1.4993976964585091E-5</c:v>
                </c:pt>
                <c:pt idx="8">
                  <c:v>1.5889974557177216E-5</c:v>
                </c:pt>
                <c:pt idx="9">
                  <c:v>1.7139534783540361E-5</c:v>
                </c:pt>
                <c:pt idx="10">
                  <c:v>1.9178073296508686E-5</c:v>
                </c:pt>
                <c:pt idx="11">
                  <c:v>2.0941920561623974E-5</c:v>
                </c:pt>
                <c:pt idx="12">
                  <c:v>2.4092156096673536E-5</c:v>
                </c:pt>
                <c:pt idx="13">
                  <c:v>2.5864721644610491E-5</c:v>
                </c:pt>
                <c:pt idx="14">
                  <c:v>2.816463639110616E-5</c:v>
                </c:pt>
                <c:pt idx="15">
                  <c:v>3.0685475313895917E-5</c:v>
                </c:pt>
                <c:pt idx="16">
                  <c:v>3.3867608215633009E-5</c:v>
                </c:pt>
                <c:pt idx="17">
                  <c:v>3.8369935813406575E-5</c:v>
                </c:pt>
                <c:pt idx="18">
                  <c:v>4.2933160137438985E-5</c:v>
                </c:pt>
                <c:pt idx="19">
                  <c:v>4.5112536477249022E-5</c:v>
                </c:pt>
                <c:pt idx="20">
                  <c:v>4.8711594853611398E-5</c:v>
                </c:pt>
                <c:pt idx="21">
                  <c:v>5.2388104554380752E-5</c:v>
                </c:pt>
                <c:pt idx="22">
                  <c:v>7.2008674666107316E-5</c:v>
                </c:pt>
                <c:pt idx="23">
                  <c:v>7.3128862350936422E-5</c:v>
                </c:pt>
                <c:pt idx="24">
                  <c:v>7.3832053087208803E-5</c:v>
                </c:pt>
                <c:pt idx="25">
                  <c:v>7.4099569652362116E-5</c:v>
                </c:pt>
                <c:pt idx="26">
                  <c:v>7.3966728660027013E-5</c:v>
                </c:pt>
                <c:pt idx="27">
                  <c:v>7.4125058503467776E-5</c:v>
                </c:pt>
              </c:numCache>
            </c:numRef>
          </c:xVal>
          <c:yVal>
            <c:numRef>
              <c:f>Relationships!$E$83:$AF$83</c:f>
              <c:numCache>
                <c:formatCode>General</c:formatCode>
                <c:ptCount val="28"/>
                <c:pt idx="0">
                  <c:v>4.6999349927469751E-3</c:v>
                </c:pt>
                <c:pt idx="1">
                  <c:v>5.1337590256356549E-3</c:v>
                </c:pt>
                <c:pt idx="2">
                  <c:v>4.8370155133322145E-3</c:v>
                </c:pt>
                <c:pt idx="3">
                  <c:v>4.4825432869713315E-3</c:v>
                </c:pt>
                <c:pt idx="4">
                  <c:v>3.615022845716697E-3</c:v>
                </c:pt>
                <c:pt idx="5">
                  <c:v>2.6769149486779026E-3</c:v>
                </c:pt>
                <c:pt idx="6">
                  <c:v>3.1822155014234865E-3</c:v>
                </c:pt>
                <c:pt idx="7">
                  <c:v>3.1050915056369576E-3</c:v>
                </c:pt>
                <c:pt idx="8">
                  <c:v>3.1202598034076076E-3</c:v>
                </c:pt>
                <c:pt idx="9">
                  <c:v>3.2648794977318042E-3</c:v>
                </c:pt>
                <c:pt idx="10">
                  <c:v>3.4073339917613768E-3</c:v>
                </c:pt>
                <c:pt idx="11">
                  <c:v>3.2796976446170891E-3</c:v>
                </c:pt>
                <c:pt idx="12">
                  <c:v>2.9737223183428679E-3</c:v>
                </c:pt>
                <c:pt idx="13">
                  <c:v>2.9375505520257668E-3</c:v>
                </c:pt>
                <c:pt idx="14">
                  <c:v>3.0411313973028199E-3</c:v>
                </c:pt>
                <c:pt idx="15">
                  <c:v>3.2982042142704099E-3</c:v>
                </c:pt>
                <c:pt idx="16">
                  <c:v>3.4118755583558893E-3</c:v>
                </c:pt>
                <c:pt idx="17">
                  <c:v>3.8847910471221979E-3</c:v>
                </c:pt>
                <c:pt idx="18">
                  <c:v>3.5689411002378874E-3</c:v>
                </c:pt>
                <c:pt idx="19">
                  <c:v>3.3520209823834457E-3</c:v>
                </c:pt>
                <c:pt idx="20">
                  <c:v>3.1934731625248227E-3</c:v>
                </c:pt>
                <c:pt idx="21">
                  <c:v>2.8016982945137554E-3</c:v>
                </c:pt>
                <c:pt idx="22">
                  <c:v>2.7828276773694026E-3</c:v>
                </c:pt>
                <c:pt idx="23">
                  <c:v>3.0036995406173411E-3</c:v>
                </c:pt>
                <c:pt idx="24">
                  <c:v>3.2725925925925926E-3</c:v>
                </c:pt>
                <c:pt idx="25">
                  <c:v>3.3293934348736548E-3</c:v>
                </c:pt>
                <c:pt idx="26">
                  <c:v>3.2628869688124738E-3</c:v>
                </c:pt>
                <c:pt idx="27">
                  <c:v>3.146903586936822E-3</c:v>
                </c:pt>
              </c:numCache>
            </c:numRef>
          </c:yVal>
          <c:smooth val="0"/>
          <c:extLst>
            <c:ext xmlns:c16="http://schemas.microsoft.com/office/drawing/2014/chart" uri="{C3380CC4-5D6E-409C-BE32-E72D297353CC}">
              <c16:uniqueId val="{00000000-006B-4AD3-8784-B5457215E04A}"/>
            </c:ext>
          </c:extLst>
        </c:ser>
        <c:dLbls>
          <c:showLegendKey val="0"/>
          <c:showVal val="0"/>
          <c:showCatName val="0"/>
          <c:showSerName val="0"/>
          <c:showPercent val="0"/>
          <c:showBubbleSize val="0"/>
        </c:dLbls>
        <c:axId val="358578671"/>
        <c:axId val="358577423"/>
      </c:scatterChart>
      <c:valAx>
        <c:axId val="3585786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Wealth (GVA/capita)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577423"/>
        <c:crosses val="autoZero"/>
        <c:crossBetween val="midCat"/>
      </c:valAx>
      <c:valAx>
        <c:axId val="358577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Lamb consumption (t/capita)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57867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verification'!$B$16</c:f>
              <c:strCache>
                <c:ptCount val="1"/>
                <c:pt idx="0">
                  <c:v>Beef production (BFAP)</c:v>
                </c:pt>
              </c:strCache>
            </c:strRef>
          </c:tx>
          <c:spPr>
            <a:ln w="28575" cap="rnd">
              <a:solidFill>
                <a:schemeClr val="accent1"/>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verification'!$C$16:$BA$16</c:f>
              <c:numCache>
                <c:formatCode>0.00</c:formatCode>
                <c:ptCount val="51"/>
                <c:pt idx="0">
                  <c:v>610.16713705625</c:v>
                </c:pt>
                <c:pt idx="1">
                  <c:v>610.16713705625</c:v>
                </c:pt>
                <c:pt idx="2">
                  <c:v>610.16713705625</c:v>
                </c:pt>
                <c:pt idx="3">
                  <c:v>536</c:v>
                </c:pt>
                <c:pt idx="4">
                  <c:v>559.68422552599998</c:v>
                </c:pt>
                <c:pt idx="5">
                  <c:v>575.65290859000004</c:v>
                </c:pt>
                <c:pt idx="6">
                  <c:v>579.69497297999999</c:v>
                </c:pt>
                <c:pt idx="7">
                  <c:v>601.65087453649994</c:v>
                </c:pt>
                <c:pt idx="8">
                  <c:v>631</c:v>
                </c:pt>
                <c:pt idx="9">
                  <c:v>612.06999999999994</c:v>
                </c:pt>
                <c:pt idx="10">
                  <c:v>654.91489999999999</c:v>
                </c:pt>
                <c:pt idx="11">
                  <c:v>622.16915499999993</c:v>
                </c:pt>
                <c:pt idx="12">
                  <c:v>613.14770225249993</c:v>
                </c:pt>
                <c:pt idx="13">
                  <c:v>665.92799245872072</c:v>
                </c:pt>
                <c:pt idx="14">
                  <c:v>698.08925804689954</c:v>
                </c:pt>
                <c:pt idx="15">
                  <c:v>699.22078053934399</c:v>
                </c:pt>
                <c:pt idx="16">
                  <c:v>710.39885911430974</c:v>
                </c:pt>
                <c:pt idx="17">
                  <c:v>739.18964380980105</c:v>
                </c:pt>
                <c:pt idx="18">
                  <c:v>753.56215690376871</c:v>
                </c:pt>
                <c:pt idx="19">
                  <c:v>770.46731576083528</c:v>
                </c:pt>
                <c:pt idx="20">
                  <c:v>785.71589617587529</c:v>
                </c:pt>
                <c:pt idx="21">
                  <c:v>803.32741953910943</c:v>
                </c:pt>
                <c:pt idx="22">
                  <c:v>821.94908336777723</c:v>
                </c:pt>
                <c:pt idx="23">
                  <c:v>844.55586695223269</c:v>
                </c:pt>
                <c:pt idx="24">
                  <c:v>859.84984588505426</c:v>
                </c:pt>
                <c:pt idx="25">
                  <c:v>875</c:v>
                </c:pt>
                <c:pt idx="26">
                  <c:v>890</c:v>
                </c:pt>
                <c:pt idx="27">
                  <c:v>910</c:v>
                </c:pt>
                <c:pt idx="28">
                  <c:v>925</c:v>
                </c:pt>
              </c:numCache>
            </c:numRef>
          </c:val>
          <c:smooth val="0"/>
          <c:extLst>
            <c:ext xmlns:c16="http://schemas.microsoft.com/office/drawing/2014/chart" uri="{C3380CC4-5D6E-409C-BE32-E72D297353CC}">
              <c16:uniqueId val="{00000000-4A48-44EA-92BB-FEC8B7D263A4}"/>
            </c:ext>
          </c:extLst>
        </c:ser>
        <c:ser>
          <c:idx val="1"/>
          <c:order val="1"/>
          <c:tx>
            <c:strRef>
              <c:f>'BFAP verification'!$B$17</c:f>
              <c:strCache>
                <c:ptCount val="1"/>
                <c:pt idx="0">
                  <c:v>Beef consumption (BFAP)</c:v>
                </c:pt>
              </c:strCache>
            </c:strRef>
          </c:tx>
          <c:spPr>
            <a:ln w="28575" cap="rnd">
              <a:solidFill>
                <a:schemeClr val="accent2"/>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verification'!$C$17:$BA$17</c:f>
              <c:numCache>
                <c:formatCode>0.00</c:formatCode>
                <c:ptCount val="51"/>
                <c:pt idx="0">
                  <c:v>649.892624710375</c:v>
                </c:pt>
                <c:pt idx="1">
                  <c:v>649.892624710375</c:v>
                </c:pt>
                <c:pt idx="2">
                  <c:v>649.892624710375</c:v>
                </c:pt>
                <c:pt idx="3">
                  <c:v>574.19949799999995</c:v>
                </c:pt>
                <c:pt idx="4">
                  <c:v>612.06163379999998</c:v>
                </c:pt>
                <c:pt idx="5">
                  <c:v>642.21783919999996</c:v>
                </c:pt>
                <c:pt idx="6">
                  <c:v>636.26177159999997</c:v>
                </c:pt>
                <c:pt idx="7">
                  <c:v>658.9</c:v>
                </c:pt>
                <c:pt idx="8">
                  <c:v>671.91341149238087</c:v>
                </c:pt>
                <c:pt idx="9">
                  <c:v>649.94999999999993</c:v>
                </c:pt>
                <c:pt idx="10">
                  <c:v>695.36469999999997</c:v>
                </c:pt>
                <c:pt idx="11">
                  <c:v>663.10915499999999</c:v>
                </c:pt>
                <c:pt idx="12">
                  <c:v>670.91943283249987</c:v>
                </c:pt>
                <c:pt idx="13">
                  <c:v>716.42099245872066</c:v>
                </c:pt>
                <c:pt idx="14">
                  <c:v>729.84874533689958</c:v>
                </c:pt>
                <c:pt idx="15">
                  <c:v>740.51634422626432</c:v>
                </c:pt>
                <c:pt idx="16">
                  <c:v>752.08174895984371</c:v>
                </c:pt>
                <c:pt idx="17">
                  <c:v>781.10112686931438</c:v>
                </c:pt>
                <c:pt idx="18">
                  <c:v>797.63162045872559</c:v>
                </c:pt>
                <c:pt idx="19">
                  <c:v>815.73258961364343</c:v>
                </c:pt>
                <c:pt idx="20">
                  <c:v>831.42566617367947</c:v>
                </c:pt>
                <c:pt idx="21">
                  <c:v>848.73455405867912</c:v>
                </c:pt>
                <c:pt idx="22">
                  <c:v>866.8135090431233</c:v>
                </c:pt>
                <c:pt idx="23">
                  <c:v>888.81185294880709</c:v>
                </c:pt>
                <c:pt idx="24">
                  <c:v>904.54032017152463</c:v>
                </c:pt>
              </c:numCache>
            </c:numRef>
          </c:val>
          <c:smooth val="0"/>
          <c:extLst>
            <c:ext xmlns:c16="http://schemas.microsoft.com/office/drawing/2014/chart" uri="{C3380CC4-5D6E-409C-BE32-E72D297353CC}">
              <c16:uniqueId val="{00000001-4A48-44EA-92BB-FEC8B7D263A4}"/>
            </c:ext>
          </c:extLst>
        </c:ser>
        <c:ser>
          <c:idx val="2"/>
          <c:order val="2"/>
          <c:tx>
            <c:strRef>
              <c:f>'BFAP verification'!$B$18</c:f>
              <c:strCache>
                <c:ptCount val="1"/>
                <c:pt idx="0">
                  <c:v>Beef production (model)</c:v>
                </c:pt>
              </c:strCache>
            </c:strRef>
          </c:tx>
          <c:spPr>
            <a:ln w="28575" cap="rnd">
              <a:solidFill>
                <a:schemeClr val="accent3"/>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verification'!$C$18:$BA$18</c:f>
              <c:numCache>
                <c:formatCode>0.00</c:formatCode>
                <c:ptCount val="51"/>
                <c:pt idx="0">
                  <c:v>624.6</c:v>
                </c:pt>
                <c:pt idx="1">
                  <c:v>524.29999999999995</c:v>
                </c:pt>
                <c:pt idx="2">
                  <c:v>573.4</c:v>
                </c:pt>
                <c:pt idx="3">
                  <c:v>609.70000000000005</c:v>
                </c:pt>
                <c:pt idx="4">
                  <c:v>631.70000000000005</c:v>
                </c:pt>
                <c:pt idx="5">
                  <c:v>672.3</c:v>
                </c:pt>
                <c:pt idx="6">
                  <c:v>808.1</c:v>
                </c:pt>
                <c:pt idx="7">
                  <c:v>861.4</c:v>
                </c:pt>
                <c:pt idx="8">
                  <c:v>770.2</c:v>
                </c:pt>
                <c:pt idx="9">
                  <c:v>796.7</c:v>
                </c:pt>
                <c:pt idx="10">
                  <c:v>885.8</c:v>
                </c:pt>
                <c:pt idx="11">
                  <c:v>869.5</c:v>
                </c:pt>
                <c:pt idx="12">
                  <c:v>852.1</c:v>
                </c:pt>
                <c:pt idx="13">
                  <c:v>904.5</c:v>
                </c:pt>
                <c:pt idx="14">
                  <c:v>982.6</c:v>
                </c:pt>
                <c:pt idx="15">
                  <c:v>1037.9000000000001</c:v>
                </c:pt>
                <c:pt idx="16">
                  <c:v>1090.9000000000001</c:v>
                </c:pt>
                <c:pt idx="17">
                  <c:v>1046.3</c:v>
                </c:pt>
                <c:pt idx="18">
                  <c:v>997.60411615216424</c:v>
                </c:pt>
                <c:pt idx="19">
                  <c:v>1008.3896597914148</c:v>
                </c:pt>
                <c:pt idx="20">
                  <c:v>1003.5102392846655</c:v>
                </c:pt>
                <c:pt idx="21">
                  <c:v>1016.7555653583352</c:v>
                </c:pt>
                <c:pt idx="22">
                  <c:v>1029.8416530245868</c:v>
                </c:pt>
                <c:pt idx="23">
                  <c:v>1042.9634853178954</c:v>
                </c:pt>
                <c:pt idx="24">
                  <c:v>1055.948235688541</c:v>
                </c:pt>
                <c:pt idx="25">
                  <c:v>1069.0919871427277</c:v>
                </c:pt>
                <c:pt idx="26">
                  <c:v>1083.7353017954988</c:v>
                </c:pt>
                <c:pt idx="27">
                  <c:v>1098.336457991297</c:v>
                </c:pt>
                <c:pt idx="28">
                  <c:v>1113.1528365176657</c:v>
                </c:pt>
                <c:pt idx="29">
                  <c:v>1128.1290252918695</c:v>
                </c:pt>
                <c:pt idx="30">
                  <c:v>1143.2796106045209</c:v>
                </c:pt>
                <c:pt idx="31">
                  <c:v>1159.1136294890719</c:v>
                </c:pt>
                <c:pt idx="32">
                  <c:v>1174.6609366179582</c:v>
                </c:pt>
                <c:pt idx="33">
                  <c:v>1190.8549210573194</c:v>
                </c:pt>
                <c:pt idx="34">
                  <c:v>1207.5009890562692</c:v>
                </c:pt>
                <c:pt idx="35">
                  <c:v>1224.6236094860583</c:v>
                </c:pt>
                <c:pt idx="36">
                  <c:v>1242.3463762879051</c:v>
                </c:pt>
                <c:pt idx="37">
                  <c:v>1260.3969299608921</c:v>
                </c:pt>
                <c:pt idx="38">
                  <c:v>1278.5692549528628</c:v>
                </c:pt>
                <c:pt idx="39">
                  <c:v>1297.0724582825865</c:v>
                </c:pt>
                <c:pt idx="40">
                  <c:v>1316.0916949999671</c:v>
                </c:pt>
                <c:pt idx="41">
                  <c:v>1336.9061375101901</c:v>
                </c:pt>
                <c:pt idx="42">
                  <c:v>1358.1167220824623</c:v>
                </c:pt>
                <c:pt idx="43">
                  <c:v>1379.7008667790344</c:v>
                </c:pt>
                <c:pt idx="44">
                  <c:v>1401.7143121139541</c:v>
                </c:pt>
                <c:pt idx="45">
                  <c:v>1424.3780552988044</c:v>
                </c:pt>
                <c:pt idx="46">
                  <c:v>1447.1872862497273</c:v>
                </c:pt>
                <c:pt idx="47">
                  <c:v>1470.5572222442877</c:v>
                </c:pt>
                <c:pt idx="48">
                  <c:v>1494.067763679285</c:v>
                </c:pt>
                <c:pt idx="49">
                  <c:v>1518.1898277228199</c:v>
                </c:pt>
                <c:pt idx="50">
                  <c:v>1542.9744452647194</c:v>
                </c:pt>
              </c:numCache>
            </c:numRef>
          </c:val>
          <c:smooth val="0"/>
          <c:extLst>
            <c:ext xmlns:c16="http://schemas.microsoft.com/office/drawing/2014/chart" uri="{C3380CC4-5D6E-409C-BE32-E72D297353CC}">
              <c16:uniqueId val="{00000002-4A48-44EA-92BB-FEC8B7D263A4}"/>
            </c:ext>
          </c:extLst>
        </c:ser>
        <c:ser>
          <c:idx val="3"/>
          <c:order val="3"/>
          <c:tx>
            <c:strRef>
              <c:f>'BFAP verification'!$B$19</c:f>
              <c:strCache>
                <c:ptCount val="1"/>
                <c:pt idx="0">
                  <c:v>Beef consumption (model)</c:v>
                </c:pt>
              </c:strCache>
            </c:strRef>
          </c:tx>
          <c:spPr>
            <a:ln w="28575" cap="rnd">
              <a:solidFill>
                <a:schemeClr val="accent4"/>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verification'!$C$19:$BA$19</c:f>
              <c:numCache>
                <c:formatCode>0.00</c:formatCode>
                <c:ptCount val="51"/>
                <c:pt idx="0">
                  <c:v>671</c:v>
                </c:pt>
                <c:pt idx="1">
                  <c:v>554</c:v>
                </c:pt>
                <c:pt idx="2">
                  <c:v>602</c:v>
                </c:pt>
                <c:pt idx="3">
                  <c:v>643</c:v>
                </c:pt>
                <c:pt idx="4">
                  <c:v>675</c:v>
                </c:pt>
                <c:pt idx="5">
                  <c:v>723</c:v>
                </c:pt>
                <c:pt idx="6">
                  <c:v>825</c:v>
                </c:pt>
                <c:pt idx="7">
                  <c:v>865</c:v>
                </c:pt>
                <c:pt idx="8">
                  <c:v>767</c:v>
                </c:pt>
                <c:pt idx="9">
                  <c:v>784</c:v>
                </c:pt>
                <c:pt idx="10">
                  <c:v>880</c:v>
                </c:pt>
                <c:pt idx="11">
                  <c:v>879</c:v>
                </c:pt>
                <c:pt idx="12">
                  <c:v>865</c:v>
                </c:pt>
                <c:pt idx="13">
                  <c:v>910</c:v>
                </c:pt>
                <c:pt idx="14">
                  <c:v>981</c:v>
                </c:pt>
                <c:pt idx="15">
                  <c:v>1023</c:v>
                </c:pt>
                <c:pt idx="16">
                  <c:v>1072</c:v>
                </c:pt>
                <c:pt idx="17">
                  <c:v>1025</c:v>
                </c:pt>
                <c:pt idx="18">
                  <c:v>986.26582429146799</c:v>
                </c:pt>
                <c:pt idx="19">
                  <c:v>995.50842395568839</c:v>
                </c:pt>
                <c:pt idx="20">
                  <c:v>991.32703710624401</c:v>
                </c:pt>
                <c:pt idx="21">
                  <c:v>1002.677530916818</c:v>
                </c:pt>
                <c:pt idx="22">
                  <c:v>1013.8915664365389</c:v>
                </c:pt>
                <c:pt idx="23">
                  <c:v>1025.1362330759405</c:v>
                </c:pt>
                <c:pt idx="24">
                  <c:v>1036.2634282762795</c:v>
                </c:pt>
                <c:pt idx="25">
                  <c:v>1047.5268783943582</c:v>
                </c:pt>
                <c:pt idx="26">
                  <c:v>1060.0753691908944</c:v>
                </c:pt>
                <c:pt idx="27">
                  <c:v>1072.5877325789947</c:v>
                </c:pt>
                <c:pt idx="28">
                  <c:v>1085.2845293073879</c:v>
                </c:pt>
                <c:pt idx="29">
                  <c:v>1098.1182743614643</c:v>
                </c:pt>
                <c:pt idx="30">
                  <c:v>1111.1014673656496</c:v>
                </c:pt>
                <c:pt idx="31">
                  <c:v>1124.6703242096407</c:v>
                </c:pt>
                <c:pt idx="32">
                  <c:v>1137.9934853274572</c:v>
                </c:pt>
                <c:pt idx="33">
                  <c:v>1151.8708122520768</c:v>
                </c:pt>
                <c:pt idx="34">
                  <c:v>1166.1355491669397</c:v>
                </c:pt>
                <c:pt idx="35">
                  <c:v>1180.8086645080166</c:v>
                </c:pt>
                <c:pt idx="36">
                  <c:v>1195.9960712786583</c:v>
                </c:pt>
                <c:pt idx="37">
                  <c:v>1211.4643728216424</c:v>
                </c:pt>
                <c:pt idx="38">
                  <c:v>1227.0370254840134</c:v>
                </c:pt>
                <c:pt idx="39">
                  <c:v>1242.8932221304151</c:v>
                </c:pt>
                <c:pt idx="40">
                  <c:v>1259.1916301455724</c:v>
                </c:pt>
                <c:pt idx="41">
                  <c:v>1277.0284277879107</c:v>
                </c:pt>
                <c:pt idx="42">
                  <c:v>1295.2046967273986</c:v>
                </c:pt>
                <c:pt idx="43">
                  <c:v>1313.7010855231408</c:v>
                </c:pt>
                <c:pt idx="44">
                  <c:v>1332.5653606367687</c:v>
                </c:pt>
                <c:pt idx="45">
                  <c:v>1351.9869041543311</c:v>
                </c:pt>
                <c:pt idx="46">
                  <c:v>1371.5331224423853</c:v>
                </c:pt>
                <c:pt idx="47">
                  <c:v>1391.5598331767537</c:v>
                </c:pt>
                <c:pt idx="48">
                  <c:v>1411.7070348052334</c:v>
                </c:pt>
                <c:pt idx="49">
                  <c:v>1432.3782766532306</c:v>
                </c:pt>
                <c:pt idx="50">
                  <c:v>1453.6172893013227</c:v>
                </c:pt>
              </c:numCache>
            </c:numRef>
          </c:val>
          <c:smooth val="0"/>
          <c:extLst>
            <c:ext xmlns:c16="http://schemas.microsoft.com/office/drawing/2014/chart" uri="{C3380CC4-5D6E-409C-BE32-E72D297353CC}">
              <c16:uniqueId val="{00000003-4A48-44EA-92BB-FEC8B7D263A4}"/>
            </c:ext>
          </c:extLst>
        </c:ser>
        <c:dLbls>
          <c:showLegendKey val="0"/>
          <c:showVal val="0"/>
          <c:showCatName val="0"/>
          <c:showSerName val="0"/>
          <c:showPercent val="0"/>
          <c:showBubbleSize val="0"/>
        </c:dLbls>
        <c:smooth val="0"/>
        <c:axId val="1797134927"/>
        <c:axId val="1797135343"/>
      </c:lineChart>
      <c:catAx>
        <c:axId val="1797134927"/>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35343"/>
        <c:crosses val="autoZero"/>
        <c:auto val="1"/>
        <c:lblAlgn val="ctr"/>
        <c:lblOffset val="100"/>
        <c:noMultiLvlLbl val="0"/>
      </c:catAx>
      <c:valAx>
        <c:axId val="17971353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349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verification'!$B$22</c:f>
              <c:strCache>
                <c:ptCount val="1"/>
                <c:pt idx="0">
                  <c:v>Pork production (BFAP)</c:v>
                </c:pt>
              </c:strCache>
            </c:strRef>
          </c:tx>
          <c:spPr>
            <a:ln w="28575" cap="rnd">
              <a:solidFill>
                <a:schemeClr val="accent1"/>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verification'!$C$22:$BA$22</c:f>
              <c:numCache>
                <c:formatCode>0.00</c:formatCode>
                <c:ptCount val="51"/>
                <c:pt idx="0">
                  <c:v>129.63</c:v>
                </c:pt>
                <c:pt idx="1">
                  <c:v>129.63</c:v>
                </c:pt>
                <c:pt idx="2">
                  <c:v>129.63</c:v>
                </c:pt>
                <c:pt idx="3">
                  <c:v>143.13999999999999</c:v>
                </c:pt>
                <c:pt idx="4">
                  <c:v>146.053</c:v>
                </c:pt>
                <c:pt idx="5">
                  <c:v>149.999</c:v>
                </c:pt>
                <c:pt idx="6">
                  <c:v>157.24799999999999</c:v>
                </c:pt>
                <c:pt idx="7">
                  <c:v>152.83564942134379</c:v>
                </c:pt>
                <c:pt idx="8">
                  <c:v>162.80000000000001</c:v>
                </c:pt>
                <c:pt idx="9">
                  <c:v>165.18375564550669</c:v>
                </c:pt>
                <c:pt idx="10">
                  <c:v>169.66697423006443</c:v>
                </c:pt>
                <c:pt idx="11">
                  <c:v>186.75616508255388</c:v>
                </c:pt>
                <c:pt idx="12">
                  <c:v>191.25698866104344</c:v>
                </c:pt>
                <c:pt idx="13">
                  <c:v>197.47194670605705</c:v>
                </c:pt>
                <c:pt idx="14">
                  <c:v>204.80493212570124</c:v>
                </c:pt>
                <c:pt idx="15">
                  <c:v>208.64102609863633</c:v>
                </c:pt>
                <c:pt idx="16">
                  <c:v>213.80677245749976</c:v>
                </c:pt>
                <c:pt idx="17">
                  <c:v>217.57407311191287</c:v>
                </c:pt>
                <c:pt idx="18">
                  <c:v>225.22145508819884</c:v>
                </c:pt>
                <c:pt idx="19">
                  <c:v>232.86299528535966</c:v>
                </c:pt>
                <c:pt idx="20">
                  <c:v>241.53716288131423</c:v>
                </c:pt>
                <c:pt idx="21">
                  <c:v>245</c:v>
                </c:pt>
                <c:pt idx="22">
                  <c:v>250</c:v>
                </c:pt>
                <c:pt idx="23">
                  <c:v>255</c:v>
                </c:pt>
                <c:pt idx="24">
                  <c:v>260</c:v>
                </c:pt>
                <c:pt idx="25">
                  <c:v>265</c:v>
                </c:pt>
                <c:pt idx="26">
                  <c:v>270</c:v>
                </c:pt>
                <c:pt idx="27">
                  <c:v>275</c:v>
                </c:pt>
                <c:pt idx="28">
                  <c:v>280</c:v>
                </c:pt>
              </c:numCache>
            </c:numRef>
          </c:val>
          <c:smooth val="0"/>
          <c:extLst>
            <c:ext xmlns:c16="http://schemas.microsoft.com/office/drawing/2014/chart" uri="{C3380CC4-5D6E-409C-BE32-E72D297353CC}">
              <c16:uniqueId val="{00000000-03A2-46B0-862C-E451EC00EDA3}"/>
            </c:ext>
          </c:extLst>
        </c:ser>
        <c:ser>
          <c:idx val="1"/>
          <c:order val="1"/>
          <c:tx>
            <c:strRef>
              <c:f>'BFAP verification'!$B$23</c:f>
              <c:strCache>
                <c:ptCount val="1"/>
                <c:pt idx="0">
                  <c:v>Pork Domestic Use (BFAP)</c:v>
                </c:pt>
              </c:strCache>
            </c:strRef>
          </c:tx>
          <c:spPr>
            <a:ln w="28575" cap="rnd">
              <a:solidFill>
                <a:schemeClr val="accent2"/>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verification'!$C$23:$BA$23</c:f>
              <c:numCache>
                <c:formatCode>0.00</c:formatCode>
                <c:ptCount val="51"/>
                <c:pt idx="0">
                  <c:v>137.82499999999999</c:v>
                </c:pt>
                <c:pt idx="1">
                  <c:v>137.82499999999999</c:v>
                </c:pt>
                <c:pt idx="2">
                  <c:v>137.82499999999999</c:v>
                </c:pt>
                <c:pt idx="3">
                  <c:v>156.29499999999999</c:v>
                </c:pt>
                <c:pt idx="4">
                  <c:v>167.84399999999999</c:v>
                </c:pt>
                <c:pt idx="5">
                  <c:v>176.53800000000001</c:v>
                </c:pt>
                <c:pt idx="6">
                  <c:v>177.79399999999998</c:v>
                </c:pt>
                <c:pt idx="7">
                  <c:v>173.29521483689047</c:v>
                </c:pt>
                <c:pt idx="8">
                  <c:v>179.18</c:v>
                </c:pt>
                <c:pt idx="9">
                  <c:v>188.69627164870266</c:v>
                </c:pt>
                <c:pt idx="10">
                  <c:v>192.2214902332604</c:v>
                </c:pt>
                <c:pt idx="11">
                  <c:v>215.34616508255388</c:v>
                </c:pt>
                <c:pt idx="12">
                  <c:v>223.20098866104343</c:v>
                </c:pt>
                <c:pt idx="13">
                  <c:v>219.00718870605706</c:v>
                </c:pt>
                <c:pt idx="14">
                  <c:v>215.58134712570126</c:v>
                </c:pt>
                <c:pt idx="15">
                  <c:v>221.42544983376598</c:v>
                </c:pt>
                <c:pt idx="16">
                  <c:v>226.46723800236197</c:v>
                </c:pt>
                <c:pt idx="17">
                  <c:v>230.37779215363364</c:v>
                </c:pt>
                <c:pt idx="18">
                  <c:v>237.99020308913876</c:v>
                </c:pt>
                <c:pt idx="19">
                  <c:v>245.3694152709713</c:v>
                </c:pt>
                <c:pt idx="20">
                  <c:v>253.78761345428606</c:v>
                </c:pt>
                <c:pt idx="21">
                  <c:v>263.23358248496942</c:v>
                </c:pt>
                <c:pt idx="22">
                  <c:v>274.0317887557747</c:v>
                </c:pt>
                <c:pt idx="23">
                  <c:v>283.56552384740866</c:v>
                </c:pt>
                <c:pt idx="24">
                  <c:v>293.35792027883537</c:v>
                </c:pt>
              </c:numCache>
            </c:numRef>
          </c:val>
          <c:smooth val="0"/>
          <c:extLst>
            <c:ext xmlns:c16="http://schemas.microsoft.com/office/drawing/2014/chart" uri="{C3380CC4-5D6E-409C-BE32-E72D297353CC}">
              <c16:uniqueId val="{00000001-03A2-46B0-862C-E451EC00EDA3}"/>
            </c:ext>
          </c:extLst>
        </c:ser>
        <c:ser>
          <c:idx val="2"/>
          <c:order val="2"/>
          <c:tx>
            <c:strRef>
              <c:f>'BFAP verification'!$B$24</c:f>
              <c:strCache>
                <c:ptCount val="1"/>
                <c:pt idx="0">
                  <c:v>Pork production (model)</c:v>
                </c:pt>
              </c:strCache>
            </c:strRef>
          </c:tx>
          <c:spPr>
            <a:ln w="28575" cap="rnd">
              <a:solidFill>
                <a:schemeClr val="accent3"/>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verification'!$C$24:$BA$24</c:f>
              <c:numCache>
                <c:formatCode>0.00</c:formatCode>
                <c:ptCount val="51"/>
                <c:pt idx="0">
                  <c:v>123</c:v>
                </c:pt>
                <c:pt idx="1">
                  <c:v>106.9</c:v>
                </c:pt>
                <c:pt idx="2">
                  <c:v>116.6</c:v>
                </c:pt>
                <c:pt idx="3">
                  <c:v>135</c:v>
                </c:pt>
                <c:pt idx="4">
                  <c:v>156.80000000000001</c:v>
                </c:pt>
                <c:pt idx="5">
                  <c:v>159.69999999999999</c:v>
                </c:pt>
                <c:pt idx="6">
                  <c:v>171.4</c:v>
                </c:pt>
                <c:pt idx="7">
                  <c:v>187.1</c:v>
                </c:pt>
                <c:pt idx="8">
                  <c:v>181.7</c:v>
                </c:pt>
                <c:pt idx="9">
                  <c:v>180.7</c:v>
                </c:pt>
                <c:pt idx="10">
                  <c:v>191.9</c:v>
                </c:pt>
                <c:pt idx="11">
                  <c:v>205.1</c:v>
                </c:pt>
                <c:pt idx="12">
                  <c:v>206</c:v>
                </c:pt>
                <c:pt idx="13">
                  <c:v>213.5</c:v>
                </c:pt>
                <c:pt idx="14">
                  <c:v>224.2</c:v>
                </c:pt>
                <c:pt idx="15">
                  <c:v>233</c:v>
                </c:pt>
                <c:pt idx="16">
                  <c:v>243.1</c:v>
                </c:pt>
                <c:pt idx="17">
                  <c:v>231.8</c:v>
                </c:pt>
                <c:pt idx="18">
                  <c:v>234.0568642519697</c:v>
                </c:pt>
                <c:pt idx="19">
                  <c:v>236.05047349575435</c:v>
                </c:pt>
                <c:pt idx="20">
                  <c:v>230.68975956111498</c:v>
                </c:pt>
                <c:pt idx="21">
                  <c:v>233.7964018933082</c:v>
                </c:pt>
                <c:pt idx="22">
                  <c:v>236.82828568792027</c:v>
                </c:pt>
                <c:pt idx="23">
                  <c:v>239.87695072357593</c:v>
                </c:pt>
                <c:pt idx="24">
                  <c:v>242.86125909988726</c:v>
                </c:pt>
                <c:pt idx="25">
                  <c:v>245.92021459593832</c:v>
                </c:pt>
                <c:pt idx="26">
                  <c:v>249.42368419762073</c:v>
                </c:pt>
                <c:pt idx="27">
                  <c:v>252.90736141967258</c:v>
                </c:pt>
                <c:pt idx="28">
                  <c:v>256.49208033958422</c:v>
                </c:pt>
                <c:pt idx="29">
                  <c:v>260.15182631981025</c:v>
                </c:pt>
                <c:pt idx="30">
                  <c:v>263.89344727229837</c:v>
                </c:pt>
                <c:pt idx="31">
                  <c:v>268.07037698354225</c:v>
                </c:pt>
                <c:pt idx="32">
                  <c:v>272.11270249200561</c:v>
                </c:pt>
                <c:pt idx="33">
                  <c:v>276.45862735692504</c:v>
                </c:pt>
                <c:pt idx="34">
                  <c:v>281.01679461637747</c:v>
                </c:pt>
                <c:pt idx="35">
                  <c:v>285.79869175833659</c:v>
                </c:pt>
                <c:pt idx="36">
                  <c:v>290.73430461135041</c:v>
                </c:pt>
                <c:pt idx="37">
                  <c:v>295.82380550148594</c:v>
                </c:pt>
                <c:pt idx="38">
                  <c:v>300.97047514892472</c:v>
                </c:pt>
                <c:pt idx="39">
                  <c:v>306.27248414512525</c:v>
                </c:pt>
                <c:pt idx="40">
                  <c:v>311.81675838166217</c:v>
                </c:pt>
                <c:pt idx="41">
                  <c:v>317.72479344504848</c:v>
                </c:pt>
                <c:pt idx="42">
                  <c:v>323.81880771792959</c:v>
                </c:pt>
                <c:pt idx="43">
                  <c:v>330.08819940982761</c:v>
                </c:pt>
                <c:pt idx="44">
                  <c:v>336.5591374063124</c:v>
                </c:pt>
                <c:pt idx="45">
                  <c:v>343.33537457271899</c:v>
                </c:pt>
                <c:pt idx="46">
                  <c:v>350.31628584742418</c:v>
                </c:pt>
                <c:pt idx="47">
                  <c:v>357.5604346284685</c:v>
                </c:pt>
                <c:pt idx="48">
                  <c:v>364.87059421810602</c:v>
                </c:pt>
                <c:pt idx="49">
                  <c:v>372.467848993659</c:v>
                </c:pt>
                <c:pt idx="50">
                  <c:v>380.37615667074141</c:v>
                </c:pt>
              </c:numCache>
            </c:numRef>
          </c:val>
          <c:smooth val="0"/>
          <c:extLst>
            <c:ext xmlns:c16="http://schemas.microsoft.com/office/drawing/2014/chart" uri="{C3380CC4-5D6E-409C-BE32-E72D297353CC}">
              <c16:uniqueId val="{00000002-03A2-46B0-862C-E451EC00EDA3}"/>
            </c:ext>
          </c:extLst>
        </c:ser>
        <c:ser>
          <c:idx val="3"/>
          <c:order val="3"/>
          <c:tx>
            <c:strRef>
              <c:f>'BFAP verification'!$B$25</c:f>
              <c:strCache>
                <c:ptCount val="1"/>
                <c:pt idx="0">
                  <c:v>Pork Domestic Use (model)</c:v>
                </c:pt>
              </c:strCache>
            </c:strRef>
          </c:tx>
          <c:spPr>
            <a:ln w="28575" cap="rnd">
              <a:solidFill>
                <a:schemeClr val="accent4"/>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verification'!$C$25:$BA$25</c:f>
              <c:numCache>
                <c:formatCode>0.00</c:formatCode>
                <c:ptCount val="51"/>
                <c:pt idx="0">
                  <c:v>131</c:v>
                </c:pt>
                <c:pt idx="1">
                  <c:v>115</c:v>
                </c:pt>
                <c:pt idx="2">
                  <c:v>123</c:v>
                </c:pt>
                <c:pt idx="3">
                  <c:v>146</c:v>
                </c:pt>
                <c:pt idx="4">
                  <c:v>174</c:v>
                </c:pt>
                <c:pt idx="5">
                  <c:v>182</c:v>
                </c:pt>
                <c:pt idx="6">
                  <c:v>193</c:v>
                </c:pt>
                <c:pt idx="7">
                  <c:v>206</c:v>
                </c:pt>
                <c:pt idx="8">
                  <c:v>198</c:v>
                </c:pt>
                <c:pt idx="9">
                  <c:v>199</c:v>
                </c:pt>
                <c:pt idx="10">
                  <c:v>215</c:v>
                </c:pt>
                <c:pt idx="11">
                  <c:v>231</c:v>
                </c:pt>
                <c:pt idx="12">
                  <c:v>237</c:v>
                </c:pt>
                <c:pt idx="13">
                  <c:v>245</c:v>
                </c:pt>
                <c:pt idx="14">
                  <c:v>236</c:v>
                </c:pt>
                <c:pt idx="15">
                  <c:v>254</c:v>
                </c:pt>
                <c:pt idx="16">
                  <c:v>263</c:v>
                </c:pt>
                <c:pt idx="17">
                  <c:v>254</c:v>
                </c:pt>
                <c:pt idx="18">
                  <c:v>261.44792993549078</c:v>
                </c:pt>
                <c:pt idx="19">
                  <c:v>263.83737351228933</c:v>
                </c:pt>
                <c:pt idx="20">
                  <c:v>257.412281173802</c:v>
                </c:pt>
                <c:pt idx="21">
                  <c:v>261.13575235513406</c:v>
                </c:pt>
                <c:pt idx="22">
                  <c:v>264.76962157058892</c:v>
                </c:pt>
                <c:pt idx="23">
                  <c:v>268.42360396958122</c:v>
                </c:pt>
                <c:pt idx="24">
                  <c:v>272.00045159064564</c:v>
                </c:pt>
                <c:pt idx="25">
                  <c:v>275.66676763755356</c:v>
                </c:pt>
                <c:pt idx="26">
                  <c:v>279.86585678320614</c:v>
                </c:pt>
                <c:pt idx="27">
                  <c:v>284.04122374030788</c:v>
                </c:pt>
                <c:pt idx="28">
                  <c:v>288.33769438745952</c:v>
                </c:pt>
                <c:pt idx="29">
                  <c:v>292.72408883884367</c:v>
                </c:pt>
                <c:pt idx="30">
                  <c:v>297.20861467037781</c:v>
                </c:pt>
                <c:pt idx="31">
                  <c:v>302.21488051730142</c:v>
                </c:pt>
                <c:pt idx="32">
                  <c:v>307.05981627973307</c:v>
                </c:pt>
                <c:pt idx="33">
                  <c:v>312.26863154085072</c:v>
                </c:pt>
                <c:pt idx="34">
                  <c:v>317.73183026649235</c:v>
                </c:pt>
                <c:pt idx="35">
                  <c:v>323.46318080390972</c:v>
                </c:pt>
                <c:pt idx="36">
                  <c:v>329.37876755490686</c:v>
                </c:pt>
                <c:pt idx="37">
                  <c:v>335.47879706116964</c:v>
                </c:pt>
                <c:pt idx="38">
                  <c:v>341.64734627376788</c:v>
                </c:pt>
                <c:pt idx="39">
                  <c:v>348.0020777135403</c:v>
                </c:pt>
                <c:pt idx="40">
                  <c:v>354.64717654813091</c:v>
                </c:pt>
                <c:pt idx="41">
                  <c:v>361.72826150884737</c:v>
                </c:pt>
                <c:pt idx="42">
                  <c:v>369.03225215127179</c:v>
                </c:pt>
                <c:pt idx="43">
                  <c:v>376.54644168231607</c:v>
                </c:pt>
                <c:pt idx="44">
                  <c:v>384.30219486201594</c:v>
                </c:pt>
                <c:pt idx="45">
                  <c:v>392.42386485457462</c:v>
                </c:pt>
                <c:pt idx="46">
                  <c:v>400.79084732997603</c:v>
                </c:pt>
                <c:pt idx="47">
                  <c:v>409.47333354346227</c:v>
                </c:pt>
                <c:pt idx="48">
                  <c:v>418.23493711812858</c:v>
                </c:pt>
                <c:pt idx="49">
                  <c:v>427.34063909124194</c:v>
                </c:pt>
                <c:pt idx="50">
                  <c:v>436.81915402151873</c:v>
                </c:pt>
              </c:numCache>
            </c:numRef>
          </c:val>
          <c:smooth val="0"/>
          <c:extLst>
            <c:ext xmlns:c16="http://schemas.microsoft.com/office/drawing/2014/chart" uri="{C3380CC4-5D6E-409C-BE32-E72D297353CC}">
              <c16:uniqueId val="{00000003-03A2-46B0-862C-E451EC00EDA3}"/>
            </c:ext>
          </c:extLst>
        </c:ser>
        <c:dLbls>
          <c:showLegendKey val="0"/>
          <c:showVal val="0"/>
          <c:showCatName val="0"/>
          <c:showSerName val="0"/>
          <c:showPercent val="0"/>
          <c:showBubbleSize val="0"/>
        </c:dLbls>
        <c:smooth val="0"/>
        <c:axId val="1981849103"/>
        <c:axId val="1981847023"/>
      </c:lineChart>
      <c:catAx>
        <c:axId val="1981849103"/>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847023"/>
        <c:crosses val="autoZero"/>
        <c:auto val="1"/>
        <c:lblAlgn val="ctr"/>
        <c:lblOffset val="100"/>
        <c:noMultiLvlLbl val="0"/>
      </c:catAx>
      <c:valAx>
        <c:axId val="19818470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849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verification'!$B$28</c:f>
              <c:strCache>
                <c:ptCount val="1"/>
                <c:pt idx="0">
                  <c:v>Fluid milk production (BFAP)</c:v>
                </c:pt>
              </c:strCache>
            </c:strRef>
          </c:tx>
          <c:spPr>
            <a:ln w="28575" cap="rnd">
              <a:solidFill>
                <a:schemeClr val="accent1"/>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verification'!$C$28:$BA$28</c:f>
              <c:numCache>
                <c:formatCode>0.00</c:formatCode>
                <c:ptCount val="51"/>
                <c:pt idx="0">
                  <c:v>2024.0540449999999</c:v>
                </c:pt>
                <c:pt idx="1">
                  <c:v>2024.0540449999999</c:v>
                </c:pt>
                <c:pt idx="2">
                  <c:v>2024.0540449999999</c:v>
                </c:pt>
                <c:pt idx="3">
                  <c:v>2113.8015639999999</c:v>
                </c:pt>
                <c:pt idx="4">
                  <c:v>2290.0087429999999</c:v>
                </c:pt>
                <c:pt idx="5">
                  <c:v>2393.5830030000002</c:v>
                </c:pt>
                <c:pt idx="6">
                  <c:v>2495.02</c:v>
                </c:pt>
                <c:pt idx="7">
                  <c:v>2546.5700000000002</c:v>
                </c:pt>
                <c:pt idx="8">
                  <c:v>2673.6727109999997</c:v>
                </c:pt>
                <c:pt idx="9">
                  <c:v>2586.3408249999998</c:v>
                </c:pt>
                <c:pt idx="10">
                  <c:v>2706.3017989999998</c:v>
                </c:pt>
                <c:pt idx="11">
                  <c:v>2720.4017549999999</c:v>
                </c:pt>
                <c:pt idx="12">
                  <c:v>2842.8103229999997</c:v>
                </c:pt>
                <c:pt idx="13">
                  <c:v>2904.1207999999997</c:v>
                </c:pt>
                <c:pt idx="14">
                  <c:v>2969.867827</c:v>
                </c:pt>
                <c:pt idx="15">
                  <c:v>3150</c:v>
                </c:pt>
                <c:pt idx="16">
                  <c:v>3100</c:v>
                </c:pt>
                <c:pt idx="17">
                  <c:v>3200</c:v>
                </c:pt>
                <c:pt idx="18">
                  <c:v>3400</c:v>
                </c:pt>
                <c:pt idx="19">
                  <c:v>3250</c:v>
                </c:pt>
                <c:pt idx="20">
                  <c:v>3300</c:v>
                </c:pt>
                <c:pt idx="21">
                  <c:v>3400</c:v>
                </c:pt>
                <c:pt idx="22">
                  <c:v>3500</c:v>
                </c:pt>
                <c:pt idx="23">
                  <c:v>3550</c:v>
                </c:pt>
                <c:pt idx="24">
                  <c:v>3600</c:v>
                </c:pt>
                <c:pt idx="25">
                  <c:v>3650</c:v>
                </c:pt>
                <c:pt idx="26">
                  <c:v>3700</c:v>
                </c:pt>
                <c:pt idx="27">
                  <c:v>3750</c:v>
                </c:pt>
                <c:pt idx="28">
                  <c:v>3800</c:v>
                </c:pt>
              </c:numCache>
            </c:numRef>
          </c:val>
          <c:smooth val="0"/>
          <c:extLst>
            <c:ext xmlns:c16="http://schemas.microsoft.com/office/drawing/2014/chart" uri="{C3380CC4-5D6E-409C-BE32-E72D297353CC}">
              <c16:uniqueId val="{00000000-D175-4114-9984-BF38085F9052}"/>
            </c:ext>
          </c:extLst>
        </c:ser>
        <c:ser>
          <c:idx val="1"/>
          <c:order val="1"/>
          <c:tx>
            <c:strRef>
              <c:f>'BFAP verification'!$B$29</c:f>
              <c:strCache>
                <c:ptCount val="1"/>
                <c:pt idx="0">
                  <c:v>Fluid milk fresh utilization (BFAP)</c:v>
                </c:pt>
              </c:strCache>
            </c:strRef>
          </c:tx>
          <c:spPr>
            <a:ln w="28575" cap="rnd">
              <a:solidFill>
                <a:schemeClr val="accent2"/>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verification'!$C$29:$BA$29</c:f>
              <c:numCache>
                <c:formatCode>0.00</c:formatCode>
                <c:ptCount val="51"/>
                <c:pt idx="0">
                  <c:v>1273.2</c:v>
                </c:pt>
                <c:pt idx="1">
                  <c:v>1273.2</c:v>
                </c:pt>
                <c:pt idx="2">
                  <c:v>1273.2</c:v>
                </c:pt>
                <c:pt idx="3">
                  <c:v>1259</c:v>
                </c:pt>
                <c:pt idx="4">
                  <c:v>1347</c:v>
                </c:pt>
                <c:pt idx="5">
                  <c:v>1396.6</c:v>
                </c:pt>
                <c:pt idx="6">
                  <c:v>1442.9</c:v>
                </c:pt>
                <c:pt idx="7">
                  <c:v>1402.61000533527</c:v>
                </c:pt>
                <c:pt idx="8">
                  <c:v>1458.4151718048199</c:v>
                </c:pt>
                <c:pt idx="9">
                  <c:v>1493.2</c:v>
                </c:pt>
                <c:pt idx="10">
                  <c:v>1545.3558772633801</c:v>
                </c:pt>
                <c:pt idx="11">
                  <c:v>1571</c:v>
                </c:pt>
                <c:pt idx="12">
                  <c:v>1661.1</c:v>
                </c:pt>
                <c:pt idx="13">
                  <c:v>1681.39</c:v>
                </c:pt>
                <c:pt idx="14">
                  <c:v>1722.5233396599999</c:v>
                </c:pt>
                <c:pt idx="15">
                  <c:v>1775.8304373666449</c:v>
                </c:pt>
                <c:pt idx="16">
                  <c:v>1820.2326820256628</c:v>
                </c:pt>
                <c:pt idx="17">
                  <c:v>1859.0411448844859</c:v>
                </c:pt>
                <c:pt idx="18">
                  <c:v>1893.2454556799651</c:v>
                </c:pt>
                <c:pt idx="19">
                  <c:v>1928.6136766918191</c:v>
                </c:pt>
                <c:pt idx="20">
                  <c:v>1965.2479914611308</c:v>
                </c:pt>
                <c:pt idx="21">
                  <c:v>2003.0736716496317</c:v>
                </c:pt>
                <c:pt idx="22">
                  <c:v>2044.3832164581972</c:v>
                </c:pt>
                <c:pt idx="23">
                  <c:v>2085.024175882957</c:v>
                </c:pt>
                <c:pt idx="24">
                  <c:v>2123.3681095603265</c:v>
                </c:pt>
              </c:numCache>
            </c:numRef>
          </c:val>
          <c:smooth val="0"/>
          <c:extLst>
            <c:ext xmlns:c16="http://schemas.microsoft.com/office/drawing/2014/chart" uri="{C3380CC4-5D6E-409C-BE32-E72D297353CC}">
              <c16:uniqueId val="{00000001-D175-4114-9984-BF38085F9052}"/>
            </c:ext>
          </c:extLst>
        </c:ser>
        <c:ser>
          <c:idx val="2"/>
          <c:order val="2"/>
          <c:tx>
            <c:strRef>
              <c:f>'BFAP verification'!$B$30</c:f>
              <c:strCache>
                <c:ptCount val="1"/>
                <c:pt idx="0">
                  <c:v>Fluid Milk factory utilization (BFAP)</c:v>
                </c:pt>
              </c:strCache>
            </c:strRef>
          </c:tx>
          <c:spPr>
            <a:ln w="28575" cap="rnd">
              <a:solidFill>
                <a:schemeClr val="accent3"/>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verification'!$C$30:$BA$30</c:f>
              <c:numCache>
                <c:formatCode>0.00</c:formatCode>
                <c:ptCount val="51"/>
                <c:pt idx="0">
                  <c:v>866.94927349604279</c:v>
                </c:pt>
                <c:pt idx="1">
                  <c:v>866.94927349604279</c:v>
                </c:pt>
                <c:pt idx="2">
                  <c:v>866.94927349604279</c:v>
                </c:pt>
                <c:pt idx="3">
                  <c:v>846.1138215167158</c:v>
                </c:pt>
                <c:pt idx="4">
                  <c:v>935.18533488170215</c:v>
                </c:pt>
                <c:pt idx="5">
                  <c:v>990.02288429185</c:v>
                </c:pt>
                <c:pt idx="6">
                  <c:v>1044.5425069013627</c:v>
                </c:pt>
                <c:pt idx="7">
                  <c:v>1150.5392931285598</c:v>
                </c:pt>
                <c:pt idx="8">
                  <c:v>1208.3756288442755</c:v>
                </c:pt>
                <c:pt idx="9">
                  <c:v>1092.2210617160124</c:v>
                </c:pt>
                <c:pt idx="10">
                  <c:v>1154.6007305262117</c:v>
                </c:pt>
                <c:pt idx="11">
                  <c:v>1140</c:v>
                </c:pt>
                <c:pt idx="12">
                  <c:v>1171</c:v>
                </c:pt>
                <c:pt idx="13">
                  <c:v>1200</c:v>
                </c:pt>
                <c:pt idx="14">
                  <c:v>1223.1384873399998</c:v>
                </c:pt>
                <c:pt idx="15">
                  <c:v>1297.1574685139426</c:v>
                </c:pt>
                <c:pt idx="16">
                  <c:v>1339.9486902058916</c:v>
                </c:pt>
                <c:pt idx="17">
                  <c:v>1382.183609812364</c:v>
                </c:pt>
                <c:pt idx="18">
                  <c:v>1416.4086784270767</c:v>
                </c:pt>
                <c:pt idx="19">
                  <c:v>1452.170708036087</c:v>
                </c:pt>
                <c:pt idx="20">
                  <c:v>1490.0278167036406</c:v>
                </c:pt>
                <c:pt idx="21">
                  <c:v>1529.1035404245388</c:v>
                </c:pt>
                <c:pt idx="22">
                  <c:v>1572.8770953399192</c:v>
                </c:pt>
                <c:pt idx="23">
                  <c:v>1615.0807207181326</c:v>
                </c:pt>
                <c:pt idx="24">
                  <c:v>1653.5952554033502</c:v>
                </c:pt>
              </c:numCache>
            </c:numRef>
          </c:val>
          <c:smooth val="0"/>
          <c:extLst>
            <c:ext xmlns:c16="http://schemas.microsoft.com/office/drawing/2014/chart" uri="{C3380CC4-5D6E-409C-BE32-E72D297353CC}">
              <c16:uniqueId val="{00000002-D175-4114-9984-BF38085F9052}"/>
            </c:ext>
          </c:extLst>
        </c:ser>
        <c:ser>
          <c:idx val="3"/>
          <c:order val="3"/>
          <c:tx>
            <c:strRef>
              <c:f>'BFAP verification'!$B$31</c:f>
              <c:strCache>
                <c:ptCount val="1"/>
                <c:pt idx="0">
                  <c:v>Milk production (model)</c:v>
                </c:pt>
              </c:strCache>
            </c:strRef>
          </c:tx>
          <c:spPr>
            <a:ln w="28575" cap="rnd">
              <a:solidFill>
                <a:schemeClr val="accent4"/>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verification'!$C$31:$BA$31</c:f>
              <c:numCache>
                <c:formatCode>0.00</c:formatCode>
                <c:ptCount val="51"/>
                <c:pt idx="0">
                  <c:v>2370</c:v>
                </c:pt>
                <c:pt idx="1">
                  <c:v>2358</c:v>
                </c:pt>
                <c:pt idx="2">
                  <c:v>2457</c:v>
                </c:pt>
                <c:pt idx="3">
                  <c:v>2354</c:v>
                </c:pt>
                <c:pt idx="4">
                  <c:v>2505</c:v>
                </c:pt>
                <c:pt idx="5">
                  <c:v>2657</c:v>
                </c:pt>
                <c:pt idx="6">
                  <c:v>2513</c:v>
                </c:pt>
                <c:pt idx="7">
                  <c:v>2559</c:v>
                </c:pt>
                <c:pt idx="8">
                  <c:v>2625</c:v>
                </c:pt>
                <c:pt idx="9">
                  <c:v>2587</c:v>
                </c:pt>
                <c:pt idx="10">
                  <c:v>2711</c:v>
                </c:pt>
                <c:pt idx="11">
                  <c:v>2720</c:v>
                </c:pt>
                <c:pt idx="12">
                  <c:v>2843</c:v>
                </c:pt>
                <c:pt idx="13">
                  <c:v>2906</c:v>
                </c:pt>
                <c:pt idx="14">
                  <c:v>2983</c:v>
                </c:pt>
                <c:pt idx="15">
                  <c:v>3173</c:v>
                </c:pt>
                <c:pt idx="16">
                  <c:v>3158</c:v>
                </c:pt>
                <c:pt idx="17">
                  <c:v>3097.9866000000002</c:v>
                </c:pt>
                <c:pt idx="18">
                  <c:v>3041.0761441055693</c:v>
                </c:pt>
                <c:pt idx="19">
                  <c:v>3060.7421495684152</c:v>
                </c:pt>
                <c:pt idx="20">
                  <c:v>3049.7255988344755</c:v>
                </c:pt>
                <c:pt idx="21">
                  <c:v>3074.1896571276702</c:v>
                </c:pt>
                <c:pt idx="22">
                  <c:v>3098.3418193379212</c:v>
                </c:pt>
                <c:pt idx="23">
                  <c:v>3122.5639936157522</c:v>
                </c:pt>
                <c:pt idx="24">
                  <c:v>3146.5176691114298</c:v>
                </c:pt>
                <c:pt idx="25">
                  <c:v>3170.7827758499693</c:v>
                </c:pt>
                <c:pt idx="26">
                  <c:v>3197.8616820382308</c:v>
                </c:pt>
                <c:pt idx="27">
                  <c:v>3224.8580135577508</c:v>
                </c:pt>
                <c:pt idx="28">
                  <c:v>3252.275895435826</c:v>
                </c:pt>
                <c:pt idx="29">
                  <c:v>3280.0067934730405</c:v>
                </c:pt>
                <c:pt idx="30">
                  <c:v>3308.0792774559081</c:v>
                </c:pt>
                <c:pt idx="31">
                  <c:v>3337.5447924603736</c:v>
                </c:pt>
                <c:pt idx="32">
                  <c:v>3366.4487326635335</c:v>
                </c:pt>
                <c:pt idx="33">
                  <c:v>3396.6193028000416</c:v>
                </c:pt>
                <c:pt idx="34">
                  <c:v>3427.675357226276</c:v>
                </c:pt>
                <c:pt idx="35">
                  <c:v>3459.6648224540709</c:v>
                </c:pt>
                <c:pt idx="36">
                  <c:v>3492.7689131019356</c:v>
                </c:pt>
                <c:pt idx="37">
                  <c:v>3526.5150313344534</c:v>
                </c:pt>
                <c:pt idx="38">
                  <c:v>3560.4996598968246</c:v>
                </c:pt>
                <c:pt idx="39">
                  <c:v>3595.1323711914661</c:v>
                </c:pt>
                <c:pt idx="40">
                  <c:v>3630.7758236067807</c:v>
                </c:pt>
                <c:pt idx="41">
                  <c:v>3669.7077753837807</c:v>
                </c:pt>
                <c:pt idx="42">
                  <c:v>3709.4156403001407</c:v>
                </c:pt>
                <c:pt idx="43">
                  <c:v>3749.8551876494876</c:v>
                </c:pt>
                <c:pt idx="44">
                  <c:v>3791.1355949483773</c:v>
                </c:pt>
                <c:pt idx="45">
                  <c:v>3833.6897236640025</c:v>
                </c:pt>
                <c:pt idx="46">
                  <c:v>3876.5936421180909</c:v>
                </c:pt>
                <c:pt idx="47">
                  <c:v>3920.5957988988616</c:v>
                </c:pt>
                <c:pt idx="48">
                  <c:v>3964.8733558567315</c:v>
                </c:pt>
                <c:pt idx="49">
                  <c:v>4010.348686205903</c:v>
                </c:pt>
                <c:pt idx="50">
                  <c:v>4057.1217427903525</c:v>
                </c:pt>
              </c:numCache>
            </c:numRef>
          </c:val>
          <c:smooth val="0"/>
          <c:extLst>
            <c:ext xmlns:c16="http://schemas.microsoft.com/office/drawing/2014/chart" uri="{C3380CC4-5D6E-409C-BE32-E72D297353CC}">
              <c16:uniqueId val="{00000003-D175-4114-9984-BF38085F9052}"/>
            </c:ext>
          </c:extLst>
        </c:ser>
        <c:ser>
          <c:idx val="4"/>
          <c:order val="4"/>
          <c:tx>
            <c:strRef>
              <c:f>'BFAP verification'!$B$32</c:f>
              <c:strCache>
                <c:ptCount val="1"/>
                <c:pt idx="0">
                  <c:v>Milk consumption (model)</c:v>
                </c:pt>
              </c:strCache>
            </c:strRef>
          </c:tx>
          <c:spPr>
            <a:ln w="28575" cap="rnd">
              <a:solidFill>
                <a:schemeClr val="accent5"/>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verification'!$C$32:$BA$32</c:f>
              <c:numCache>
                <c:formatCode>0.00</c:formatCode>
                <c:ptCount val="51"/>
                <c:pt idx="0">
                  <c:v>1284</c:v>
                </c:pt>
                <c:pt idx="1">
                  <c:v>1575</c:v>
                </c:pt>
                <c:pt idx="2">
                  <c:v>1611</c:v>
                </c:pt>
                <c:pt idx="3">
                  <c:v>1528</c:v>
                </c:pt>
                <c:pt idx="4">
                  <c:v>1626</c:v>
                </c:pt>
                <c:pt idx="5">
                  <c:v>1835</c:v>
                </c:pt>
                <c:pt idx="6">
                  <c:v>1697</c:v>
                </c:pt>
                <c:pt idx="7">
                  <c:v>1799</c:v>
                </c:pt>
                <c:pt idx="8">
                  <c:v>1819</c:v>
                </c:pt>
                <c:pt idx="9">
                  <c:v>1788</c:v>
                </c:pt>
                <c:pt idx="10">
                  <c:v>1868</c:v>
                </c:pt>
                <c:pt idx="11">
                  <c:v>1852</c:v>
                </c:pt>
                <c:pt idx="12">
                  <c:v>1916</c:v>
                </c:pt>
                <c:pt idx="13">
                  <c:v>1931</c:v>
                </c:pt>
                <c:pt idx="14">
                  <c:v>1976</c:v>
                </c:pt>
                <c:pt idx="15">
                  <c:v>2121</c:v>
                </c:pt>
                <c:pt idx="16">
                  <c:v>2126</c:v>
                </c:pt>
                <c:pt idx="17">
                  <c:v>2207</c:v>
                </c:pt>
                <c:pt idx="18">
                  <c:v>2148.8183419976272</c:v>
                </c:pt>
                <c:pt idx="19">
                  <c:v>2168.9309705631626</c:v>
                </c:pt>
                <c:pt idx="20">
                  <c:v>2157.6642294141416</c:v>
                </c:pt>
                <c:pt idx="21">
                  <c:v>2182.6838765705611</c:v>
                </c:pt>
                <c:pt idx="22">
                  <c:v>2207.384544355235</c:v>
                </c:pt>
                <c:pt idx="23">
                  <c:v>2232.1568142104466</c:v>
                </c:pt>
                <c:pt idx="24">
                  <c:v>2256.6544875653185</c:v>
                </c:pt>
                <c:pt idx="25">
                  <c:v>2281.4706648951442</c:v>
                </c:pt>
                <c:pt idx="26">
                  <c:v>2309.1645442218037</c:v>
                </c:pt>
                <c:pt idx="27">
                  <c:v>2336.7739735749046</c:v>
                </c:pt>
                <c:pt idx="28">
                  <c:v>2364.8145268692315</c:v>
                </c:pt>
                <c:pt idx="29">
                  <c:v>2393.1752050488922</c:v>
                </c:pt>
                <c:pt idx="30">
                  <c:v>2421.8852267320472</c:v>
                </c:pt>
                <c:pt idx="31">
                  <c:v>2452.0199157463799</c:v>
                </c:pt>
                <c:pt idx="32">
                  <c:v>2481.5802763638362</c:v>
                </c:pt>
                <c:pt idx="33">
                  <c:v>2512.4360326033238</c:v>
                </c:pt>
                <c:pt idx="34">
                  <c:v>2544.1973828463078</c:v>
                </c:pt>
                <c:pt idx="35">
                  <c:v>2576.9133420354929</c:v>
                </c:pt>
                <c:pt idx="36">
                  <c:v>2610.769240248183</c:v>
                </c:pt>
                <c:pt idx="37">
                  <c:v>2645.281746757018</c:v>
                </c:pt>
                <c:pt idx="38">
                  <c:v>2680.0381802637603</c:v>
                </c:pt>
                <c:pt idx="39">
                  <c:v>2715.4574147291696</c:v>
                </c:pt>
                <c:pt idx="40">
                  <c:v>2751.9103446633612</c:v>
                </c:pt>
                <c:pt idx="41">
                  <c:v>2791.7264571373184</c:v>
                </c:pt>
                <c:pt idx="42">
                  <c:v>2832.3361040583468</c:v>
                </c:pt>
                <c:pt idx="43">
                  <c:v>2873.6940502224725</c:v>
                </c:pt>
                <c:pt idx="44">
                  <c:v>2915.9119526127238</c:v>
                </c:pt>
                <c:pt idx="45">
                  <c:v>2959.4325031589092</c:v>
                </c:pt>
                <c:pt idx="46">
                  <c:v>3003.3107873129206</c:v>
                </c:pt>
                <c:pt idx="47">
                  <c:v>3048.3122512393934</c:v>
                </c:pt>
                <c:pt idx="48">
                  <c:v>3093.5953697946802</c:v>
                </c:pt>
                <c:pt idx="49">
                  <c:v>3140.1034636694562</c:v>
                </c:pt>
                <c:pt idx="50">
                  <c:v>3187.9387556780475</c:v>
                </c:pt>
              </c:numCache>
            </c:numRef>
          </c:val>
          <c:smooth val="0"/>
          <c:extLst>
            <c:ext xmlns:c16="http://schemas.microsoft.com/office/drawing/2014/chart" uri="{C3380CC4-5D6E-409C-BE32-E72D297353CC}">
              <c16:uniqueId val="{00000004-D175-4114-9984-BF38085F9052}"/>
            </c:ext>
          </c:extLst>
        </c:ser>
        <c:dLbls>
          <c:showLegendKey val="0"/>
          <c:showVal val="0"/>
          <c:showCatName val="0"/>
          <c:showSerName val="0"/>
          <c:showPercent val="0"/>
          <c:showBubbleSize val="0"/>
        </c:dLbls>
        <c:smooth val="0"/>
        <c:axId val="1983403439"/>
        <c:axId val="1983404271"/>
      </c:lineChart>
      <c:catAx>
        <c:axId val="1983403439"/>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404271"/>
        <c:crosses val="autoZero"/>
        <c:auto val="1"/>
        <c:lblAlgn val="ctr"/>
        <c:lblOffset val="100"/>
        <c:noMultiLvlLbl val="0"/>
      </c:catAx>
      <c:valAx>
        <c:axId val="19834042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4034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verification'!$B$35</c:f>
              <c:strCache>
                <c:ptCount val="1"/>
                <c:pt idx="0">
                  <c:v>Sheep meat production (BFAP)</c:v>
                </c:pt>
              </c:strCache>
            </c:strRef>
          </c:tx>
          <c:spPr>
            <a:ln w="28575" cap="rnd">
              <a:solidFill>
                <a:schemeClr val="accent1"/>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verification'!$C$35:$BA$35</c:f>
              <c:numCache>
                <c:formatCode>0.00</c:formatCode>
                <c:ptCount val="51"/>
                <c:pt idx="0">
                  <c:v>114.36</c:v>
                </c:pt>
                <c:pt idx="1">
                  <c:v>114.36</c:v>
                </c:pt>
                <c:pt idx="2">
                  <c:v>114.36</c:v>
                </c:pt>
                <c:pt idx="3">
                  <c:v>94.948778000000004</c:v>
                </c:pt>
                <c:pt idx="4">
                  <c:v>97.52034399999998</c:v>
                </c:pt>
                <c:pt idx="5">
                  <c:v>102.166586</c:v>
                </c:pt>
                <c:pt idx="6">
                  <c:v>115.84967</c:v>
                </c:pt>
                <c:pt idx="7">
                  <c:v>110.621706</c:v>
                </c:pt>
                <c:pt idx="8">
                  <c:v>115.99826544161907</c:v>
                </c:pt>
                <c:pt idx="9">
                  <c:v>120.63819605928383</c:v>
                </c:pt>
                <c:pt idx="10">
                  <c:v>125.46372390165519</c:v>
                </c:pt>
                <c:pt idx="11">
                  <c:v>91.588518448208291</c:v>
                </c:pt>
                <c:pt idx="12">
                  <c:v>98.915599924064963</c:v>
                </c:pt>
                <c:pt idx="13">
                  <c:v>115.10460982337811</c:v>
                </c:pt>
                <c:pt idx="14">
                  <c:v>118.08101882391567</c:v>
                </c:pt>
                <c:pt idx="15">
                  <c:v>120</c:v>
                </c:pt>
                <c:pt idx="16">
                  <c:v>125</c:v>
                </c:pt>
                <c:pt idx="17">
                  <c:v>135</c:v>
                </c:pt>
                <c:pt idx="18">
                  <c:v>115</c:v>
                </c:pt>
                <c:pt idx="19">
                  <c:v>108</c:v>
                </c:pt>
                <c:pt idx="20">
                  <c:v>113</c:v>
                </c:pt>
                <c:pt idx="21">
                  <c:v>116</c:v>
                </c:pt>
                <c:pt idx="22">
                  <c:v>119</c:v>
                </c:pt>
                <c:pt idx="23">
                  <c:v>121</c:v>
                </c:pt>
                <c:pt idx="24">
                  <c:v>124</c:v>
                </c:pt>
                <c:pt idx="25">
                  <c:v>127</c:v>
                </c:pt>
                <c:pt idx="26">
                  <c:v>129</c:v>
                </c:pt>
                <c:pt idx="27">
                  <c:v>131</c:v>
                </c:pt>
                <c:pt idx="28">
                  <c:v>133</c:v>
                </c:pt>
              </c:numCache>
            </c:numRef>
          </c:val>
          <c:smooth val="0"/>
          <c:extLst>
            <c:ext xmlns:c16="http://schemas.microsoft.com/office/drawing/2014/chart" uri="{C3380CC4-5D6E-409C-BE32-E72D297353CC}">
              <c16:uniqueId val="{00000000-DF71-4BF4-9C91-6EEA5522726F}"/>
            </c:ext>
          </c:extLst>
        </c:ser>
        <c:ser>
          <c:idx val="1"/>
          <c:order val="1"/>
          <c:tx>
            <c:strRef>
              <c:f>'BFAP verification'!$B$36</c:f>
              <c:strCache>
                <c:ptCount val="1"/>
                <c:pt idx="0">
                  <c:v>Sheep meat domestic Use (BFAP)</c:v>
                </c:pt>
              </c:strCache>
            </c:strRef>
          </c:tx>
          <c:spPr>
            <a:ln w="28575" cap="rnd">
              <a:solidFill>
                <a:schemeClr val="accent2"/>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verification'!$C$36:$BA$36</c:f>
              <c:numCache>
                <c:formatCode>0.00</c:formatCode>
                <c:ptCount val="51"/>
                <c:pt idx="0">
                  <c:v>147.50101899999999</c:v>
                </c:pt>
                <c:pt idx="1">
                  <c:v>147.50101899999999</c:v>
                </c:pt>
                <c:pt idx="2">
                  <c:v>147.50101899999999</c:v>
                </c:pt>
                <c:pt idx="3">
                  <c:v>156</c:v>
                </c:pt>
                <c:pt idx="4">
                  <c:v>163</c:v>
                </c:pt>
                <c:pt idx="5">
                  <c:v>150</c:v>
                </c:pt>
                <c:pt idx="6">
                  <c:v>177</c:v>
                </c:pt>
                <c:pt idx="7">
                  <c:v>165.63170600000001</c:v>
                </c:pt>
                <c:pt idx="8">
                  <c:v>153.94826544161907</c:v>
                </c:pt>
                <c:pt idx="9">
                  <c:v>149.24819605928383</c:v>
                </c:pt>
                <c:pt idx="10">
                  <c:v>149.24372390165519</c:v>
                </c:pt>
                <c:pt idx="11">
                  <c:v>116.67851844820828</c:v>
                </c:pt>
                <c:pt idx="12">
                  <c:v>121.76574443406494</c:v>
                </c:pt>
                <c:pt idx="13">
                  <c:v>134.49960982337811</c:v>
                </c:pt>
                <c:pt idx="14">
                  <c:v>134.87990262391565</c:v>
                </c:pt>
                <c:pt idx="15">
                  <c:v>138.20716425710361</c:v>
                </c:pt>
                <c:pt idx="16">
                  <c:v>140.54831762918488</c:v>
                </c:pt>
                <c:pt idx="17">
                  <c:v>142.52537151325211</c:v>
                </c:pt>
                <c:pt idx="18">
                  <c:v>143.33699921198837</c:v>
                </c:pt>
                <c:pt idx="19">
                  <c:v>145.00011855243841</c:v>
                </c:pt>
                <c:pt idx="20">
                  <c:v>146.72189410939382</c:v>
                </c:pt>
                <c:pt idx="21">
                  <c:v>148.14351293952492</c:v>
                </c:pt>
                <c:pt idx="22">
                  <c:v>149.6242507758528</c:v>
                </c:pt>
                <c:pt idx="23">
                  <c:v>151.3117511608838</c:v>
                </c:pt>
                <c:pt idx="24">
                  <c:v>153.36736842443659</c:v>
                </c:pt>
              </c:numCache>
            </c:numRef>
          </c:val>
          <c:smooth val="0"/>
          <c:extLst>
            <c:ext xmlns:c16="http://schemas.microsoft.com/office/drawing/2014/chart" uri="{C3380CC4-5D6E-409C-BE32-E72D297353CC}">
              <c16:uniqueId val="{00000001-DF71-4BF4-9C91-6EEA5522726F}"/>
            </c:ext>
          </c:extLst>
        </c:ser>
        <c:ser>
          <c:idx val="2"/>
          <c:order val="2"/>
          <c:tx>
            <c:strRef>
              <c:f>'BFAP verification'!$B$37</c:f>
              <c:strCache>
                <c:ptCount val="1"/>
                <c:pt idx="0">
                  <c:v>Sheep meat production (model)</c:v>
                </c:pt>
              </c:strCache>
            </c:strRef>
          </c:tx>
          <c:spPr>
            <a:ln w="28575" cap="rnd">
              <a:solidFill>
                <a:schemeClr val="accent3"/>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verification'!$C$37:$BA$37</c:f>
              <c:numCache>
                <c:formatCode>General</c:formatCode>
                <c:ptCount val="51"/>
                <c:pt idx="0">
                  <c:v>98.52</c:v>
                </c:pt>
                <c:pt idx="1">
                  <c:v>95.86</c:v>
                </c:pt>
                <c:pt idx="2">
                  <c:v>96.34</c:v>
                </c:pt>
                <c:pt idx="3">
                  <c:v>105.64</c:v>
                </c:pt>
                <c:pt idx="4">
                  <c:v>111.12</c:v>
                </c:pt>
                <c:pt idx="5">
                  <c:v>124.52</c:v>
                </c:pt>
                <c:pt idx="6">
                  <c:v>124.74</c:v>
                </c:pt>
                <c:pt idx="7">
                  <c:v>148.52000000000001</c:v>
                </c:pt>
                <c:pt idx="8">
                  <c:v>149.26</c:v>
                </c:pt>
                <c:pt idx="9">
                  <c:v>151.30000000000001</c:v>
                </c:pt>
                <c:pt idx="10">
                  <c:v>153.46</c:v>
                </c:pt>
                <c:pt idx="11">
                  <c:v>139.5</c:v>
                </c:pt>
                <c:pt idx="12">
                  <c:v>139.47999999999999</c:v>
                </c:pt>
                <c:pt idx="13">
                  <c:v>156.04</c:v>
                </c:pt>
                <c:pt idx="14">
                  <c:v>171.52</c:v>
                </c:pt>
                <c:pt idx="15">
                  <c:v>173.02</c:v>
                </c:pt>
                <c:pt idx="16">
                  <c:v>166.24</c:v>
                </c:pt>
                <c:pt idx="17">
                  <c:v>166.12415200000001</c:v>
                </c:pt>
                <c:pt idx="18">
                  <c:v>159.47337372484043</c:v>
                </c:pt>
                <c:pt idx="19">
                  <c:v>160.99639810756949</c:v>
                </c:pt>
                <c:pt idx="20">
                  <c:v>166.05464178239916</c:v>
                </c:pt>
                <c:pt idx="21">
                  <c:v>167.07639772752839</c:v>
                </c:pt>
                <c:pt idx="22">
                  <c:v>168.13409001601232</c:v>
                </c:pt>
                <c:pt idx="23">
                  <c:v>169.18371557073388</c:v>
                </c:pt>
                <c:pt idx="24">
                  <c:v>170.26427733782597</c:v>
                </c:pt>
                <c:pt idx="25">
                  <c:v>171.3089563200613</c:v>
                </c:pt>
                <c:pt idx="26">
                  <c:v>172.34970004600891</c:v>
                </c:pt>
                <c:pt idx="27">
                  <c:v>173.39995795845732</c:v>
                </c:pt>
                <c:pt idx="28">
                  <c:v>174.40164517977414</c:v>
                </c:pt>
                <c:pt idx="29">
                  <c:v>175.36726693257432</c:v>
                </c:pt>
                <c:pt idx="30">
                  <c:v>176.29353142917856</c:v>
                </c:pt>
                <c:pt idx="31">
                  <c:v>176.91803387546639</c:v>
                </c:pt>
                <c:pt idx="32">
                  <c:v>177.60724044496141</c:v>
                </c:pt>
                <c:pt idx="33">
                  <c:v>178.15050700957107</c:v>
                </c:pt>
                <c:pt idx="34">
                  <c:v>178.59174872009487</c:v>
                </c:pt>
                <c:pt idx="35">
                  <c:v>178.92544359351771</c:v>
                </c:pt>
                <c:pt idx="36">
                  <c:v>179.28873745639214</c:v>
                </c:pt>
                <c:pt idx="37">
                  <c:v>179.57805742058713</c:v>
                </c:pt>
                <c:pt idx="38">
                  <c:v>179.83989634672528</c:v>
                </c:pt>
                <c:pt idx="39">
                  <c:v>180.02706377586543</c:v>
                </c:pt>
                <c:pt idx="40">
                  <c:v>180.09777443112384</c:v>
                </c:pt>
                <c:pt idx="41">
                  <c:v>180.38082442402782</c:v>
                </c:pt>
                <c:pt idx="42">
                  <c:v>180.57447426210999</c:v>
                </c:pt>
                <c:pt idx="43">
                  <c:v>180.68382031333908</c:v>
                </c:pt>
                <c:pt idx="44">
                  <c:v>180.69628316173086</c:v>
                </c:pt>
                <c:pt idx="45">
                  <c:v>180.56198885937121</c:v>
                </c:pt>
                <c:pt idx="46">
                  <c:v>180.21908278992407</c:v>
                </c:pt>
                <c:pt idx="47">
                  <c:v>179.74963858933435</c:v>
                </c:pt>
                <c:pt idx="48">
                  <c:v>179.24846307412355</c:v>
                </c:pt>
                <c:pt idx="49">
                  <c:v>178.60928100729407</c:v>
                </c:pt>
                <c:pt idx="50">
                  <c:v>177.8205759739493</c:v>
                </c:pt>
              </c:numCache>
            </c:numRef>
          </c:val>
          <c:smooth val="0"/>
          <c:extLst>
            <c:ext xmlns:c16="http://schemas.microsoft.com/office/drawing/2014/chart" uri="{C3380CC4-5D6E-409C-BE32-E72D297353CC}">
              <c16:uniqueId val="{00000002-DF71-4BF4-9C91-6EEA5522726F}"/>
            </c:ext>
          </c:extLst>
        </c:ser>
        <c:ser>
          <c:idx val="3"/>
          <c:order val="3"/>
          <c:tx>
            <c:strRef>
              <c:f>'BFAP verification'!$B$38</c:f>
              <c:strCache>
                <c:ptCount val="1"/>
                <c:pt idx="0">
                  <c:v>Sheep meat domestic Use (model)</c:v>
                </c:pt>
              </c:strCache>
            </c:strRef>
          </c:tx>
          <c:spPr>
            <a:ln w="28575" cap="rnd">
              <a:solidFill>
                <a:schemeClr val="accent4"/>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verification'!$C$38:$BA$38</c:f>
              <c:numCache>
                <c:formatCode>General</c:formatCode>
                <c:ptCount val="51"/>
                <c:pt idx="0">
                  <c:v>153.22</c:v>
                </c:pt>
                <c:pt idx="1">
                  <c:v>149.46</c:v>
                </c:pt>
                <c:pt idx="2">
                  <c:v>137.24</c:v>
                </c:pt>
                <c:pt idx="3">
                  <c:v>137.24</c:v>
                </c:pt>
                <c:pt idx="4">
                  <c:v>143.82</c:v>
                </c:pt>
                <c:pt idx="5">
                  <c:v>157.91999999999999</c:v>
                </c:pt>
                <c:pt idx="6">
                  <c:v>165.44</c:v>
                </c:pt>
                <c:pt idx="7">
                  <c:v>190.82</c:v>
                </c:pt>
                <c:pt idx="8">
                  <c:v>177.66</c:v>
                </c:pt>
                <c:pt idx="9">
                  <c:v>169.2</c:v>
                </c:pt>
                <c:pt idx="10">
                  <c:v>163.56</c:v>
                </c:pt>
                <c:pt idx="11">
                  <c:v>145.69999999999999</c:v>
                </c:pt>
                <c:pt idx="12">
                  <c:v>147.58000000000001</c:v>
                </c:pt>
                <c:pt idx="13">
                  <c:v>160.74</c:v>
                </c:pt>
                <c:pt idx="14">
                  <c:v>176.72</c:v>
                </c:pt>
                <c:pt idx="15">
                  <c:v>181.42</c:v>
                </c:pt>
                <c:pt idx="16">
                  <c:v>179.54</c:v>
                </c:pt>
                <c:pt idx="17">
                  <c:v>174.84</c:v>
                </c:pt>
                <c:pt idx="18">
                  <c:v>167.6640520102402</c:v>
                </c:pt>
                <c:pt idx="19">
                  <c:v>169.30560246142238</c:v>
                </c:pt>
                <c:pt idx="20">
                  <c:v>174.75749297661403</c:v>
                </c:pt>
                <c:pt idx="21">
                  <c:v>175.85876486151952</c:v>
                </c:pt>
                <c:pt idx="22">
                  <c:v>176.99876975773896</c:v>
                </c:pt>
                <c:pt idx="23">
                  <c:v>178.1300801441414</c:v>
                </c:pt>
                <c:pt idx="24">
                  <c:v>179.29473428652739</c:v>
                </c:pt>
                <c:pt idx="25">
                  <c:v>180.4207131441712</c:v>
                </c:pt>
                <c:pt idx="26">
                  <c:v>181.54245049274411</c:v>
                </c:pt>
                <c:pt idx="27">
                  <c:v>182.67444244874162</c:v>
                </c:pt>
                <c:pt idx="28">
                  <c:v>183.75408380494216</c:v>
                </c:pt>
                <c:pt idx="29">
                  <c:v>184.79485297578114</c:v>
                </c:pt>
                <c:pt idx="30">
                  <c:v>185.79320199734451</c:v>
                </c:pt>
                <c:pt idx="31">
                  <c:v>186.46630499168481</c:v>
                </c:pt>
                <c:pt idx="32">
                  <c:v>187.20914756724821</c:v>
                </c:pt>
                <c:pt idx="33">
                  <c:v>187.79469267365627</c:v>
                </c:pt>
                <c:pt idx="34">
                  <c:v>188.27027306304763</c:v>
                </c:pt>
                <c:pt idx="35">
                  <c:v>188.62993701605856</c:v>
                </c:pt>
                <c:pt idx="36">
                  <c:v>189.02150343566154</c:v>
                </c:pt>
                <c:pt idx="37">
                  <c:v>189.3333390984034</c:v>
                </c:pt>
                <c:pt idx="38">
                  <c:v>189.61555507092049</c:v>
                </c:pt>
                <c:pt idx="39">
                  <c:v>189.81728839918216</c:v>
                </c:pt>
                <c:pt idx="40">
                  <c:v>189.89350195778249</c:v>
                </c:pt>
                <c:pt idx="41">
                  <c:v>190.19857970232002</c:v>
                </c:pt>
                <c:pt idx="42">
                  <c:v>190.40729991893633</c:v>
                </c:pt>
                <c:pt idx="43">
                  <c:v>190.52515558938103</c:v>
                </c:pt>
                <c:pt idx="44">
                  <c:v>190.53858833191128</c:v>
                </c:pt>
                <c:pt idx="45">
                  <c:v>190.39384286681596</c:v>
                </c:pt>
                <c:pt idx="46">
                  <c:v>190.02425087643337</c:v>
                </c:pt>
                <c:pt idx="47">
                  <c:v>189.51827319937078</c:v>
                </c:pt>
                <c:pt idx="48">
                  <c:v>188.97809478696635</c:v>
                </c:pt>
                <c:pt idx="49">
                  <c:v>188.28916976246256</c:v>
                </c:pt>
                <c:pt idx="50">
                  <c:v>187.43908547095776</c:v>
                </c:pt>
              </c:numCache>
            </c:numRef>
          </c:val>
          <c:smooth val="0"/>
          <c:extLst>
            <c:ext xmlns:c16="http://schemas.microsoft.com/office/drawing/2014/chart" uri="{C3380CC4-5D6E-409C-BE32-E72D297353CC}">
              <c16:uniqueId val="{00000003-DF71-4BF4-9C91-6EEA5522726F}"/>
            </c:ext>
          </c:extLst>
        </c:ser>
        <c:dLbls>
          <c:showLegendKey val="0"/>
          <c:showVal val="0"/>
          <c:showCatName val="0"/>
          <c:showSerName val="0"/>
          <c:showPercent val="0"/>
          <c:showBubbleSize val="0"/>
        </c:dLbls>
        <c:smooth val="0"/>
        <c:axId val="1923059263"/>
        <c:axId val="1923059679"/>
      </c:lineChart>
      <c:catAx>
        <c:axId val="1923059263"/>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59679"/>
        <c:crosses val="autoZero"/>
        <c:auto val="1"/>
        <c:lblAlgn val="ctr"/>
        <c:lblOffset val="100"/>
        <c:noMultiLvlLbl val="0"/>
      </c:catAx>
      <c:valAx>
        <c:axId val="19230596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59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17"/>
          <c:order val="15"/>
          <c:tx>
            <c:strRef>
              <c:f>'Activity data'!$D$20:$F$20</c:f>
              <c:strCache>
                <c:ptCount val="3"/>
                <c:pt idx="0">
                  <c:v>Commercial broilers</c:v>
                </c:pt>
                <c:pt idx="1">
                  <c:v>Population</c:v>
                </c:pt>
                <c:pt idx="2">
                  <c:v>Head</c:v>
                </c:pt>
              </c:strCache>
              <c:extLst xmlns:c15="http://schemas.microsoft.com/office/drawing/2012/chart"/>
            </c:strRef>
          </c:tx>
          <c:spPr>
            <a:solidFill>
              <a:schemeClr val="accent6">
                <a:lumMod val="80000"/>
                <a:lumOff val="20000"/>
              </a:schemeClr>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extLst xmlns:c15="http://schemas.microsoft.com/office/drawing/2012/chart"/>
            </c:numRef>
          </c:cat>
          <c:val>
            <c:numRef>
              <c:f>'Activity data'!$G$20:$BP$20</c:f>
              <c:numCache>
                <c:formatCode>#,##0</c:formatCode>
                <c:ptCount val="62"/>
                <c:pt idx="1">
                  <c:v>40304488.125775687</c:v>
                </c:pt>
                <c:pt idx="2">
                  <c:v>37886218.887128815</c:v>
                </c:pt>
                <c:pt idx="3">
                  <c:v>35805187.036307976</c:v>
                </c:pt>
                <c:pt idx="4">
                  <c:v>40268107.368938237</c:v>
                </c:pt>
                <c:pt idx="5">
                  <c:v>39890443.299430735</c:v>
                </c:pt>
                <c:pt idx="6">
                  <c:v>45660443.796231762</c:v>
                </c:pt>
                <c:pt idx="7">
                  <c:v>53091326.838711366</c:v>
                </c:pt>
                <c:pt idx="8">
                  <c:v>54040901.985378392</c:v>
                </c:pt>
                <c:pt idx="9">
                  <c:v>59214394.697576575</c:v>
                </c:pt>
                <c:pt idx="10">
                  <c:v>61819163.842046939</c:v>
                </c:pt>
                <c:pt idx="11">
                  <c:v>66512864.907880791</c:v>
                </c:pt>
                <c:pt idx="12">
                  <c:v>64225159.968942329</c:v>
                </c:pt>
                <c:pt idx="13">
                  <c:v>71182309.580183759</c:v>
                </c:pt>
                <c:pt idx="14">
                  <c:v>67705122.244331256</c:v>
                </c:pt>
                <c:pt idx="15">
                  <c:v>69339582.95804137</c:v>
                </c:pt>
                <c:pt idx="16">
                  <c:v>76722494.212373629</c:v>
                </c:pt>
                <c:pt idx="17">
                  <c:v>82061878.307196394</c:v>
                </c:pt>
                <c:pt idx="18">
                  <c:v>85859218.536646262</c:v>
                </c:pt>
                <c:pt idx="19">
                  <c:v>91416754.470852047</c:v>
                </c:pt>
                <c:pt idx="20">
                  <c:v>86261715.79298</c:v>
                </c:pt>
                <c:pt idx="21">
                  <c:v>88431266.728296682</c:v>
                </c:pt>
                <c:pt idx="22">
                  <c:v>91461113.859690607</c:v>
                </c:pt>
                <c:pt idx="23">
                  <c:v>93498642.184348121</c:v>
                </c:pt>
                <c:pt idx="24">
                  <c:v>91051385.328801513</c:v>
                </c:pt>
                <c:pt idx="25">
                  <c:v>95192509.839774087</c:v>
                </c:pt>
                <c:pt idx="26">
                  <c:v>99033153.399708137</c:v>
                </c:pt>
                <c:pt idx="27">
                  <c:v>92093884</c:v>
                </c:pt>
                <c:pt idx="28">
                  <c:v>91976041</c:v>
                </c:pt>
                <c:pt idx="29">
                  <c:v>102037819.1286782</c:v>
                </c:pt>
                <c:pt idx="30">
                  <c:v>103876582.8021197</c:v>
                </c:pt>
                <c:pt idx="31">
                  <c:v>105715346.47556117</c:v>
                </c:pt>
                <c:pt idx="32">
                  <c:v>107579131.86378166</c:v>
                </c:pt>
                <c:pt idx="33">
                  <c:v>109442917.21759966</c:v>
                </c:pt>
                <c:pt idx="34">
                  <c:v>111306702.5714176</c:v>
                </c:pt>
                <c:pt idx="35">
                  <c:v>113170487.92523554</c:v>
                </c:pt>
                <c:pt idx="36">
                  <c:v>115034273.313456</c:v>
                </c:pt>
                <c:pt idx="37">
                  <c:v>117053484.81215692</c:v>
                </c:pt>
                <c:pt idx="38">
                  <c:v>119072696.31085777</c:v>
                </c:pt>
                <c:pt idx="39">
                  <c:v>121091907.80955863</c:v>
                </c:pt>
                <c:pt idx="40">
                  <c:v>123111119.30825949</c:v>
                </c:pt>
                <c:pt idx="41">
                  <c:v>125130330.8069604</c:v>
                </c:pt>
                <c:pt idx="42">
                  <c:v>127080989.80051252</c:v>
                </c:pt>
                <c:pt idx="43">
                  <c:v>129031648.75966212</c:v>
                </c:pt>
                <c:pt idx="44">
                  <c:v>130982307.7532143</c:v>
                </c:pt>
                <c:pt idx="45">
                  <c:v>132932966.71236396</c:v>
                </c:pt>
                <c:pt idx="46">
                  <c:v>134883625.67151353</c:v>
                </c:pt>
                <c:pt idx="47">
                  <c:v>136910974.19352239</c:v>
                </c:pt>
                <c:pt idx="48">
                  <c:v>138938322.71553117</c:v>
                </c:pt>
                <c:pt idx="49">
                  <c:v>140965671.20313749</c:v>
                </c:pt>
                <c:pt idx="50">
                  <c:v>142993019.72514626</c:v>
                </c:pt>
                <c:pt idx="51">
                  <c:v>145020368.24715507</c:v>
                </c:pt>
                <c:pt idx="52">
                  <c:v>147334644.06231058</c:v>
                </c:pt>
                <c:pt idx="53">
                  <c:v>149648919.8430635</c:v>
                </c:pt>
                <c:pt idx="54">
                  <c:v>151963195.65821901</c:v>
                </c:pt>
                <c:pt idx="55">
                  <c:v>154277471.47337449</c:v>
                </c:pt>
                <c:pt idx="56">
                  <c:v>156591747.28852993</c:v>
                </c:pt>
                <c:pt idx="57">
                  <c:v>158824342.69742212</c:v>
                </c:pt>
                <c:pt idx="58">
                  <c:v>161056938.10631418</c:v>
                </c:pt>
                <c:pt idx="59">
                  <c:v>163289533.54960883</c:v>
                </c:pt>
                <c:pt idx="60">
                  <c:v>165522128.95850089</c:v>
                </c:pt>
                <c:pt idx="61">
                  <c:v>167754724.36739302</c:v>
                </c:pt>
              </c:numCache>
              <c:extLst xmlns:c15="http://schemas.microsoft.com/office/drawing/2012/chart"/>
            </c:numRef>
          </c:val>
          <c:extLst xmlns:c15="http://schemas.microsoft.com/office/drawing/2012/chart">
            <c:ext xmlns:c16="http://schemas.microsoft.com/office/drawing/2014/chart" uri="{C3380CC4-5D6E-409C-BE32-E72D297353CC}">
              <c16:uniqueId val="{00000011-3B16-45B8-89BE-5AE640BDA9C0}"/>
            </c:ext>
          </c:extLst>
        </c:ser>
        <c:ser>
          <c:idx val="19"/>
          <c:order val="17"/>
          <c:tx>
            <c:strRef>
              <c:f>'Activity data'!$D$22:$F$22</c:f>
              <c:strCache>
                <c:ptCount val="3"/>
                <c:pt idx="0">
                  <c:v>Subsistence broilers</c:v>
                </c:pt>
                <c:pt idx="1">
                  <c:v>Population</c:v>
                </c:pt>
                <c:pt idx="2">
                  <c:v>Head</c:v>
                </c:pt>
              </c:strCache>
              <c:extLst xmlns:c15="http://schemas.microsoft.com/office/drawing/2012/chart"/>
            </c:strRef>
          </c:tx>
          <c:spPr>
            <a:solidFill>
              <a:schemeClr val="accent2">
                <a:lumMod val="80000"/>
              </a:schemeClr>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extLst xmlns:c15="http://schemas.microsoft.com/office/drawing/2012/chart"/>
            </c:numRef>
          </c:cat>
          <c:val>
            <c:numRef>
              <c:f>'Activity data'!$G$22:$BP$22</c:f>
              <c:numCache>
                <c:formatCode>#,##0</c:formatCode>
                <c:ptCount val="62"/>
                <c:pt idx="1">
                  <c:v>1692788.501282579</c:v>
                </c:pt>
                <c:pt idx="2">
                  <c:v>1591221.1932594103</c:v>
                </c:pt>
                <c:pt idx="3">
                  <c:v>1503817.8555249351</c:v>
                </c:pt>
                <c:pt idx="4">
                  <c:v>1691260.5094954062</c:v>
                </c:pt>
                <c:pt idx="5">
                  <c:v>1675398.618576091</c:v>
                </c:pt>
                <c:pt idx="6">
                  <c:v>1917738.6394417342</c:v>
                </c:pt>
                <c:pt idx="7">
                  <c:v>2229835.7272258773</c:v>
                </c:pt>
                <c:pt idx="8">
                  <c:v>2269717.8833858925</c:v>
                </c:pt>
                <c:pt idx="9">
                  <c:v>2487004.5772982165</c:v>
                </c:pt>
                <c:pt idx="10">
                  <c:v>2596404.8813659716</c:v>
                </c:pt>
                <c:pt idx="11">
                  <c:v>2793540.3261309932</c:v>
                </c:pt>
                <c:pt idx="12">
                  <c:v>2697456.7186955782</c:v>
                </c:pt>
                <c:pt idx="13">
                  <c:v>2989657.0023677181</c:v>
                </c:pt>
                <c:pt idx="14">
                  <c:v>2843615.1342619131</c:v>
                </c:pt>
                <c:pt idx="15">
                  <c:v>2912262.4842377375</c:v>
                </c:pt>
                <c:pt idx="16">
                  <c:v>3222344.7569196927</c:v>
                </c:pt>
                <c:pt idx="17">
                  <c:v>3446598.8889022488</c:v>
                </c:pt>
                <c:pt idx="18">
                  <c:v>3606087.1785391434</c:v>
                </c:pt>
                <c:pt idx="19">
                  <c:v>3839503.687775786</c:v>
                </c:pt>
                <c:pt idx="20">
                  <c:v>3622992.06330516</c:v>
                </c:pt>
                <c:pt idx="21">
                  <c:v>3714113.2025884609</c:v>
                </c:pt>
                <c:pt idx="22">
                  <c:v>3841366.7821070058</c:v>
                </c:pt>
                <c:pt idx="23">
                  <c:v>3926942.9717426212</c:v>
                </c:pt>
                <c:pt idx="24">
                  <c:v>3824158.1838096636</c:v>
                </c:pt>
                <c:pt idx="25">
                  <c:v>3998085.4132705121</c:v>
                </c:pt>
                <c:pt idx="26">
                  <c:v>4159392.4427877418</c:v>
                </c:pt>
                <c:pt idx="27">
                  <c:v>3867943.128</c:v>
                </c:pt>
                <c:pt idx="28">
                  <c:v>3862993.7220000001</c:v>
                </c:pt>
                <c:pt idx="29">
                  <c:v>4081512.7651471281</c:v>
                </c:pt>
                <c:pt idx="30">
                  <c:v>4155063.312084788</c:v>
                </c:pt>
                <c:pt idx="31">
                  <c:v>4228613.8590224469</c:v>
                </c:pt>
                <c:pt idx="32">
                  <c:v>4303165.2745512668</c:v>
                </c:pt>
                <c:pt idx="33">
                  <c:v>4377716.6887039868</c:v>
                </c:pt>
                <c:pt idx="34">
                  <c:v>4452268.102856704</c:v>
                </c:pt>
                <c:pt idx="35">
                  <c:v>4526819.5170094213</c:v>
                </c:pt>
                <c:pt idx="36">
                  <c:v>4601370.9325382402</c:v>
                </c:pt>
                <c:pt idx="37">
                  <c:v>4682139.392486277</c:v>
                </c:pt>
                <c:pt idx="38">
                  <c:v>4762907.8524343111</c:v>
                </c:pt>
                <c:pt idx="39">
                  <c:v>4843676.3123823451</c:v>
                </c:pt>
                <c:pt idx="40">
                  <c:v>4924444.77233038</c:v>
                </c:pt>
                <c:pt idx="41">
                  <c:v>5005213.2322784159</c:v>
                </c:pt>
                <c:pt idx="42">
                  <c:v>5083239.5920205014</c:v>
                </c:pt>
                <c:pt idx="43">
                  <c:v>5161265.9503864851</c:v>
                </c:pt>
                <c:pt idx="44">
                  <c:v>5239292.3101285724</c:v>
                </c:pt>
                <c:pt idx="45">
                  <c:v>5317318.6684945589</c:v>
                </c:pt>
                <c:pt idx="46">
                  <c:v>5395345.0268605417</c:v>
                </c:pt>
                <c:pt idx="47">
                  <c:v>5476438.9677408962</c:v>
                </c:pt>
                <c:pt idx="48">
                  <c:v>5557532.9086212469</c:v>
                </c:pt>
                <c:pt idx="49">
                  <c:v>5638626.8481254997</c:v>
                </c:pt>
                <c:pt idx="50">
                  <c:v>5719720.7890058504</c:v>
                </c:pt>
                <c:pt idx="51">
                  <c:v>5800814.7298862031</c:v>
                </c:pt>
                <c:pt idx="52">
                  <c:v>5893385.7624924229</c:v>
                </c:pt>
                <c:pt idx="53">
                  <c:v>5985956.7937225401</c:v>
                </c:pt>
                <c:pt idx="54">
                  <c:v>6078527.8263287609</c:v>
                </c:pt>
                <c:pt idx="55">
                  <c:v>6171098.8589349799</c:v>
                </c:pt>
                <c:pt idx="56">
                  <c:v>6263669.8915411979</c:v>
                </c:pt>
                <c:pt idx="57">
                  <c:v>6352973.7078968845</c:v>
                </c:pt>
                <c:pt idx="58">
                  <c:v>6442277.5242525674</c:v>
                </c:pt>
                <c:pt idx="59">
                  <c:v>6531581.341984353</c:v>
                </c:pt>
                <c:pt idx="60">
                  <c:v>6620885.1583400359</c:v>
                </c:pt>
                <c:pt idx="61">
                  <c:v>6710188.9746957207</c:v>
                </c:pt>
              </c:numCache>
              <c:extLst xmlns:c15="http://schemas.microsoft.com/office/drawing/2012/chart"/>
            </c:numRef>
          </c:val>
          <c:extLst xmlns:c15="http://schemas.microsoft.com/office/drawing/2012/chart">
            <c:ext xmlns:c16="http://schemas.microsoft.com/office/drawing/2014/chart" uri="{C3380CC4-5D6E-409C-BE32-E72D297353CC}">
              <c16:uniqueId val="{00000013-3B16-45B8-89BE-5AE640BDA9C0}"/>
            </c:ext>
          </c:extLst>
        </c:ser>
        <c:dLbls>
          <c:showLegendKey val="0"/>
          <c:showVal val="0"/>
          <c:showCatName val="0"/>
          <c:showSerName val="0"/>
          <c:showPercent val="0"/>
          <c:showBubbleSize val="0"/>
        </c:dLbls>
        <c:axId val="789136943"/>
        <c:axId val="789159823"/>
        <c:extLst>
          <c:ext xmlns:c15="http://schemas.microsoft.com/office/drawing/2012/chart" uri="{02D57815-91ED-43cb-92C2-25804820EDAC}">
            <c15:filteredAreaSeries>
              <c15:ser>
                <c:idx val="2"/>
                <c:order val="0"/>
                <c:tx>
                  <c:strRef>
                    <c:extLst>
                      <c:ext uri="{02D57815-91ED-43cb-92C2-25804820EDAC}">
                        <c15:formulaRef>
                          <c15:sqref>'Activity data'!$D$5:$F$5</c15:sqref>
                        </c15:formulaRef>
                      </c:ext>
                    </c:extLst>
                    <c:strCache>
                      <c:ptCount val="3"/>
                      <c:pt idx="0">
                        <c:v>TMR</c:v>
                      </c:pt>
                      <c:pt idx="1">
                        <c:v>Population</c:v>
                      </c:pt>
                      <c:pt idx="2">
                        <c:v>Head</c:v>
                      </c:pt>
                    </c:strCache>
                  </c:strRef>
                </c:tx>
                <c:spPr>
                  <a:solidFill>
                    <a:schemeClr val="accent3"/>
                  </a:solidFill>
                  <a:ln>
                    <a:noFill/>
                  </a:ln>
                  <a:effectLst/>
                </c:spPr>
                <c:cat>
                  <c:numRef>
                    <c:extLst>
                      <c:ex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c:ext uri="{02D57815-91ED-43cb-92C2-25804820EDAC}">
                        <c15:formulaRef>
                          <c15:sqref>'Activity data'!$G$5:$BP$5</c15:sqref>
                        </c15:formulaRef>
                      </c:ext>
                    </c:extLst>
                    <c:numCache>
                      <c:formatCode>#,##0</c:formatCode>
                      <c:ptCount val="62"/>
                      <c:pt idx="1">
                        <c:v>487746.14676082286</c:v>
                      </c:pt>
                      <c:pt idx="2">
                        <c:v>561522.50537304278</c:v>
                      </c:pt>
                      <c:pt idx="3">
                        <c:v>485789.62235185754</c:v>
                      </c:pt>
                      <c:pt idx="4">
                        <c:v>515225.4221676389</c:v>
                      </c:pt>
                      <c:pt idx="5">
                        <c:v>477963.52471599629</c:v>
                      </c:pt>
                      <c:pt idx="6">
                        <c:v>511312.37334970833</c:v>
                      </c:pt>
                      <c:pt idx="7">
                        <c:v>513268.89775867364</c:v>
                      </c:pt>
                      <c:pt idx="8">
                        <c:v>494824.80810561875</c:v>
                      </c:pt>
                      <c:pt idx="9">
                        <c:v>488955.23487872281</c:v>
                      </c:pt>
                      <c:pt idx="10">
                        <c:v>480293.76727049437</c:v>
                      </c:pt>
                      <c:pt idx="11">
                        <c:v>618437.58059564023</c:v>
                      </c:pt>
                      <c:pt idx="12">
                        <c:v>616481.05618667486</c:v>
                      </c:pt>
                      <c:pt idx="13">
                        <c:v>537582.56063862459</c:v>
                      </c:pt>
                      <c:pt idx="14">
                        <c:v>488955.23487872281</c:v>
                      </c:pt>
                      <c:pt idx="15">
                        <c:v>472093.95148910041</c:v>
                      </c:pt>
                      <c:pt idx="16">
                        <c:v>505442.80012281239</c:v>
                      </c:pt>
                      <c:pt idx="17">
                        <c:v>494451.08996008604</c:v>
                      </c:pt>
                      <c:pt idx="18">
                        <c:v>490911.75928768812</c:v>
                      </c:pt>
                      <c:pt idx="19">
                        <c:v>601202.57906048512</c:v>
                      </c:pt>
                      <c:pt idx="20">
                        <c:v>616107.33804114221</c:v>
                      </c:pt>
                      <c:pt idx="21">
                        <c:v>616107.33804114221</c:v>
                      </c:pt>
                      <c:pt idx="22">
                        <c:v>593750.19957015652</c:v>
                      </c:pt>
                      <c:pt idx="23">
                        <c:v>571766.77924470371</c:v>
                      </c:pt>
                      <c:pt idx="24">
                        <c:v>616481.05618667486</c:v>
                      </c:pt>
                      <c:pt idx="25">
                        <c:v>582758.48940743017</c:v>
                      </c:pt>
                      <c:pt idx="26">
                        <c:v>589837.15075222601</c:v>
                      </c:pt>
                      <c:pt idx="27">
                        <c:v>611820.57107767893</c:v>
                      </c:pt>
                      <c:pt idx="28">
                        <c:v>658117.65428308269</c:v>
                      </c:pt>
                      <c:pt idx="29">
                        <c:v>600727.20398316369</c:v>
                      </c:pt>
                      <c:pt idx="30">
                        <c:v>602855.66693676298</c:v>
                      </c:pt>
                      <c:pt idx="31">
                        <c:v>601663.33938666957</c:v>
                      </c:pt>
                      <c:pt idx="32">
                        <c:v>604311.09832633485</c:v>
                      </c:pt>
                      <c:pt idx="33">
                        <c:v>606925.10057559505</c:v>
                      </c:pt>
                      <c:pt idx="34">
                        <c:v>609546.68027073913</c:v>
                      </c:pt>
                      <c:pt idx="35">
                        <c:v>612139.20019001875</c:v>
                      </c:pt>
                      <c:pt idx="36">
                        <c:v>614765.42648979719</c:v>
                      </c:pt>
                      <c:pt idx="37">
                        <c:v>617696.19190398348</c:v>
                      </c:pt>
                      <c:pt idx="38">
                        <c:v>620618.02021481865</c:v>
                      </c:pt>
                      <c:pt idx="39">
                        <c:v>623585.47316065966</c:v>
                      </c:pt>
                      <c:pt idx="40">
                        <c:v>626586.80402338924</c:v>
                      </c:pt>
                      <c:pt idx="41">
                        <c:v>629625.10492724751</c:v>
                      </c:pt>
                      <c:pt idx="42">
                        <c:v>632814.17437066941</c:v>
                      </c:pt>
                      <c:pt idx="43">
                        <c:v>635942.46425402688</c:v>
                      </c:pt>
                      <c:pt idx="44">
                        <c:v>639207.84221529367</c:v>
                      </c:pt>
                      <c:pt idx="45">
                        <c:v>642569.05664473551</c:v>
                      </c:pt>
                      <c:pt idx="46">
                        <c:v>646031.29465598054</c:v>
                      </c:pt>
                      <c:pt idx="47">
                        <c:v>649614.16921023058</c:v>
                      </c:pt>
                      <c:pt idx="48">
                        <c:v>653266.53077503329</c:v>
                      </c:pt>
                      <c:pt idx="49">
                        <c:v>656944.70644845604</c:v>
                      </c:pt>
                      <c:pt idx="50">
                        <c:v>660693.02448450099</c:v>
                      </c:pt>
                      <c:pt idx="51">
                        <c:v>664550.73560675746</c:v>
                      </c:pt>
                      <c:pt idx="52">
                        <c:v>668764.36288481415</c:v>
                      </c:pt>
                      <c:pt idx="53">
                        <c:v>673061.96768313844</c:v>
                      </c:pt>
                      <c:pt idx="54">
                        <c:v>677438.76288722933</c:v>
                      </c:pt>
                      <c:pt idx="55">
                        <c:v>681906.56484178361</c:v>
                      </c:pt>
                      <c:pt idx="56">
                        <c:v>686512.2223895262</c:v>
                      </c:pt>
                      <c:pt idx="57">
                        <c:v>691155.737879558</c:v>
                      </c:pt>
                      <c:pt idx="58">
                        <c:v>695918.11632815958</c:v>
                      </c:pt>
                      <c:pt idx="59">
                        <c:v>700710.30149452493</c:v>
                      </c:pt>
                      <c:pt idx="60">
                        <c:v>705632.12235610082</c:v>
                      </c:pt>
                      <c:pt idx="61">
                        <c:v>710694.39686602564</c:v>
                      </c:pt>
                    </c:numCache>
                  </c:numRef>
                </c:val>
                <c:extLst>
                  <c:ext xmlns:c16="http://schemas.microsoft.com/office/drawing/2014/chart" uri="{C3380CC4-5D6E-409C-BE32-E72D297353CC}">
                    <c16:uniqueId val="{00000002-3B16-45B8-89BE-5AE640BDA9C0}"/>
                  </c:ext>
                </c:extLst>
              </c15:ser>
            </c15:filteredAreaSeries>
            <c15:filteredAreaSeries>
              <c15:ser>
                <c:idx val="3"/>
                <c:order val="1"/>
                <c:tx>
                  <c:strRef>
                    <c:extLst xmlns:c15="http://schemas.microsoft.com/office/drawing/2012/chart">
                      <c:ext xmlns:c15="http://schemas.microsoft.com/office/drawing/2012/chart" uri="{02D57815-91ED-43cb-92C2-25804820EDAC}">
                        <c15:formulaRef>
                          <c15:sqref>'Activity data'!$D$6:$F$6</c15:sqref>
                        </c15:formulaRef>
                      </c:ext>
                    </c:extLst>
                    <c:strCache>
                      <c:ptCount val="3"/>
                      <c:pt idx="0">
                        <c:v>Pasture</c:v>
                      </c:pt>
                      <c:pt idx="1">
                        <c:v>Population</c:v>
                      </c:pt>
                      <c:pt idx="2">
                        <c:v>Head</c:v>
                      </c:pt>
                    </c:strCache>
                  </c:strRef>
                </c:tx>
                <c:spPr>
                  <a:solidFill>
                    <a:schemeClr val="accent4"/>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data'!$G$6:$BP$6</c15:sqref>
                        </c15:formulaRef>
                      </c:ext>
                    </c:extLst>
                    <c:numCache>
                      <c:formatCode>#,##0</c:formatCode>
                      <c:ptCount val="62"/>
                      <c:pt idx="1">
                        <c:v>399733.85323917714</c:v>
                      </c:pt>
                      <c:pt idx="2">
                        <c:v>460197.49462695734</c:v>
                      </c:pt>
                      <c:pt idx="3">
                        <c:v>398130.37764814246</c:v>
                      </c:pt>
                      <c:pt idx="4">
                        <c:v>422254.57783236104</c:v>
                      </c:pt>
                      <c:pt idx="5">
                        <c:v>391716.47528400371</c:v>
                      </c:pt>
                      <c:pt idx="6">
                        <c:v>419047.62665029167</c:v>
                      </c:pt>
                      <c:pt idx="7">
                        <c:v>420651.10224132636</c:v>
                      </c:pt>
                      <c:pt idx="8">
                        <c:v>405535.19189438137</c:v>
                      </c:pt>
                      <c:pt idx="9">
                        <c:v>400724.76512127731</c:v>
                      </c:pt>
                      <c:pt idx="10">
                        <c:v>393626.23272950563</c:v>
                      </c:pt>
                      <c:pt idx="11">
                        <c:v>506842.41940435988</c:v>
                      </c:pt>
                      <c:pt idx="12">
                        <c:v>505238.9438133252</c:v>
                      </c:pt>
                      <c:pt idx="13">
                        <c:v>440577.43936137547</c:v>
                      </c:pt>
                      <c:pt idx="14">
                        <c:v>400724.76512127731</c:v>
                      </c:pt>
                      <c:pt idx="15">
                        <c:v>386906.04851089959</c:v>
                      </c:pt>
                      <c:pt idx="16">
                        <c:v>414237.19987718761</c:v>
                      </c:pt>
                      <c:pt idx="17">
                        <c:v>405228.91003991402</c:v>
                      </c:pt>
                      <c:pt idx="18">
                        <c:v>402328.24071231199</c:v>
                      </c:pt>
                      <c:pt idx="19">
                        <c:v>492717.42093951488</c:v>
                      </c:pt>
                      <c:pt idx="20">
                        <c:v>504932.66195885779</c:v>
                      </c:pt>
                      <c:pt idx="21">
                        <c:v>504932.66195885779</c:v>
                      </c:pt>
                      <c:pt idx="22">
                        <c:v>486609.80042984337</c:v>
                      </c:pt>
                      <c:pt idx="23">
                        <c:v>468593.22075529629</c:v>
                      </c:pt>
                      <c:pt idx="24">
                        <c:v>505238.9438133252</c:v>
                      </c:pt>
                      <c:pt idx="25">
                        <c:v>477601.51059256989</c:v>
                      </c:pt>
                      <c:pt idx="26">
                        <c:v>483402.84924777399</c:v>
                      </c:pt>
                      <c:pt idx="27">
                        <c:v>501419.42892232112</c:v>
                      </c:pt>
                      <c:pt idx="28">
                        <c:v>539362.34571691742</c:v>
                      </c:pt>
                      <c:pt idx="29">
                        <c:v>491504.07598622469</c:v>
                      </c:pt>
                      <c:pt idx="30">
                        <c:v>493245.54567553324</c:v>
                      </c:pt>
                      <c:pt idx="31">
                        <c:v>492270.00495272956</c:v>
                      </c:pt>
                      <c:pt idx="32">
                        <c:v>494436.35317609215</c:v>
                      </c:pt>
                      <c:pt idx="33">
                        <c:v>496575.08228912309</c:v>
                      </c:pt>
                      <c:pt idx="34">
                        <c:v>498720.01113060466</c:v>
                      </c:pt>
                      <c:pt idx="35">
                        <c:v>500841.16379183333</c:v>
                      </c:pt>
                      <c:pt idx="36">
                        <c:v>502989.89440074307</c:v>
                      </c:pt>
                      <c:pt idx="37">
                        <c:v>505387.7933759864</c:v>
                      </c:pt>
                      <c:pt idx="38">
                        <c:v>507778.38017576071</c:v>
                      </c:pt>
                      <c:pt idx="39">
                        <c:v>510206.29622235778</c:v>
                      </c:pt>
                      <c:pt idx="40">
                        <c:v>512661.9305645912</c:v>
                      </c:pt>
                      <c:pt idx="41">
                        <c:v>515147.81312229333</c:v>
                      </c:pt>
                      <c:pt idx="42">
                        <c:v>517757.0517578203</c:v>
                      </c:pt>
                      <c:pt idx="43">
                        <c:v>520316.56166238559</c:v>
                      </c:pt>
                      <c:pt idx="44">
                        <c:v>522988.23453978554</c:v>
                      </c:pt>
                      <c:pt idx="45">
                        <c:v>525738.31907296542</c:v>
                      </c:pt>
                      <c:pt idx="46">
                        <c:v>528571.05926398397</c:v>
                      </c:pt>
                      <c:pt idx="47">
                        <c:v>531502.50208109769</c:v>
                      </c:pt>
                      <c:pt idx="48">
                        <c:v>534490.79790684523</c:v>
                      </c:pt>
                      <c:pt idx="49">
                        <c:v>537500.21436691843</c:v>
                      </c:pt>
                      <c:pt idx="50">
                        <c:v>540567.02003277349</c:v>
                      </c:pt>
                      <c:pt idx="51">
                        <c:v>543723.32913280139</c:v>
                      </c:pt>
                      <c:pt idx="52">
                        <c:v>547170.84236030234</c:v>
                      </c:pt>
                      <c:pt idx="53">
                        <c:v>550687.06446802232</c:v>
                      </c:pt>
                      <c:pt idx="54">
                        <c:v>554268.07872591482</c:v>
                      </c:pt>
                      <c:pt idx="55">
                        <c:v>557923.55305236834</c:v>
                      </c:pt>
                      <c:pt idx="56">
                        <c:v>561691.81831870321</c:v>
                      </c:pt>
                      <c:pt idx="57">
                        <c:v>565491.05826509278</c:v>
                      </c:pt>
                      <c:pt idx="58">
                        <c:v>569387.54972303961</c:v>
                      </c:pt>
                      <c:pt idx="59">
                        <c:v>573308.42849552038</c:v>
                      </c:pt>
                      <c:pt idx="60">
                        <c:v>577335.37283680972</c:v>
                      </c:pt>
                      <c:pt idx="61">
                        <c:v>581477.23379947548</c:v>
                      </c:pt>
                    </c:numCache>
                  </c:numRef>
                </c:val>
                <c:extLst xmlns:c15="http://schemas.microsoft.com/office/drawing/2012/chart">
                  <c:ext xmlns:c16="http://schemas.microsoft.com/office/drawing/2014/chart" uri="{C3380CC4-5D6E-409C-BE32-E72D297353CC}">
                    <c16:uniqueId val="{00000003-3B16-45B8-89BE-5AE640BDA9C0}"/>
                  </c:ext>
                </c:extLst>
              </c15:ser>
            </c15:filteredAreaSeries>
            <c15:filteredAreaSeries>
              <c15:ser>
                <c:idx val="4"/>
                <c:order val="2"/>
                <c:tx>
                  <c:strRef>
                    <c:extLst xmlns:c15="http://schemas.microsoft.com/office/drawing/2012/chart">
                      <c:ext xmlns:c15="http://schemas.microsoft.com/office/drawing/2012/chart" uri="{02D57815-91ED-43cb-92C2-25804820EDAC}">
                        <c15:formulaRef>
                          <c15:sqref>'Activity data'!$D$7:$F$7</c15:sqref>
                        </c15:formulaRef>
                      </c:ext>
                    </c:extLst>
                    <c:strCache>
                      <c:ptCount val="3"/>
                      <c:pt idx="0">
                        <c:v>Non-lactating</c:v>
                      </c:pt>
                      <c:pt idx="1">
                        <c:v>Population</c:v>
                      </c:pt>
                      <c:pt idx="2">
                        <c:v>Head</c:v>
                      </c:pt>
                    </c:strCache>
                  </c:strRef>
                </c:tx>
                <c:spPr>
                  <a:solidFill>
                    <a:schemeClr val="accent5"/>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data'!$G$7:$BP$7</c15:sqref>
                        </c15:formulaRef>
                      </c:ext>
                    </c:extLst>
                    <c:numCache>
                      <c:formatCode>#,##0</c:formatCode>
                      <c:ptCount val="62"/>
                      <c:pt idx="1">
                        <c:v>585792.9</c:v>
                      </c:pt>
                      <c:pt idx="2">
                        <c:v>665847.14000000013</c:v>
                      </c:pt>
                      <c:pt idx="3">
                        <c:v>575959.50999999989</c:v>
                      </c:pt>
                      <c:pt idx="4">
                        <c:v>602759.85000000009</c:v>
                      </c:pt>
                      <c:pt idx="5">
                        <c:v>536625.95000000007</c:v>
                      </c:pt>
                      <c:pt idx="6">
                        <c:v>583093.06999999995</c:v>
                      </c:pt>
                      <c:pt idx="7">
                        <c:v>592926.46</c:v>
                      </c:pt>
                      <c:pt idx="8">
                        <c:v>572912.89999999991</c:v>
                      </c:pt>
                      <c:pt idx="9">
                        <c:v>543412.73</c:v>
                      </c:pt>
                      <c:pt idx="10">
                        <c:v>572566.12</c:v>
                      </c:pt>
                      <c:pt idx="11">
                        <c:v>709614.43</c:v>
                      </c:pt>
                      <c:pt idx="12">
                        <c:v>699781.04</c:v>
                      </c:pt>
                      <c:pt idx="13">
                        <c:v>642440.19000000006</c:v>
                      </c:pt>
                      <c:pt idx="14">
                        <c:v>543412.73</c:v>
                      </c:pt>
                      <c:pt idx="15">
                        <c:v>507125.77999999997</c:v>
                      </c:pt>
                      <c:pt idx="16">
                        <c:v>553592.9</c:v>
                      </c:pt>
                      <c:pt idx="17">
                        <c:v>546806.12</c:v>
                      </c:pt>
                      <c:pt idx="18">
                        <c:v>553246.12</c:v>
                      </c:pt>
                      <c:pt idx="19">
                        <c:v>647220.70000000019</c:v>
                      </c:pt>
                      <c:pt idx="20">
                        <c:v>673674.26</c:v>
                      </c:pt>
                      <c:pt idx="21">
                        <c:v>673674.26</c:v>
                      </c:pt>
                      <c:pt idx="22">
                        <c:v>633993.92000000016</c:v>
                      </c:pt>
                      <c:pt idx="23">
                        <c:v>620420.36</c:v>
                      </c:pt>
                      <c:pt idx="24">
                        <c:v>699781.04</c:v>
                      </c:pt>
                      <c:pt idx="25">
                        <c:v>627207.14</c:v>
                      </c:pt>
                      <c:pt idx="26">
                        <c:v>614327.14</c:v>
                      </c:pt>
                      <c:pt idx="27">
                        <c:v>627900.70000000007</c:v>
                      </c:pt>
                      <c:pt idx="28">
                        <c:v>690987.99</c:v>
                      </c:pt>
                      <c:pt idx="29">
                        <c:v>658511.57576473523</c:v>
                      </c:pt>
                      <c:pt idx="30">
                        <c:v>660402.61233112914</c:v>
                      </c:pt>
                      <c:pt idx="31">
                        <c:v>659343.2868716314</c:v>
                      </c:pt>
                      <c:pt idx="32">
                        <c:v>661695.69284864725</c:v>
                      </c:pt>
                      <c:pt idx="33">
                        <c:v>664018.10763610108</c:v>
                      </c:pt>
                      <c:pt idx="34">
                        <c:v>666347.25461836345</c:v>
                      </c:pt>
                      <c:pt idx="35">
                        <c:v>668650.58339285408</c:v>
                      </c:pt>
                      <c:pt idx="36">
                        <c:v>670983.8586589836</c:v>
                      </c:pt>
                      <c:pt idx="37">
                        <c:v>673587.70222430234</c:v>
                      </c:pt>
                      <c:pt idx="38">
                        <c:v>676183.60560480086</c:v>
                      </c:pt>
                      <c:pt idx="39">
                        <c:v>678820.04427062278</c:v>
                      </c:pt>
                      <c:pt idx="40">
                        <c:v>681486.58182988386</c:v>
                      </c:pt>
                      <c:pt idx="41">
                        <c:v>684185.96548567526</c:v>
                      </c:pt>
                      <c:pt idx="42">
                        <c:v>687019.29970936105</c:v>
                      </c:pt>
                      <c:pt idx="43">
                        <c:v>689798.63422852918</c:v>
                      </c:pt>
                      <c:pt idx="44">
                        <c:v>692699.76488594082</c:v>
                      </c:pt>
                      <c:pt idx="45">
                        <c:v>695686.04161808547</c:v>
                      </c:pt>
                      <c:pt idx="46">
                        <c:v>698762.07292497368</c:v>
                      </c:pt>
                      <c:pt idx="47">
                        <c:v>701945.28397566732</c:v>
                      </c:pt>
                      <c:pt idx="48">
                        <c:v>705190.23088021833</c:v>
                      </c:pt>
                      <c:pt idx="49">
                        <c:v>708458.11237390409</c:v>
                      </c:pt>
                      <c:pt idx="50">
                        <c:v>711788.3119701189</c:v>
                      </c:pt>
                      <c:pt idx="51">
                        <c:v>715215.70204164227</c:v>
                      </c:pt>
                      <c:pt idx="52">
                        <c:v>718959.30643301085</c:v>
                      </c:pt>
                      <c:pt idx="53">
                        <c:v>722777.52079647849</c:v>
                      </c:pt>
                      <c:pt idx="54">
                        <c:v>726666.09201194509</c:v>
                      </c:pt>
                      <c:pt idx="55">
                        <c:v>730635.51833114936</c:v>
                      </c:pt>
                      <c:pt idx="56">
                        <c:v>734727.42268886487</c:v>
                      </c:pt>
                      <c:pt idx="57">
                        <c:v>738852.96200042195</c:v>
                      </c:pt>
                      <c:pt idx="58">
                        <c:v>743084.10531164682</c:v>
                      </c:pt>
                      <c:pt idx="59">
                        <c:v>747341.73045245698</c:v>
                      </c:pt>
                      <c:pt idx="60">
                        <c:v>751714.53064930392</c:v>
                      </c:pt>
                      <c:pt idx="61">
                        <c:v>756212.11713123135</c:v>
                      </c:pt>
                    </c:numCache>
                  </c:numRef>
                </c:val>
                <c:extLst xmlns:c15="http://schemas.microsoft.com/office/drawing/2012/chart">
                  <c:ext xmlns:c16="http://schemas.microsoft.com/office/drawing/2014/chart" uri="{C3380CC4-5D6E-409C-BE32-E72D297353CC}">
                    <c16:uniqueId val="{00000004-3B16-45B8-89BE-5AE640BDA9C0}"/>
                  </c:ext>
                </c:extLst>
              </c15:ser>
            </c15:filteredAreaSeries>
            <c15:filteredAreaSeries>
              <c15:ser>
                <c:idx val="5"/>
                <c:order val="3"/>
                <c:tx>
                  <c:strRef>
                    <c:extLst xmlns:c15="http://schemas.microsoft.com/office/drawing/2012/chart">
                      <c:ext xmlns:c15="http://schemas.microsoft.com/office/drawing/2012/chart" uri="{02D57815-91ED-43cb-92C2-25804820EDAC}">
                        <c15:formulaRef>
                          <c15:sqref>'Activity data'!$D$8:$F$8</c15:sqref>
                        </c15:formulaRef>
                      </c:ext>
                    </c:extLst>
                    <c:strCache>
                      <c:ptCount val="3"/>
                      <c:pt idx="0">
                        <c:v>Commercial</c:v>
                      </c:pt>
                      <c:pt idx="1">
                        <c:v>Population</c:v>
                      </c:pt>
                      <c:pt idx="2">
                        <c:v>Head</c:v>
                      </c:pt>
                    </c:strCache>
                  </c:strRef>
                </c:tx>
                <c:spPr>
                  <a:solidFill>
                    <a:schemeClr val="accent6"/>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data'!$G$8:$BP$8</c15:sqref>
                        </c15:formulaRef>
                      </c:ext>
                    </c:extLst>
                    <c:numCache>
                      <c:formatCode>#,##0</c:formatCode>
                      <c:ptCount val="62"/>
                      <c:pt idx="1">
                        <c:v>6817100</c:v>
                      </c:pt>
                      <c:pt idx="2">
                        <c:v>6522860</c:v>
                      </c:pt>
                      <c:pt idx="3">
                        <c:v>6520490</c:v>
                      </c:pt>
                      <c:pt idx="4">
                        <c:v>6100150</c:v>
                      </c:pt>
                      <c:pt idx="5">
                        <c:v>6284050</c:v>
                      </c:pt>
                      <c:pt idx="6">
                        <c:v>6426930</c:v>
                      </c:pt>
                      <c:pt idx="7">
                        <c:v>6693540</c:v>
                      </c:pt>
                      <c:pt idx="8">
                        <c:v>6947100</c:v>
                      </c:pt>
                      <c:pt idx="9">
                        <c:v>7007270</c:v>
                      </c:pt>
                      <c:pt idx="10">
                        <c:v>6893880</c:v>
                      </c:pt>
                      <c:pt idx="11">
                        <c:v>6425570</c:v>
                      </c:pt>
                      <c:pt idx="12">
                        <c:v>6458960</c:v>
                      </c:pt>
                      <c:pt idx="13">
                        <c:v>6019810</c:v>
                      </c:pt>
                      <c:pt idx="14">
                        <c:v>6177270</c:v>
                      </c:pt>
                      <c:pt idx="15">
                        <c:v>6234220</c:v>
                      </c:pt>
                      <c:pt idx="16">
                        <c:v>6287100</c:v>
                      </c:pt>
                      <c:pt idx="17">
                        <c:v>6143880</c:v>
                      </c:pt>
                      <c:pt idx="18">
                        <c:v>6323880</c:v>
                      </c:pt>
                      <c:pt idx="19">
                        <c:v>6148152.25</c:v>
                      </c:pt>
                      <c:pt idx="20">
                        <c:v>6044920.583333333</c:v>
                      </c:pt>
                      <c:pt idx="21">
                        <c:v>6025917.666666667</c:v>
                      </c:pt>
                      <c:pt idx="22">
                        <c:v>6004279.833333333</c:v>
                      </c:pt>
                      <c:pt idx="23">
                        <c:v>7105366.333333334</c:v>
                      </c:pt>
                      <c:pt idx="24">
                        <c:v>5896311</c:v>
                      </c:pt>
                      <c:pt idx="25">
                        <c:v>6031835</c:v>
                      </c:pt>
                      <c:pt idx="26">
                        <c:v>5893460</c:v>
                      </c:pt>
                      <c:pt idx="27">
                        <c:v>5611164</c:v>
                      </c:pt>
                      <c:pt idx="28">
                        <c:v>5220425</c:v>
                      </c:pt>
                      <c:pt idx="29">
                        <c:v>5849245.1823920868</c:v>
                      </c:pt>
                      <c:pt idx="30">
                        <c:v>5831482.41232026</c:v>
                      </c:pt>
                      <c:pt idx="31">
                        <c:v>5839518.3563064057</c:v>
                      </c:pt>
                      <c:pt idx="32">
                        <c:v>5817704.5572581347</c:v>
                      </c:pt>
                      <c:pt idx="33">
                        <c:v>5796153.0088030808</c:v>
                      </c:pt>
                      <c:pt idx="34">
                        <c:v>5774542.5923286723</c:v>
                      </c:pt>
                      <c:pt idx="35">
                        <c:v>5753157.9368130723</c:v>
                      </c:pt>
                      <c:pt idx="36">
                        <c:v>5731511.4215542283</c:v>
                      </c:pt>
                      <c:pt idx="37">
                        <c:v>5707395.2675645482</c:v>
                      </c:pt>
                      <c:pt idx="38">
                        <c:v>5683348.5445653517</c:v>
                      </c:pt>
                      <c:pt idx="39">
                        <c:v>5658947.3707475308</c:v>
                      </c:pt>
                      <c:pt idx="40">
                        <c:v>5634283.0045694206</c:v>
                      </c:pt>
                      <c:pt idx="41">
                        <c:v>5609331.4237902323</c:v>
                      </c:pt>
                      <c:pt idx="42">
                        <c:v>5583254.2925702808</c:v>
                      </c:pt>
                      <c:pt idx="43">
                        <c:v>5557649.3484892547</c:v>
                      </c:pt>
                      <c:pt idx="44">
                        <c:v>5530979.3880529245</c:v>
                      </c:pt>
                      <c:pt idx="45">
                        <c:v>5503564.8887606207</c:v>
                      </c:pt>
                      <c:pt idx="46">
                        <c:v>5475365.5526961256</c:v>
                      </c:pt>
                      <c:pt idx="47">
                        <c:v>5446177.8323301179</c:v>
                      </c:pt>
                      <c:pt idx="48">
                        <c:v>5416450.2779956646</c:v>
                      </c:pt>
                      <c:pt idx="49">
                        <c:v>5386522.1778182937</c:v>
                      </c:pt>
                      <c:pt idx="50">
                        <c:v>5356049.1523194155</c:v>
                      </c:pt>
                      <c:pt idx="51">
                        <c:v>5324726.2686473271</c:v>
                      </c:pt>
                      <c:pt idx="52">
                        <c:v>5290446.8508591615</c:v>
                      </c:pt>
                      <c:pt idx="53">
                        <c:v>5255515.0245694593</c:v>
                      </c:pt>
                      <c:pt idx="54">
                        <c:v>5219967.9800934605</c:v>
                      </c:pt>
                      <c:pt idx="55">
                        <c:v>5183713.9180775303</c:v>
                      </c:pt>
                      <c:pt idx="56">
                        <c:v>5146388.8770203134</c:v>
                      </c:pt>
                      <c:pt idx="57">
                        <c:v>5108824.2313753776</c:v>
                      </c:pt>
                      <c:pt idx="58">
                        <c:v>5070336.157565726</c:v>
                      </c:pt>
                      <c:pt idx="59">
                        <c:v>5031616.5198968137</c:v>
                      </c:pt>
                      <c:pt idx="60">
                        <c:v>4991889.7623410886</c:v>
                      </c:pt>
                      <c:pt idx="61">
                        <c:v>4951071.8418504782</c:v>
                      </c:pt>
                    </c:numCache>
                  </c:numRef>
                </c:val>
                <c:extLst xmlns:c15="http://schemas.microsoft.com/office/drawing/2012/chart">
                  <c:ext xmlns:c16="http://schemas.microsoft.com/office/drawing/2014/chart" uri="{C3380CC4-5D6E-409C-BE32-E72D297353CC}">
                    <c16:uniqueId val="{00000005-3B16-45B8-89BE-5AE640BDA9C0}"/>
                  </c:ext>
                </c:extLst>
              </c15:ser>
            </c15:filteredAreaSeries>
            <c15:filteredAreaSeries>
              <c15:ser>
                <c:idx val="6"/>
                <c:order val="4"/>
                <c:tx>
                  <c:strRef>
                    <c:extLst xmlns:c15="http://schemas.microsoft.com/office/drawing/2012/chart">
                      <c:ext xmlns:c15="http://schemas.microsoft.com/office/drawing/2012/chart" uri="{02D57815-91ED-43cb-92C2-25804820EDAC}">
                        <c15:formulaRef>
                          <c15:sqref>'Activity data'!$D$9:$F$9</c15:sqref>
                        </c15:formulaRef>
                      </c:ext>
                    </c:extLst>
                    <c:strCache>
                      <c:ptCount val="3"/>
                      <c:pt idx="0">
                        <c:v>Subsistence</c:v>
                      </c:pt>
                      <c:pt idx="1">
                        <c:v>Population</c:v>
                      </c:pt>
                      <c:pt idx="2">
                        <c:v>Head</c:v>
                      </c:pt>
                    </c:strCache>
                  </c:strRef>
                </c:tx>
                <c:spPr>
                  <a:solidFill>
                    <a:schemeClr val="accent1">
                      <a:lumMod val="6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data'!$G$9:$BP$9</c15:sqref>
                        </c15:formulaRef>
                      </c:ext>
                    </c:extLst>
                    <c:numCache>
                      <c:formatCode>#,##0</c:formatCode>
                      <c:ptCount val="62"/>
                      <c:pt idx="1">
                        <c:v>5689999.9999999991</c:v>
                      </c:pt>
                      <c:pt idx="2">
                        <c:v>6130000</c:v>
                      </c:pt>
                      <c:pt idx="3">
                        <c:v>6190000</c:v>
                      </c:pt>
                      <c:pt idx="4">
                        <c:v>6189999.9999999991</c:v>
                      </c:pt>
                      <c:pt idx="5">
                        <c:v>5440000</c:v>
                      </c:pt>
                      <c:pt idx="6">
                        <c:v>5369999.9999999991</c:v>
                      </c:pt>
                      <c:pt idx="7">
                        <c:v>5500000</c:v>
                      </c:pt>
                      <c:pt idx="8">
                        <c:v>5659999.9999999991</c:v>
                      </c:pt>
                      <c:pt idx="9">
                        <c:v>5910000.0000000009</c:v>
                      </c:pt>
                      <c:pt idx="10">
                        <c:v>6119999.9999999991</c:v>
                      </c:pt>
                      <c:pt idx="11">
                        <c:v>6290000</c:v>
                      </c:pt>
                      <c:pt idx="12">
                        <c:v>6160000</c:v>
                      </c:pt>
                      <c:pt idx="13">
                        <c:v>6650000</c:v>
                      </c:pt>
                      <c:pt idx="14">
                        <c:v>6640000.0000000009</c:v>
                      </c:pt>
                      <c:pt idx="15">
                        <c:v>6500000.0000000009</c:v>
                      </c:pt>
                      <c:pt idx="16">
                        <c:v>6419999.9999999991</c:v>
                      </c:pt>
                      <c:pt idx="17">
                        <c:v>6570000</c:v>
                      </c:pt>
                      <c:pt idx="18">
                        <c:v>6789999.9999999991</c:v>
                      </c:pt>
                      <c:pt idx="19">
                        <c:v>6920000</c:v>
                      </c:pt>
                      <c:pt idx="20">
                        <c:v>6900000.0000000009</c:v>
                      </c:pt>
                      <c:pt idx="21">
                        <c:v>6820000</c:v>
                      </c:pt>
                      <c:pt idx="22">
                        <c:v>6800000</c:v>
                      </c:pt>
                      <c:pt idx="23">
                        <c:v>5890000</c:v>
                      </c:pt>
                      <c:pt idx="24">
                        <c:v>7040000</c:v>
                      </c:pt>
                      <c:pt idx="25">
                        <c:v>6919999.9999999991</c:v>
                      </c:pt>
                      <c:pt idx="26">
                        <c:v>6840000</c:v>
                      </c:pt>
                      <c:pt idx="27">
                        <c:v>6780000.0000000009</c:v>
                      </c:pt>
                      <c:pt idx="28">
                        <c:v>6710000</c:v>
                      </c:pt>
                      <c:pt idx="29">
                        <c:v>6968852.0306321168</c:v>
                      </c:pt>
                      <c:pt idx="30">
                        <c:v>7657171.7893759999</c:v>
                      </c:pt>
                      <c:pt idx="31">
                        <c:v>7710566.8468699995</c:v>
                      </c:pt>
                      <c:pt idx="32">
                        <c:v>7764688.4990419997</c:v>
                      </c:pt>
                      <c:pt idx="33">
                        <c:v>7818810.1502149999</c:v>
                      </c:pt>
                      <c:pt idx="34">
                        <c:v>7872931.8013880001</c:v>
                      </c:pt>
                      <c:pt idx="35">
                        <c:v>7927053.4525610004</c:v>
                      </c:pt>
                      <c:pt idx="36">
                        <c:v>7981175.1047329996</c:v>
                      </c:pt>
                      <c:pt idx="37">
                        <c:v>8039810.1080360003</c:v>
                      </c:pt>
                      <c:pt idx="38">
                        <c:v>8098445.1113390001</c:v>
                      </c:pt>
                      <c:pt idx="39">
                        <c:v>8157080.1146419998</c:v>
                      </c:pt>
                      <c:pt idx="40">
                        <c:v>8215715.1179449996</c:v>
                      </c:pt>
                      <c:pt idx="41">
                        <c:v>8274350.1212480003</c:v>
                      </c:pt>
                      <c:pt idx="42">
                        <c:v>8330994.4582099998</c:v>
                      </c:pt>
                      <c:pt idx="43">
                        <c:v>8387638.7941729994</c:v>
                      </c:pt>
                      <c:pt idx="44">
                        <c:v>8444283.1311349999</c:v>
                      </c:pt>
                      <c:pt idx="45">
                        <c:v>8500927.4670980014</c:v>
                      </c:pt>
                      <c:pt idx="46">
                        <c:v>8557571.803061001</c:v>
                      </c:pt>
                      <c:pt idx="47">
                        <c:v>8616443.0938400012</c:v>
                      </c:pt>
                      <c:pt idx="48">
                        <c:v>8675314.3846190013</c:v>
                      </c:pt>
                      <c:pt idx="49">
                        <c:v>8734185.6743989997</c:v>
                      </c:pt>
                      <c:pt idx="50">
                        <c:v>8793056.9651779998</c:v>
                      </c:pt>
                      <c:pt idx="51">
                        <c:v>8851928.255957</c:v>
                      </c:pt>
                      <c:pt idx="52">
                        <c:v>8919131.5034389999</c:v>
                      </c:pt>
                      <c:pt idx="53">
                        <c:v>8986334.7499219999</c:v>
                      </c:pt>
                      <c:pt idx="54">
                        <c:v>9053537.9974040017</c:v>
                      </c:pt>
                      <c:pt idx="55">
                        <c:v>9120741.2448859997</c:v>
                      </c:pt>
                      <c:pt idx="56">
                        <c:v>9187944.4923679996</c:v>
                      </c:pt>
                      <c:pt idx="57">
                        <c:v>9252775.8581060022</c:v>
                      </c:pt>
                      <c:pt idx="58">
                        <c:v>9317607.2238439992</c:v>
                      </c:pt>
                      <c:pt idx="59">
                        <c:v>9382438.5905810017</c:v>
                      </c:pt>
                      <c:pt idx="60">
                        <c:v>9447269.9563190006</c:v>
                      </c:pt>
                      <c:pt idx="61">
                        <c:v>9512101.3220570013</c:v>
                      </c:pt>
                    </c:numCache>
                  </c:numRef>
                </c:val>
                <c:extLst xmlns:c15="http://schemas.microsoft.com/office/drawing/2012/chart">
                  <c:ext xmlns:c16="http://schemas.microsoft.com/office/drawing/2014/chart" uri="{C3380CC4-5D6E-409C-BE32-E72D297353CC}">
                    <c16:uniqueId val="{00000006-3B16-45B8-89BE-5AE640BDA9C0}"/>
                  </c:ext>
                </c:extLst>
              </c15:ser>
            </c15:filteredAreaSeries>
            <c15:filteredAreaSeries>
              <c15:ser>
                <c:idx val="7"/>
                <c:order val="5"/>
                <c:tx>
                  <c:strRef>
                    <c:extLst xmlns:c15="http://schemas.microsoft.com/office/drawing/2012/chart">
                      <c:ext xmlns:c15="http://schemas.microsoft.com/office/drawing/2012/chart" uri="{02D57815-91ED-43cb-92C2-25804820EDAC}">
                        <c15:formulaRef>
                          <c15:sqref>'Activity data'!$D$10:$F$10</c15:sqref>
                        </c15:formulaRef>
                      </c:ext>
                    </c:extLst>
                    <c:strCache>
                      <c:ptCount val="3"/>
                      <c:pt idx="0">
                        <c:v>Feedlot</c:v>
                      </c:pt>
                      <c:pt idx="1">
                        <c:v>Population</c:v>
                      </c:pt>
                      <c:pt idx="2">
                        <c:v>Head</c:v>
                      </c:pt>
                    </c:strCache>
                  </c:strRef>
                </c:tx>
                <c:spPr>
                  <a:solidFill>
                    <a:schemeClr val="accent2">
                      <a:lumMod val="6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data'!$G$10:$BP$10</c15:sqref>
                        </c15:formulaRef>
                      </c:ext>
                    </c:extLst>
                    <c:numCache>
                      <c:formatCode>#,##0</c:formatCode>
                      <c:ptCount val="62"/>
                      <c:pt idx="1">
                        <c:v>420000</c:v>
                      </c:pt>
                      <c:pt idx="2">
                        <c:v>420000</c:v>
                      </c:pt>
                      <c:pt idx="3">
                        <c:v>420000</c:v>
                      </c:pt>
                      <c:pt idx="4">
                        <c:v>420000</c:v>
                      </c:pt>
                      <c:pt idx="5">
                        <c:v>420000</c:v>
                      </c:pt>
                      <c:pt idx="6">
                        <c:v>420000</c:v>
                      </c:pt>
                      <c:pt idx="7">
                        <c:v>420000</c:v>
                      </c:pt>
                      <c:pt idx="8">
                        <c:v>420000</c:v>
                      </c:pt>
                      <c:pt idx="9">
                        <c:v>420000</c:v>
                      </c:pt>
                      <c:pt idx="10">
                        <c:v>420000</c:v>
                      </c:pt>
                      <c:pt idx="11">
                        <c:v>420000</c:v>
                      </c:pt>
                      <c:pt idx="12">
                        <c:v>420000</c:v>
                      </c:pt>
                      <c:pt idx="13">
                        <c:v>420000</c:v>
                      </c:pt>
                      <c:pt idx="14">
                        <c:v>420000</c:v>
                      </c:pt>
                      <c:pt idx="15">
                        <c:v>420000</c:v>
                      </c:pt>
                      <c:pt idx="16">
                        <c:v>420000</c:v>
                      </c:pt>
                      <c:pt idx="17">
                        <c:v>420000</c:v>
                      </c:pt>
                      <c:pt idx="18">
                        <c:v>420000</c:v>
                      </c:pt>
                      <c:pt idx="19">
                        <c:v>391147.75</c:v>
                      </c:pt>
                      <c:pt idx="20">
                        <c:v>400819.41666666669</c:v>
                      </c:pt>
                      <c:pt idx="21">
                        <c:v>399822.33333333331</c:v>
                      </c:pt>
                      <c:pt idx="22">
                        <c:v>461800.16666666669</c:v>
                      </c:pt>
                      <c:pt idx="23">
                        <c:v>484273.66666666669</c:v>
                      </c:pt>
                      <c:pt idx="24">
                        <c:v>502649</c:v>
                      </c:pt>
                      <c:pt idx="25">
                        <c:v>521025</c:v>
                      </c:pt>
                      <c:pt idx="26">
                        <c:v>539400</c:v>
                      </c:pt>
                      <c:pt idx="27">
                        <c:v>568136</c:v>
                      </c:pt>
                      <c:pt idx="28">
                        <c:v>591585</c:v>
                      </c:pt>
                      <c:pt idx="29">
                        <c:v>527434.20879437565</c:v>
                      </c:pt>
                      <c:pt idx="30">
                        <c:v>533470.47829862661</c:v>
                      </c:pt>
                      <c:pt idx="31">
                        <c:v>530739.64727253723</c:v>
                      </c:pt>
                      <c:pt idx="32">
                        <c:v>538152.56594651029</c:v>
                      </c:pt>
                      <c:pt idx="33">
                        <c:v>545476.36477870704</c:v>
                      </c:pt>
                      <c:pt idx="34">
                        <c:v>552820.16855543526</c:v>
                      </c:pt>
                      <c:pt idx="35">
                        <c:v>560087.25265469239</c:v>
                      </c:pt>
                      <c:pt idx="36">
                        <c:v>567443.3237743373</c:v>
                      </c:pt>
                      <c:pt idx="37">
                        <c:v>575638.64490381675</c:v>
                      </c:pt>
                      <c:pt idx="38">
                        <c:v>583810.37150559505</c:v>
                      </c:pt>
                      <c:pt idx="39">
                        <c:v>592102.55007846607</c:v>
                      </c:pt>
                      <c:pt idx="40">
                        <c:v>600484.16853102599</c:v>
                      </c:pt>
                      <c:pt idx="41">
                        <c:v>608963.39027015981</c:v>
                      </c:pt>
                      <c:pt idx="42">
                        <c:v>617825.1044794207</c:v>
                      </c:pt>
                      <c:pt idx="43">
                        <c:v>626526.35673283436</c:v>
                      </c:pt>
                      <c:pt idx="44">
                        <c:v>635589.53033753787</c:v>
                      </c:pt>
                      <c:pt idx="45">
                        <c:v>644905.71837483649</c:v>
                      </c:pt>
                      <c:pt idx="46">
                        <c:v>654488.61516615492</c:v>
                      </c:pt>
                      <c:pt idx="47">
                        <c:v>664407.39166506263</c:v>
                      </c:pt>
                      <c:pt idx="48">
                        <c:v>674509.61834138678</c:v>
                      </c:pt>
                      <c:pt idx="49">
                        <c:v>684679.99591708742</c:v>
                      </c:pt>
                      <c:pt idx="50">
                        <c:v>695035.55384962424</c:v>
                      </c:pt>
                      <c:pt idx="51">
                        <c:v>705679.91656616447</c:v>
                      </c:pt>
                      <c:pt idx="52">
                        <c:v>717328.98950813594</c:v>
                      </c:pt>
                      <c:pt idx="53">
                        <c:v>729199.76849743119</c:v>
                      </c:pt>
                      <c:pt idx="54">
                        <c:v>741279.61525945435</c:v>
                      </c:pt>
                      <c:pt idx="55">
                        <c:v>753599.72569645639</c:v>
                      </c:pt>
                      <c:pt idx="56">
                        <c:v>766283.78376665246</c:v>
                      </c:pt>
                      <c:pt idx="57">
                        <c:v>779049.26595369983</c:v>
                      </c:pt>
                      <c:pt idx="58">
                        <c:v>792128.5539969001</c:v>
                      </c:pt>
                      <c:pt idx="59">
                        <c:v>805286.53370003216</c:v>
                      </c:pt>
                      <c:pt idx="60">
                        <c:v>818786.75996917323</c:v>
                      </c:pt>
                      <c:pt idx="61">
                        <c:v>832657.7929042445</c:v>
                      </c:pt>
                    </c:numCache>
                  </c:numRef>
                </c:val>
                <c:extLst xmlns:c15="http://schemas.microsoft.com/office/drawing/2012/chart">
                  <c:ext xmlns:c16="http://schemas.microsoft.com/office/drawing/2014/chart" uri="{C3380CC4-5D6E-409C-BE32-E72D297353CC}">
                    <c16:uniqueId val="{00000007-3B16-45B8-89BE-5AE640BDA9C0}"/>
                  </c:ext>
                </c:extLst>
              </c15:ser>
            </c15:filteredAreaSeries>
            <c15:filteredAreaSeries>
              <c15:ser>
                <c:idx val="8"/>
                <c:order val="6"/>
                <c:tx>
                  <c:strRef>
                    <c:extLst xmlns:c15="http://schemas.microsoft.com/office/drawing/2012/chart">
                      <c:ext xmlns:c15="http://schemas.microsoft.com/office/drawing/2012/chart" uri="{02D57815-91ED-43cb-92C2-25804820EDAC}">
                        <c15:formulaRef>
                          <c15:sqref>'Activity data'!$D$11:$F$11</c15:sqref>
                        </c15:formulaRef>
                      </c:ext>
                    </c:extLst>
                    <c:strCache>
                      <c:ptCount val="3"/>
                      <c:pt idx="0">
                        <c:v>Commercial</c:v>
                      </c:pt>
                      <c:pt idx="1">
                        <c:v>Population</c:v>
                      </c:pt>
                      <c:pt idx="2">
                        <c:v>Head</c:v>
                      </c:pt>
                    </c:strCache>
                  </c:strRef>
                </c:tx>
                <c:spPr>
                  <a:solidFill>
                    <a:schemeClr val="accent3">
                      <a:lumMod val="6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data'!$G$11:$BP$11</c15:sqref>
                        </c15:formulaRef>
                      </c:ext>
                    </c:extLst>
                    <c:numCache>
                      <c:formatCode>#,##0</c:formatCode>
                      <c:ptCount val="62"/>
                      <c:pt idx="1">
                        <c:v>29979000</c:v>
                      </c:pt>
                      <c:pt idx="2">
                        <c:v>28631000</c:v>
                      </c:pt>
                      <c:pt idx="3">
                        <c:v>27448000</c:v>
                      </c:pt>
                      <c:pt idx="4">
                        <c:v>25670000</c:v>
                      </c:pt>
                      <c:pt idx="5">
                        <c:v>25851000</c:v>
                      </c:pt>
                      <c:pt idx="6">
                        <c:v>25481000</c:v>
                      </c:pt>
                      <c:pt idx="7">
                        <c:v>25566000</c:v>
                      </c:pt>
                      <c:pt idx="8">
                        <c:v>25010000</c:v>
                      </c:pt>
                      <c:pt idx="9">
                        <c:v>25079000</c:v>
                      </c:pt>
                      <c:pt idx="10">
                        <c:v>24463000</c:v>
                      </c:pt>
                      <c:pt idx="11">
                        <c:v>23586000</c:v>
                      </c:pt>
                      <c:pt idx="12">
                        <c:v>22998000</c:v>
                      </c:pt>
                      <c:pt idx="13">
                        <c:v>22614000</c:v>
                      </c:pt>
                      <c:pt idx="14">
                        <c:v>22693000</c:v>
                      </c:pt>
                      <c:pt idx="15">
                        <c:v>22289000</c:v>
                      </c:pt>
                      <c:pt idx="16">
                        <c:v>22236000</c:v>
                      </c:pt>
                      <c:pt idx="17">
                        <c:v>21945000</c:v>
                      </c:pt>
                      <c:pt idx="18">
                        <c:v>21924000</c:v>
                      </c:pt>
                      <c:pt idx="19">
                        <c:v>21995000</c:v>
                      </c:pt>
                      <c:pt idx="20">
                        <c:v>21917000</c:v>
                      </c:pt>
                      <c:pt idx="21">
                        <c:v>21493000</c:v>
                      </c:pt>
                      <c:pt idx="22">
                        <c:v>21325000</c:v>
                      </c:pt>
                      <c:pt idx="23">
                        <c:v>21427000</c:v>
                      </c:pt>
                      <c:pt idx="24">
                        <c:v>21589000</c:v>
                      </c:pt>
                      <c:pt idx="25">
                        <c:v>21202000</c:v>
                      </c:pt>
                      <c:pt idx="26">
                        <c:v>21033000</c:v>
                      </c:pt>
                      <c:pt idx="27">
                        <c:v>20438000</c:v>
                      </c:pt>
                      <c:pt idx="28">
                        <c:v>19942000</c:v>
                      </c:pt>
                      <c:pt idx="29">
                        <c:v>21207783.047059998</c:v>
                      </c:pt>
                      <c:pt idx="30">
                        <c:v>21141492.327575732</c:v>
                      </c:pt>
                      <c:pt idx="31">
                        <c:v>20921328.674036346</c:v>
                      </c:pt>
                      <c:pt idx="32">
                        <c:v>20876856.019817524</c:v>
                      </c:pt>
                      <c:pt idx="33">
                        <c:v>20830819.210695058</c:v>
                      </c:pt>
                      <c:pt idx="34">
                        <c:v>20785133.511896931</c:v>
                      </c:pt>
                      <c:pt idx="35">
                        <c:v>20738101.292452507</c:v>
                      </c:pt>
                      <c:pt idx="36">
                        <c:v>20692630.896740012</c:v>
                      </c:pt>
                      <c:pt idx="37">
                        <c:v>20647331.785856321</c:v>
                      </c:pt>
                      <c:pt idx="38">
                        <c:v>20601618.563238379</c:v>
                      </c:pt>
                      <c:pt idx="39">
                        <c:v>20558019.414497044</c:v>
                      </c:pt>
                      <c:pt idx="40">
                        <c:v>20515990.040923864</c:v>
                      </c:pt>
                      <c:pt idx="41">
                        <c:v>20475673.71991881</c:v>
                      </c:pt>
                      <c:pt idx="42">
                        <c:v>20448491.806777064</c:v>
                      </c:pt>
                      <c:pt idx="43">
                        <c:v>20418493.600652982</c:v>
                      </c:pt>
                      <c:pt idx="44">
                        <c:v>20394847.53703896</c:v>
                      </c:pt>
                      <c:pt idx="45">
                        <c:v>20375642.177762516</c:v>
                      </c:pt>
                      <c:pt idx="46">
                        <c:v>20361117.871061813</c:v>
                      </c:pt>
                      <c:pt idx="47">
                        <c:v>20345305.247293431</c:v>
                      </c:pt>
                      <c:pt idx="48">
                        <c:v>20332712.390077788</c:v>
                      </c:pt>
                      <c:pt idx="49">
                        <c:v>20321315.664589006</c:v>
                      </c:pt>
                      <c:pt idx="50">
                        <c:v>20313169.069115937</c:v>
                      </c:pt>
                      <c:pt idx="51">
                        <c:v>20310091.337554023</c:v>
                      </c:pt>
                      <c:pt idx="52">
                        <c:v>20297771.385298237</c:v>
                      </c:pt>
                      <c:pt idx="53">
                        <c:v>20289342.638365455</c:v>
                      </c:pt>
                      <c:pt idx="54">
                        <c:v>20284583.273715131</c:v>
                      </c:pt>
                      <c:pt idx="55">
                        <c:v>20284040.819374885</c:v>
                      </c:pt>
                      <c:pt idx="56">
                        <c:v>20289886.074399699</c:v>
                      </c:pt>
                      <c:pt idx="57">
                        <c:v>20304811.304958671</c:v>
                      </c:pt>
                      <c:pt idx="58">
                        <c:v>20325244.19767379</c:v>
                      </c:pt>
                      <c:pt idx="59">
                        <c:v>20347058.218426161</c:v>
                      </c:pt>
                      <c:pt idx="60">
                        <c:v>20374879.072492622</c:v>
                      </c:pt>
                      <c:pt idx="61">
                        <c:v>20409208.020022407</c:v>
                      </c:pt>
                    </c:numCache>
                  </c:numRef>
                </c:val>
                <c:extLst xmlns:c15="http://schemas.microsoft.com/office/drawing/2012/chart">
                  <c:ext xmlns:c16="http://schemas.microsoft.com/office/drawing/2014/chart" uri="{C3380CC4-5D6E-409C-BE32-E72D297353CC}">
                    <c16:uniqueId val="{00000008-3B16-45B8-89BE-5AE640BDA9C0}"/>
                  </c:ext>
                </c:extLst>
              </c15:ser>
            </c15:filteredAreaSeries>
            <c15:filteredAreaSeries>
              <c15:ser>
                <c:idx val="9"/>
                <c:order val="7"/>
                <c:tx>
                  <c:strRef>
                    <c:extLst xmlns:c15="http://schemas.microsoft.com/office/drawing/2012/chart">
                      <c:ext xmlns:c15="http://schemas.microsoft.com/office/drawing/2012/chart" uri="{02D57815-91ED-43cb-92C2-25804820EDAC}">
                        <c15:formulaRef>
                          <c15:sqref>'Activity data'!$D$12:$F$12</c15:sqref>
                        </c15:formulaRef>
                      </c:ext>
                    </c:extLst>
                    <c:strCache>
                      <c:ptCount val="3"/>
                      <c:pt idx="0">
                        <c:v>Subsistence</c:v>
                      </c:pt>
                      <c:pt idx="1">
                        <c:v>Population</c:v>
                      </c:pt>
                      <c:pt idx="2">
                        <c:v>Head</c:v>
                      </c:pt>
                    </c:strCache>
                  </c:strRef>
                </c:tx>
                <c:spPr>
                  <a:solidFill>
                    <a:schemeClr val="accent4">
                      <a:lumMod val="6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data'!$G$12:$BP$12</c15:sqref>
                        </c15:formulaRef>
                      </c:ext>
                    </c:extLst>
                    <c:numCache>
                      <c:formatCode>#,##0</c:formatCode>
                      <c:ptCount val="62"/>
                      <c:pt idx="1">
                        <c:v>4183862.7657327019</c:v>
                      </c:pt>
                      <c:pt idx="2">
                        <c:v>3995736.1768468926</c:v>
                      </c:pt>
                      <c:pt idx="3">
                        <c:v>3830636.9523276691</c:v>
                      </c:pt>
                      <c:pt idx="4">
                        <c:v>3582499.6563046952</c:v>
                      </c:pt>
                      <c:pt idx="5">
                        <c:v>3607759.9772159201</c:v>
                      </c:pt>
                      <c:pt idx="6">
                        <c:v>3556122.8571211509</c:v>
                      </c:pt>
                      <c:pt idx="7">
                        <c:v>3567985.4387645437</c:v>
                      </c:pt>
                      <c:pt idx="8">
                        <c:v>3490390.1988383494</c:v>
                      </c:pt>
                      <c:pt idx="9">
                        <c:v>3500019.8239371148</c:v>
                      </c:pt>
                      <c:pt idx="10">
                        <c:v>3414050.996968525</c:v>
                      </c:pt>
                      <c:pt idx="11">
                        <c:v>3291657.0663655167</c:v>
                      </c:pt>
                      <c:pt idx="12">
                        <c:v>3209595.9133500443</c:v>
                      </c:pt>
                      <c:pt idx="13">
                        <c:v>3156004.9562787157</c:v>
                      </c:pt>
                      <c:pt idx="14">
                        <c:v>3167030.1792178694</c:v>
                      </c:pt>
                      <c:pt idx="15">
                        <c:v>3110648.0264657419</c:v>
                      </c:pt>
                      <c:pt idx="16">
                        <c:v>3103251.3579116268</c:v>
                      </c:pt>
                      <c:pt idx="17">
                        <c:v>3062639.4607560104</c:v>
                      </c:pt>
                      <c:pt idx="18">
                        <c:v>3059708.705291172</c:v>
                      </c:pt>
                      <c:pt idx="19">
                        <c:v>3069617.4499580064</c:v>
                      </c:pt>
                      <c:pt idx="20">
                        <c:v>3058731.7868028926</c:v>
                      </c:pt>
                      <c:pt idx="21">
                        <c:v>2999558.4383699675</c:v>
                      </c:pt>
                      <c:pt idx="22">
                        <c:v>2976112.3946512612</c:v>
                      </c:pt>
                      <c:pt idx="23">
                        <c:v>2990347.4926233329</c:v>
                      </c:pt>
                      <c:pt idx="24">
                        <c:v>3012956.1776377996</c:v>
                      </c:pt>
                      <c:pt idx="25">
                        <c:v>2958946.5412143511</c:v>
                      </c:pt>
                      <c:pt idx="26">
                        <c:v>2935360.9377116049</c:v>
                      </c:pt>
                      <c:pt idx="27">
                        <c:v>2852322.8662078534</c:v>
                      </c:pt>
                      <c:pt idx="28">
                        <c:v>2783101.2133240541</c:v>
                      </c:pt>
                      <c:pt idx="29">
                        <c:v>2969089.6265884</c:v>
                      </c:pt>
                      <c:pt idx="30">
                        <c:v>2959808.9258606029</c:v>
                      </c:pt>
                      <c:pt idx="31">
                        <c:v>2928986.0143650887</c:v>
                      </c:pt>
                      <c:pt idx="32">
                        <c:v>2922759.8427744536</c:v>
                      </c:pt>
                      <c:pt idx="33">
                        <c:v>2916314.6894973083</c:v>
                      </c:pt>
                      <c:pt idx="34">
                        <c:v>2909918.6916655707</c:v>
                      </c:pt>
                      <c:pt idx="35">
                        <c:v>2903334.1809433512</c:v>
                      </c:pt>
                      <c:pt idx="36">
                        <c:v>2896968.325543602</c:v>
                      </c:pt>
                      <c:pt idx="37">
                        <c:v>2890626.4500198853</c:v>
                      </c:pt>
                      <c:pt idx="38">
                        <c:v>2884226.5988533734</c:v>
                      </c:pt>
                      <c:pt idx="39">
                        <c:v>2878122.7180295866</c:v>
                      </c:pt>
                      <c:pt idx="40">
                        <c:v>2872238.605729341</c:v>
                      </c:pt>
                      <c:pt idx="41">
                        <c:v>2866594.3207886335</c:v>
                      </c:pt>
                      <c:pt idx="42">
                        <c:v>2862788.852948789</c:v>
                      </c:pt>
                      <c:pt idx="43">
                        <c:v>2858589.1040914175</c:v>
                      </c:pt>
                      <c:pt idx="44">
                        <c:v>2855278.6551854545</c:v>
                      </c:pt>
                      <c:pt idx="45">
                        <c:v>2852589.9048867524</c:v>
                      </c:pt>
                      <c:pt idx="46">
                        <c:v>2850556.5019486542</c:v>
                      </c:pt>
                      <c:pt idx="47">
                        <c:v>2848342.7346210806</c:v>
                      </c:pt>
                      <c:pt idx="48">
                        <c:v>2846579.7346108905</c:v>
                      </c:pt>
                      <c:pt idx="49">
                        <c:v>2844984.1930424613</c:v>
                      </c:pt>
                      <c:pt idx="50">
                        <c:v>2843843.6696762312</c:v>
                      </c:pt>
                      <c:pt idx="51">
                        <c:v>2843412.7872575633</c:v>
                      </c:pt>
                      <c:pt idx="52">
                        <c:v>2841687.9939417536</c:v>
                      </c:pt>
                      <c:pt idx="53">
                        <c:v>2840507.9693711638</c:v>
                      </c:pt>
                      <c:pt idx="54">
                        <c:v>2839841.6583201187</c:v>
                      </c:pt>
                      <c:pt idx="55">
                        <c:v>2839765.7147124843</c:v>
                      </c:pt>
                      <c:pt idx="56">
                        <c:v>2840584.0504159583</c:v>
                      </c:pt>
                      <c:pt idx="57">
                        <c:v>2842673.5826942143</c:v>
                      </c:pt>
                      <c:pt idx="58">
                        <c:v>2845534.187674331</c:v>
                      </c:pt>
                      <c:pt idx="59">
                        <c:v>2848588.1505796625</c:v>
                      </c:pt>
                      <c:pt idx="60">
                        <c:v>2852483.0701489672</c:v>
                      </c:pt>
                      <c:pt idx="61">
                        <c:v>2857289.1228031372</c:v>
                      </c:pt>
                    </c:numCache>
                  </c:numRef>
                </c:val>
                <c:extLst xmlns:c15="http://schemas.microsoft.com/office/drawing/2012/chart">
                  <c:ext xmlns:c16="http://schemas.microsoft.com/office/drawing/2014/chart" uri="{C3380CC4-5D6E-409C-BE32-E72D297353CC}">
                    <c16:uniqueId val="{00000009-3B16-45B8-89BE-5AE640BDA9C0}"/>
                  </c:ext>
                </c:extLst>
              </c15:ser>
            </c15:filteredAreaSeries>
            <c15:filteredAreaSeries>
              <c15:ser>
                <c:idx val="10"/>
                <c:order val="8"/>
                <c:tx>
                  <c:strRef>
                    <c:extLst xmlns:c15="http://schemas.microsoft.com/office/drawing/2012/chart">
                      <c:ext xmlns:c15="http://schemas.microsoft.com/office/drawing/2012/chart" uri="{02D57815-91ED-43cb-92C2-25804820EDAC}">
                        <c15:formulaRef>
                          <c15:sqref>'Activity data'!$D$13:$F$13</c15:sqref>
                        </c15:formulaRef>
                      </c:ext>
                    </c:extLst>
                    <c:strCache>
                      <c:ptCount val="3"/>
                      <c:pt idx="0">
                        <c:v>Commercial</c:v>
                      </c:pt>
                      <c:pt idx="1">
                        <c:v>Population</c:v>
                      </c:pt>
                      <c:pt idx="2">
                        <c:v>Head</c:v>
                      </c:pt>
                    </c:strCache>
                  </c:strRef>
                </c:tx>
                <c:spPr>
                  <a:solidFill>
                    <a:schemeClr val="accent5">
                      <a:lumMod val="6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data'!$G$13:$BP$13</c15:sqref>
                        </c15:formulaRef>
                      </c:ext>
                    </c:extLst>
                    <c:numCache>
                      <c:formatCode>#,##0</c:formatCode>
                      <c:ptCount val="62"/>
                      <c:pt idx="1">
                        <c:v>2774000.0000000005</c:v>
                      </c:pt>
                      <c:pt idx="2">
                        <c:v>2453000.0000000009</c:v>
                      </c:pt>
                      <c:pt idx="3">
                        <c:v>2284999.9999999995</c:v>
                      </c:pt>
                      <c:pt idx="4">
                        <c:v>2158999.9999999995</c:v>
                      </c:pt>
                      <c:pt idx="5">
                        <c:v>2336999.9999999995</c:v>
                      </c:pt>
                      <c:pt idx="6">
                        <c:v>2369000</c:v>
                      </c:pt>
                      <c:pt idx="7">
                        <c:v>2405999.9999999995</c:v>
                      </c:pt>
                      <c:pt idx="8">
                        <c:v>2394000</c:v>
                      </c:pt>
                      <c:pt idx="9">
                        <c:v>2360000</c:v>
                      </c:pt>
                      <c:pt idx="10">
                        <c:v>2325000.0000000005</c:v>
                      </c:pt>
                      <c:pt idx="11">
                        <c:v>2355000</c:v>
                      </c:pt>
                      <c:pt idx="12">
                        <c:v>2427000.0000000005</c:v>
                      </c:pt>
                      <c:pt idx="13">
                        <c:v>2216000.0000000005</c:v>
                      </c:pt>
                      <c:pt idx="14">
                        <c:v>2160000</c:v>
                      </c:pt>
                      <c:pt idx="15">
                        <c:v>2164000.0000000005</c:v>
                      </c:pt>
                      <c:pt idx="16">
                        <c:v>2136000</c:v>
                      </c:pt>
                      <c:pt idx="17">
                        <c:v>2181000</c:v>
                      </c:pt>
                      <c:pt idx="18">
                        <c:v>2116000</c:v>
                      </c:pt>
                      <c:pt idx="19">
                        <c:v>2114000.0000000005</c:v>
                      </c:pt>
                      <c:pt idx="20">
                        <c:v>2077000</c:v>
                      </c:pt>
                      <c:pt idx="21">
                        <c:v>2052000.0000000002</c:v>
                      </c:pt>
                      <c:pt idx="22">
                        <c:v>2033000.0000000002</c:v>
                      </c:pt>
                      <c:pt idx="23">
                        <c:v>2028000.0000000002</c:v>
                      </c:pt>
                      <c:pt idx="24">
                        <c:v>2005000</c:v>
                      </c:pt>
                      <c:pt idx="25">
                        <c:v>1987000.0000000002</c:v>
                      </c:pt>
                      <c:pt idx="26">
                        <c:v>1960000.0000000002</c:v>
                      </c:pt>
                      <c:pt idx="27">
                        <c:v>1900999.9999999998</c:v>
                      </c:pt>
                      <c:pt idx="28">
                        <c:v>1843000</c:v>
                      </c:pt>
                      <c:pt idx="29">
                        <c:v>2105769.7254571449</c:v>
                      </c:pt>
                      <c:pt idx="30">
                        <c:v>2099699.0412406144</c:v>
                      </c:pt>
                      <c:pt idx="31">
                        <c:v>2093834.4751239149</c:v>
                      </c:pt>
                      <c:pt idx="32">
                        <c:v>2087650.7472204962</c:v>
                      </c:pt>
                      <c:pt idx="33">
                        <c:v>2081469.1146717356</c:v>
                      </c:pt>
                      <c:pt idx="34">
                        <c:v>2075287.0117985914</c:v>
                      </c:pt>
                      <c:pt idx="35">
                        <c:v>2069106.7126362729</c:v>
                      </c:pt>
                      <c:pt idx="36">
                        <c:v>2062924.3212419816</c:v>
                      </c:pt>
                      <c:pt idx="37">
                        <c:v>2056221.0546660419</c:v>
                      </c:pt>
                      <c:pt idx="38">
                        <c:v>2049518.3428070466</c:v>
                      </c:pt>
                      <c:pt idx="39">
                        <c:v>2042812.7990732121</c:v>
                      </c:pt>
                      <c:pt idx="40">
                        <c:v>2036105.152571423</c:v>
                      </c:pt>
                      <c:pt idx="41">
                        <c:v>2029395.2113766624</c:v>
                      </c:pt>
                      <c:pt idx="42">
                        <c:v>2022897.313086956</c:v>
                      </c:pt>
                      <c:pt idx="43">
                        <c:v>2016403.1874340307</c:v>
                      </c:pt>
                      <c:pt idx="44">
                        <c:v>2009900.5527519858</c:v>
                      </c:pt>
                      <c:pt idx="45">
                        <c:v>2003391.9697086317</c:v>
                      </c:pt>
                      <c:pt idx="46">
                        <c:v>1996877.1162339763</c:v>
                      </c:pt>
                      <c:pt idx="47">
                        <c:v>1990107.094125119</c:v>
                      </c:pt>
                      <c:pt idx="48">
                        <c:v>1983332.7590279649</c:v>
                      </c:pt>
                      <c:pt idx="49">
                        <c:v>1976556.8217863683</c:v>
                      </c:pt>
                      <c:pt idx="50">
                        <c:v>1969776.5307683281</c:v>
                      </c:pt>
                      <c:pt idx="51">
                        <c:v>1962989.4498323335</c:v>
                      </c:pt>
                      <c:pt idx="52">
                        <c:v>1955253.6013140264</c:v>
                      </c:pt>
                      <c:pt idx="53">
                        <c:v>1947512.5405072845</c:v>
                      </c:pt>
                      <c:pt idx="54">
                        <c:v>1939766.5643212339</c:v>
                      </c:pt>
                      <c:pt idx="55">
                        <c:v>1932014.9394384478</c:v>
                      </c:pt>
                      <c:pt idx="56">
                        <c:v>1924254.7579987557</c:v>
                      </c:pt>
                      <c:pt idx="57">
                        <c:v>1916756.0263046557</c:v>
                      </c:pt>
                      <c:pt idx="58">
                        <c:v>1909249.9169072253</c:v>
                      </c:pt>
                      <c:pt idx="59">
                        <c:v>1901741.9573259335</c:v>
                      </c:pt>
                      <c:pt idx="60">
                        <c:v>1894225.9514995781</c:v>
                      </c:pt>
                      <c:pt idx="61">
                        <c:v>1886701.2278576661</c:v>
                      </c:pt>
                    </c:numCache>
                  </c:numRef>
                </c:val>
                <c:extLst xmlns:c15="http://schemas.microsoft.com/office/drawing/2012/chart">
                  <c:ext xmlns:c16="http://schemas.microsoft.com/office/drawing/2014/chart" uri="{C3380CC4-5D6E-409C-BE32-E72D297353CC}">
                    <c16:uniqueId val="{0000000A-3B16-45B8-89BE-5AE640BDA9C0}"/>
                  </c:ext>
                </c:extLst>
              </c15:ser>
            </c15:filteredAreaSeries>
            <c15:filteredAreaSeries>
              <c15:ser>
                <c:idx val="11"/>
                <c:order val="9"/>
                <c:tx>
                  <c:strRef>
                    <c:extLst xmlns:c15="http://schemas.microsoft.com/office/drawing/2012/chart">
                      <c:ext xmlns:c15="http://schemas.microsoft.com/office/drawing/2012/chart" uri="{02D57815-91ED-43cb-92C2-25804820EDAC}">
                        <c15:formulaRef>
                          <c15:sqref>'Activity data'!$D$14:$F$14</c15:sqref>
                        </c15:formulaRef>
                      </c:ext>
                    </c:extLst>
                    <c:strCache>
                      <c:ptCount val="3"/>
                      <c:pt idx="0">
                        <c:v>Subsistence</c:v>
                      </c:pt>
                      <c:pt idx="1">
                        <c:v>Population</c:v>
                      </c:pt>
                      <c:pt idx="2">
                        <c:v>Head</c:v>
                      </c:pt>
                    </c:strCache>
                  </c:strRef>
                </c:tx>
                <c:spPr>
                  <a:solidFill>
                    <a:schemeClr val="accent6">
                      <a:lumMod val="6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data'!$G$14:$BP$14</c15:sqref>
                        </c15:formulaRef>
                      </c:ext>
                    </c:extLst>
                    <c:numCache>
                      <c:formatCode>#,##0</c:formatCode>
                      <c:ptCount val="62"/>
                      <c:pt idx="1">
                        <c:v>5479284.9120494025</c:v>
                      </c:pt>
                      <c:pt idx="2">
                        <c:v>4845236.4416932901</c:v>
                      </c:pt>
                      <c:pt idx="3">
                        <c:v>4513397.9899181286</c:v>
                      </c:pt>
                      <c:pt idx="4">
                        <c:v>4264519.151086757</c:v>
                      </c:pt>
                      <c:pt idx="5">
                        <c:v>4616109.8916580593</c:v>
                      </c:pt>
                      <c:pt idx="6">
                        <c:v>4679317.2158057094</c:v>
                      </c:pt>
                      <c:pt idx="7">
                        <c:v>4752400.6843514293</c:v>
                      </c:pt>
                      <c:pt idx="8">
                        <c:v>4728697.9377960609</c:v>
                      </c:pt>
                      <c:pt idx="9">
                        <c:v>4661540.1558891824</c:v>
                      </c:pt>
                      <c:pt idx="10">
                        <c:v>4592407.1451026909</c:v>
                      </c:pt>
                      <c:pt idx="11">
                        <c:v>4651664.0114911124</c:v>
                      </c:pt>
                      <c:pt idx="12">
                        <c:v>4793880.4908233248</c:v>
                      </c:pt>
                      <c:pt idx="13">
                        <c:v>4377107.1972247576</c:v>
                      </c:pt>
                      <c:pt idx="14">
                        <c:v>4266494.3799663708</c:v>
                      </c:pt>
                      <c:pt idx="15">
                        <c:v>4274395.2954848269</c:v>
                      </c:pt>
                      <c:pt idx="16">
                        <c:v>4219088.886855633</c:v>
                      </c:pt>
                      <c:pt idx="17">
                        <c:v>4307974.1864382662</c:v>
                      </c:pt>
                      <c:pt idx="18">
                        <c:v>4179584.3092633518</c:v>
                      </c:pt>
                      <c:pt idx="19">
                        <c:v>4175633.8515041238</c:v>
                      </c:pt>
                      <c:pt idx="20">
                        <c:v>4102550.3829584038</c:v>
                      </c:pt>
                      <c:pt idx="21">
                        <c:v>4053169.6609680522</c:v>
                      </c:pt>
                      <c:pt idx="22">
                        <c:v>4015640.3122553849</c:v>
                      </c:pt>
                      <c:pt idx="23">
                        <c:v>4005764.1678573145</c:v>
                      </c:pt>
                      <c:pt idx="24">
                        <c:v>3960333.9036261914</c:v>
                      </c:pt>
                      <c:pt idx="25">
                        <c:v>3924779.7837931383</c:v>
                      </c:pt>
                      <c:pt idx="26">
                        <c:v>3871448.6040435587</c:v>
                      </c:pt>
                      <c:pt idx="27">
                        <c:v>3754910.100146329</c:v>
                      </c:pt>
                      <c:pt idx="28">
                        <c:v>3640346.8251287136</c:v>
                      </c:pt>
                      <c:pt idx="29">
                        <c:v>3705142.0194906248</c:v>
                      </c:pt>
                      <c:pt idx="30">
                        <c:v>3665033.5910637882</c:v>
                      </c:pt>
                      <c:pt idx="31">
                        <c:v>3624925.1626369506</c:v>
                      </c:pt>
                      <c:pt idx="32">
                        <c:v>3584270.9426704915</c:v>
                      </c:pt>
                      <c:pt idx="33">
                        <c:v>3543616.7234544437</c:v>
                      </c:pt>
                      <c:pt idx="34">
                        <c:v>3502962.5042383969</c:v>
                      </c:pt>
                      <c:pt idx="35">
                        <c:v>3462308.2850223491</c:v>
                      </c:pt>
                      <c:pt idx="36">
                        <c:v>3421654.06505589</c:v>
                      </c:pt>
                      <c:pt idx="37">
                        <c:v>3377609.5795985982</c:v>
                      </c:pt>
                      <c:pt idx="38">
                        <c:v>3333565.0941413064</c:v>
                      </c:pt>
                      <c:pt idx="39">
                        <c:v>3289520.6086840145</c:v>
                      </c:pt>
                      <c:pt idx="40">
                        <c:v>3245476.1232267227</c:v>
                      </c:pt>
                      <c:pt idx="41">
                        <c:v>3201431.6377694309</c:v>
                      </c:pt>
                      <c:pt idx="42">
                        <c:v>3158882.4685868463</c:v>
                      </c:pt>
                      <c:pt idx="43">
                        <c:v>3116333.3001546748</c:v>
                      </c:pt>
                      <c:pt idx="44">
                        <c:v>3073784.1309720902</c:v>
                      </c:pt>
                      <c:pt idx="45">
                        <c:v>3031234.9625399178</c:v>
                      </c:pt>
                      <c:pt idx="46">
                        <c:v>2988685.7941077463</c:v>
                      </c:pt>
                      <c:pt idx="47">
                        <c:v>2944463.818078028</c:v>
                      </c:pt>
                      <c:pt idx="48">
                        <c:v>2900241.8420483116</c:v>
                      </c:pt>
                      <c:pt idx="49">
                        <c:v>2856019.8667690065</c:v>
                      </c:pt>
                      <c:pt idx="50">
                        <c:v>2811797.89073929</c:v>
                      </c:pt>
                      <c:pt idx="51">
                        <c:v>2767575.9147095727</c:v>
                      </c:pt>
                      <c:pt idx="52">
                        <c:v>2717095.2753360551</c:v>
                      </c:pt>
                      <c:pt idx="53">
                        <c:v>2666614.6367129507</c:v>
                      </c:pt>
                      <c:pt idx="54">
                        <c:v>2616133.9973394331</c:v>
                      </c:pt>
                      <c:pt idx="55">
                        <c:v>2565653.3579659164</c:v>
                      </c:pt>
                      <c:pt idx="56">
                        <c:v>2515172.7185923997</c:v>
                      </c:pt>
                      <c:pt idx="57">
                        <c:v>2466473.7506624758</c:v>
                      </c:pt>
                      <c:pt idx="58">
                        <c:v>2417774.7827325538</c:v>
                      </c:pt>
                      <c:pt idx="59">
                        <c:v>2369075.8140522186</c:v>
                      </c:pt>
                      <c:pt idx="60">
                        <c:v>2320376.8461222965</c:v>
                      </c:pt>
                      <c:pt idx="61">
                        <c:v>2271677.8781923736</c:v>
                      </c:pt>
                    </c:numCache>
                  </c:numRef>
                </c:val>
                <c:extLst xmlns:c15="http://schemas.microsoft.com/office/drawing/2012/chart">
                  <c:ext xmlns:c16="http://schemas.microsoft.com/office/drawing/2014/chart" uri="{C3380CC4-5D6E-409C-BE32-E72D297353CC}">
                    <c16:uniqueId val="{0000000B-3B16-45B8-89BE-5AE640BDA9C0}"/>
                  </c:ext>
                </c:extLst>
              </c15:ser>
            </c15:filteredAreaSeries>
            <c15:filteredAreaSeries>
              <c15:ser>
                <c:idx val="12"/>
                <c:order val="10"/>
                <c:tx>
                  <c:strRef>
                    <c:extLst xmlns:c15="http://schemas.microsoft.com/office/drawing/2012/chart">
                      <c:ext xmlns:c15="http://schemas.microsoft.com/office/drawing/2012/chart" uri="{02D57815-91ED-43cb-92C2-25804820EDAC}">
                        <c15:formulaRef>
                          <c15:sqref>'Activity data'!$D$15:$F$15</c15:sqref>
                        </c15:formulaRef>
                      </c:ext>
                    </c:extLst>
                    <c:strCache>
                      <c:ptCount val="3"/>
                      <c:pt idx="0">
                        <c:v>Horses</c:v>
                      </c:pt>
                      <c:pt idx="1">
                        <c:v>Population</c:v>
                      </c:pt>
                      <c:pt idx="2">
                        <c:v>Head</c:v>
                      </c:pt>
                    </c:strCache>
                  </c:strRef>
                </c:tx>
                <c:spPr>
                  <a:solidFill>
                    <a:schemeClr val="accent1">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data'!$G$15:$BP$15</c15:sqref>
                        </c15:formulaRef>
                      </c:ext>
                    </c:extLst>
                    <c:numCache>
                      <c:formatCode>#,##0</c:formatCode>
                      <c:ptCount val="62"/>
                      <c:pt idx="1">
                        <c:v>230000</c:v>
                      </c:pt>
                      <c:pt idx="2">
                        <c:v>230000</c:v>
                      </c:pt>
                      <c:pt idx="3">
                        <c:v>230000</c:v>
                      </c:pt>
                      <c:pt idx="4">
                        <c:v>235000</c:v>
                      </c:pt>
                      <c:pt idx="5">
                        <c:v>240000</c:v>
                      </c:pt>
                      <c:pt idx="6">
                        <c:v>245000</c:v>
                      </c:pt>
                      <c:pt idx="7">
                        <c:v>250000</c:v>
                      </c:pt>
                      <c:pt idx="8">
                        <c:v>255000</c:v>
                      </c:pt>
                      <c:pt idx="9">
                        <c:v>260000</c:v>
                      </c:pt>
                      <c:pt idx="10">
                        <c:v>258000</c:v>
                      </c:pt>
                      <c:pt idx="11">
                        <c:v>270000</c:v>
                      </c:pt>
                      <c:pt idx="12">
                        <c:v>270000</c:v>
                      </c:pt>
                      <c:pt idx="13">
                        <c:v>270000</c:v>
                      </c:pt>
                      <c:pt idx="14">
                        <c:v>270000</c:v>
                      </c:pt>
                      <c:pt idx="15">
                        <c:v>270000</c:v>
                      </c:pt>
                      <c:pt idx="16">
                        <c:v>270000</c:v>
                      </c:pt>
                      <c:pt idx="17">
                        <c:v>280000</c:v>
                      </c:pt>
                      <c:pt idx="18">
                        <c:v>290000</c:v>
                      </c:pt>
                      <c:pt idx="19">
                        <c:v>298000</c:v>
                      </c:pt>
                      <c:pt idx="20">
                        <c:v>300000</c:v>
                      </c:pt>
                      <c:pt idx="21">
                        <c:v>300000</c:v>
                      </c:pt>
                      <c:pt idx="22">
                        <c:v>305000</c:v>
                      </c:pt>
                      <c:pt idx="23">
                        <c:v>308000</c:v>
                      </c:pt>
                      <c:pt idx="24">
                        <c:v>310000</c:v>
                      </c:pt>
                      <c:pt idx="25">
                        <c:v>312000</c:v>
                      </c:pt>
                      <c:pt idx="26">
                        <c:v>314825</c:v>
                      </c:pt>
                      <c:pt idx="27">
                        <c:v>320860</c:v>
                      </c:pt>
                      <c:pt idx="28">
                        <c:v>322771</c:v>
                      </c:pt>
                      <c:pt idx="29">
                        <c:v>317468.19726728677</c:v>
                      </c:pt>
                      <c:pt idx="30">
                        <c:v>317406.18610308983</c:v>
                      </c:pt>
                      <c:pt idx="31">
                        <c:v>312022.96725320927</c:v>
                      </c:pt>
                      <c:pt idx="32">
                        <c:v>312790.9041494152</c:v>
                      </c:pt>
                      <c:pt idx="33">
                        <c:v>313491.45892029366</c:v>
                      </c:pt>
                      <c:pt idx="34">
                        <c:v>314190.91077802802</c:v>
                      </c:pt>
                      <c:pt idx="35">
                        <c:v>314832.71471269196</c:v>
                      </c:pt>
                      <c:pt idx="36">
                        <c:v>315514.4820859349</c:v>
                      </c:pt>
                      <c:pt idx="37">
                        <c:v>316368.92590715562</c:v>
                      </c:pt>
                      <c:pt idx="38">
                        <c:v>317193.52638240939</c:v>
                      </c:pt>
                      <c:pt idx="39">
                        <c:v>318070.24268217583</c:v>
                      </c:pt>
                      <c:pt idx="40">
                        <c:v>318980.30303604237</c:v>
                      </c:pt>
                      <c:pt idx="41">
                        <c:v>319927.28318748355</c:v>
                      </c:pt>
                      <c:pt idx="42">
                        <c:v>321192.54006741656</c:v>
                      </c:pt>
                      <c:pt idx="43">
                        <c:v>322348.26860806037</c:v>
                      </c:pt>
                      <c:pt idx="44">
                        <c:v>323678.38047554845</c:v>
                      </c:pt>
                      <c:pt idx="45">
                        <c:v>325120.23990505614</c:v>
                      </c:pt>
                      <c:pt idx="46">
                        <c:v>326678.19079008058</c:v>
                      </c:pt>
                      <c:pt idx="47">
                        <c:v>328247.70864860469</c:v>
                      </c:pt>
                      <c:pt idx="48">
                        <c:v>329884.81657461054</c:v>
                      </c:pt>
                      <c:pt idx="49">
                        <c:v>331528.38530404674</c:v>
                      </c:pt>
                      <c:pt idx="50">
                        <c:v>333237.97199520626</c:v>
                      </c:pt>
                      <c:pt idx="51">
                        <c:v>335064.30474765302</c:v>
                      </c:pt>
                      <c:pt idx="52">
                        <c:v>336859.71906651062</c:v>
                      </c:pt>
                      <c:pt idx="53">
                        <c:v>338730.60848918743</c:v>
                      </c:pt>
                      <c:pt idx="54">
                        <c:v>340668.60393173649</c:v>
                      </c:pt>
                      <c:pt idx="55">
                        <c:v>342686.99347242748</c:v>
                      </c:pt>
                      <c:pt idx="56">
                        <c:v>344843.17580313713</c:v>
                      </c:pt>
                      <c:pt idx="57">
                        <c:v>347138.29633242602</c:v>
                      </c:pt>
                      <c:pt idx="58">
                        <c:v>349541.41784352838</c:v>
                      </c:pt>
                      <c:pt idx="59">
                        <c:v>351939.28527346294</c:v>
                      </c:pt>
                      <c:pt idx="60">
                        <c:v>354454.72395403526</c:v>
                      </c:pt>
                      <c:pt idx="61">
                        <c:v>357097.87015001453</c:v>
                      </c:pt>
                    </c:numCache>
                  </c:numRef>
                </c:val>
                <c:extLst xmlns:c15="http://schemas.microsoft.com/office/drawing/2012/chart">
                  <c:ext xmlns:c16="http://schemas.microsoft.com/office/drawing/2014/chart" uri="{C3380CC4-5D6E-409C-BE32-E72D297353CC}">
                    <c16:uniqueId val="{0000000C-3B16-45B8-89BE-5AE640BDA9C0}"/>
                  </c:ext>
                </c:extLst>
              </c15:ser>
            </c15:filteredAreaSeries>
            <c15:filteredAreaSeries>
              <c15:ser>
                <c:idx val="13"/>
                <c:order val="11"/>
                <c:tx>
                  <c:strRef>
                    <c:extLst xmlns:c15="http://schemas.microsoft.com/office/drawing/2012/chart">
                      <c:ext xmlns:c15="http://schemas.microsoft.com/office/drawing/2012/chart" uri="{02D57815-91ED-43cb-92C2-25804820EDAC}">
                        <c15:formulaRef>
                          <c15:sqref>'Activity data'!$D$16:$F$16</c15:sqref>
                        </c15:formulaRef>
                      </c:ext>
                    </c:extLst>
                    <c:strCache>
                      <c:ptCount val="3"/>
                      <c:pt idx="0">
                        <c:v>Mules &amp; Asses</c:v>
                      </c:pt>
                      <c:pt idx="1">
                        <c:v>Population</c:v>
                      </c:pt>
                      <c:pt idx="2">
                        <c:v>Head</c:v>
                      </c:pt>
                    </c:strCache>
                  </c:strRef>
                </c:tx>
                <c:spPr>
                  <a:solidFill>
                    <a:schemeClr val="accent2">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data'!$G$16:$BP$16</c15:sqref>
                        </c15:formulaRef>
                      </c:ext>
                    </c:extLst>
                    <c:numCache>
                      <c:formatCode>#,##0</c:formatCode>
                      <c:ptCount val="62"/>
                      <c:pt idx="1">
                        <c:v>224000</c:v>
                      </c:pt>
                      <c:pt idx="2">
                        <c:v>224000</c:v>
                      </c:pt>
                      <c:pt idx="3">
                        <c:v>224000</c:v>
                      </c:pt>
                      <c:pt idx="4">
                        <c:v>224000</c:v>
                      </c:pt>
                      <c:pt idx="5">
                        <c:v>224000</c:v>
                      </c:pt>
                      <c:pt idx="6">
                        <c:v>224000</c:v>
                      </c:pt>
                      <c:pt idx="7">
                        <c:v>224000</c:v>
                      </c:pt>
                      <c:pt idx="8">
                        <c:v>224000</c:v>
                      </c:pt>
                      <c:pt idx="9">
                        <c:v>224000</c:v>
                      </c:pt>
                      <c:pt idx="10">
                        <c:v>224000</c:v>
                      </c:pt>
                      <c:pt idx="11">
                        <c:v>164000</c:v>
                      </c:pt>
                      <c:pt idx="12">
                        <c:v>164000</c:v>
                      </c:pt>
                      <c:pt idx="13">
                        <c:v>164000</c:v>
                      </c:pt>
                      <c:pt idx="14">
                        <c:v>164000</c:v>
                      </c:pt>
                      <c:pt idx="15">
                        <c:v>164000</c:v>
                      </c:pt>
                      <c:pt idx="16">
                        <c:v>164000</c:v>
                      </c:pt>
                      <c:pt idx="17">
                        <c:v>164050</c:v>
                      </c:pt>
                      <c:pt idx="18">
                        <c:v>164600</c:v>
                      </c:pt>
                      <c:pt idx="19">
                        <c:v>164700</c:v>
                      </c:pt>
                      <c:pt idx="20">
                        <c:v>164800</c:v>
                      </c:pt>
                      <c:pt idx="21">
                        <c:v>166300</c:v>
                      </c:pt>
                      <c:pt idx="22">
                        <c:v>167000</c:v>
                      </c:pt>
                      <c:pt idx="23">
                        <c:v>167000</c:v>
                      </c:pt>
                      <c:pt idx="24">
                        <c:v>170500</c:v>
                      </c:pt>
                      <c:pt idx="25">
                        <c:v>171000</c:v>
                      </c:pt>
                      <c:pt idx="26">
                        <c:v>169029</c:v>
                      </c:pt>
                      <c:pt idx="27">
                        <c:v>161868</c:v>
                      </c:pt>
                      <c:pt idx="28">
                        <c:v>162820</c:v>
                      </c:pt>
                      <c:pt idx="29">
                        <c:v>160000</c:v>
                      </c:pt>
                      <c:pt idx="30">
                        <c:v>160000</c:v>
                      </c:pt>
                      <c:pt idx="31">
                        <c:v>160000</c:v>
                      </c:pt>
                      <c:pt idx="32">
                        <c:v>160000</c:v>
                      </c:pt>
                      <c:pt idx="33">
                        <c:v>160000</c:v>
                      </c:pt>
                      <c:pt idx="34">
                        <c:v>160000</c:v>
                      </c:pt>
                      <c:pt idx="35">
                        <c:v>160000</c:v>
                      </c:pt>
                      <c:pt idx="36">
                        <c:v>160000</c:v>
                      </c:pt>
                      <c:pt idx="37">
                        <c:v>160000</c:v>
                      </c:pt>
                      <c:pt idx="38">
                        <c:v>160000</c:v>
                      </c:pt>
                      <c:pt idx="39">
                        <c:v>160000</c:v>
                      </c:pt>
                      <c:pt idx="40">
                        <c:v>160000</c:v>
                      </c:pt>
                      <c:pt idx="41">
                        <c:v>160000</c:v>
                      </c:pt>
                      <c:pt idx="42">
                        <c:v>160000</c:v>
                      </c:pt>
                      <c:pt idx="43">
                        <c:v>160000</c:v>
                      </c:pt>
                      <c:pt idx="44">
                        <c:v>160000</c:v>
                      </c:pt>
                      <c:pt idx="45">
                        <c:v>160000</c:v>
                      </c:pt>
                      <c:pt idx="46">
                        <c:v>160000</c:v>
                      </c:pt>
                      <c:pt idx="47">
                        <c:v>160000</c:v>
                      </c:pt>
                      <c:pt idx="48">
                        <c:v>160000</c:v>
                      </c:pt>
                      <c:pt idx="49">
                        <c:v>160000</c:v>
                      </c:pt>
                      <c:pt idx="50">
                        <c:v>160000</c:v>
                      </c:pt>
                      <c:pt idx="51">
                        <c:v>160000</c:v>
                      </c:pt>
                      <c:pt idx="52">
                        <c:v>160000</c:v>
                      </c:pt>
                      <c:pt idx="53">
                        <c:v>160000</c:v>
                      </c:pt>
                      <c:pt idx="54">
                        <c:v>160000</c:v>
                      </c:pt>
                      <c:pt idx="55">
                        <c:v>160000</c:v>
                      </c:pt>
                      <c:pt idx="56">
                        <c:v>160000</c:v>
                      </c:pt>
                      <c:pt idx="57">
                        <c:v>160000</c:v>
                      </c:pt>
                      <c:pt idx="58">
                        <c:v>160000</c:v>
                      </c:pt>
                      <c:pt idx="59">
                        <c:v>160000</c:v>
                      </c:pt>
                      <c:pt idx="60">
                        <c:v>160000</c:v>
                      </c:pt>
                      <c:pt idx="61">
                        <c:v>160000</c:v>
                      </c:pt>
                    </c:numCache>
                  </c:numRef>
                </c:val>
                <c:extLst xmlns:c15="http://schemas.microsoft.com/office/drawing/2012/chart">
                  <c:ext xmlns:c16="http://schemas.microsoft.com/office/drawing/2014/chart" uri="{C3380CC4-5D6E-409C-BE32-E72D297353CC}">
                    <c16:uniqueId val="{0000000D-3B16-45B8-89BE-5AE640BDA9C0}"/>
                  </c:ext>
                </c:extLst>
              </c15:ser>
            </c15:filteredAreaSeries>
            <c15:filteredAreaSeries>
              <c15:ser>
                <c:idx val="14"/>
                <c:order val="12"/>
                <c:tx>
                  <c:strRef>
                    <c:extLst xmlns:c15="http://schemas.microsoft.com/office/drawing/2012/chart">
                      <c:ext xmlns:c15="http://schemas.microsoft.com/office/drawing/2012/chart" uri="{02D57815-91ED-43cb-92C2-25804820EDAC}">
                        <c15:formulaRef>
                          <c15:sqref>'Activity data'!$D$17:$F$17</c15:sqref>
                        </c15:formulaRef>
                      </c:ext>
                    </c:extLst>
                    <c:strCache>
                      <c:ptCount val="3"/>
                      <c:pt idx="0">
                        <c:v>Commercial</c:v>
                      </c:pt>
                      <c:pt idx="1">
                        <c:v>Population</c:v>
                      </c:pt>
                      <c:pt idx="2">
                        <c:v>Head</c:v>
                      </c:pt>
                    </c:strCache>
                  </c:strRef>
                </c:tx>
                <c:spPr>
                  <a:solidFill>
                    <a:schemeClr val="accent3">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data'!$G$17:$BP$17</c15:sqref>
                        </c15:formulaRef>
                      </c:ext>
                    </c:extLst>
                    <c:numCache>
                      <c:formatCode>#,##0</c:formatCode>
                      <c:ptCount val="62"/>
                      <c:pt idx="1">
                        <c:v>1524000</c:v>
                      </c:pt>
                      <c:pt idx="2">
                        <c:v>1665000</c:v>
                      </c:pt>
                      <c:pt idx="3">
                        <c:v>1654000</c:v>
                      </c:pt>
                      <c:pt idx="4">
                        <c:v>1653000</c:v>
                      </c:pt>
                      <c:pt idx="5">
                        <c:v>1570000</c:v>
                      </c:pt>
                      <c:pt idx="6">
                        <c:v>1585000</c:v>
                      </c:pt>
                      <c:pt idx="7">
                        <c:v>1707000</c:v>
                      </c:pt>
                      <c:pt idx="8">
                        <c:v>1699000</c:v>
                      </c:pt>
                      <c:pt idx="9">
                        <c:v>1736000</c:v>
                      </c:pt>
                      <c:pt idx="10">
                        <c:v>1780000</c:v>
                      </c:pt>
                      <c:pt idx="11">
                        <c:v>1647000</c:v>
                      </c:pt>
                      <c:pt idx="12">
                        <c:v>1678000</c:v>
                      </c:pt>
                      <c:pt idx="13">
                        <c:v>1710000</c:v>
                      </c:pt>
                      <c:pt idx="14">
                        <c:v>1663000</c:v>
                      </c:pt>
                      <c:pt idx="15">
                        <c:v>1663000</c:v>
                      </c:pt>
                      <c:pt idx="16">
                        <c:v>1651000</c:v>
                      </c:pt>
                      <c:pt idx="17">
                        <c:v>1622000</c:v>
                      </c:pt>
                      <c:pt idx="18">
                        <c:v>1651000</c:v>
                      </c:pt>
                      <c:pt idx="19">
                        <c:v>1615000</c:v>
                      </c:pt>
                      <c:pt idx="20">
                        <c:v>1613000</c:v>
                      </c:pt>
                      <c:pt idx="21">
                        <c:v>1594000</c:v>
                      </c:pt>
                      <c:pt idx="22">
                        <c:v>1584000</c:v>
                      </c:pt>
                      <c:pt idx="23">
                        <c:v>1579000</c:v>
                      </c:pt>
                      <c:pt idx="24">
                        <c:v>1574000</c:v>
                      </c:pt>
                      <c:pt idx="25">
                        <c:v>1562000</c:v>
                      </c:pt>
                      <c:pt idx="26">
                        <c:v>1523000</c:v>
                      </c:pt>
                      <c:pt idx="27">
                        <c:v>1512000</c:v>
                      </c:pt>
                      <c:pt idx="28">
                        <c:v>1481000</c:v>
                      </c:pt>
                      <c:pt idx="29">
                        <c:v>1541626.838633748</c:v>
                      </c:pt>
                      <c:pt idx="30">
                        <c:v>1539361.0171200563</c:v>
                      </c:pt>
                      <c:pt idx="31">
                        <c:v>1545453.6960137365</c:v>
                      </c:pt>
                      <c:pt idx="32">
                        <c:v>1541922.865158305</c:v>
                      </c:pt>
                      <c:pt idx="33">
                        <c:v>1538477.0005535623</c:v>
                      </c:pt>
                      <c:pt idx="34">
                        <c:v>1535012.0633561835</c:v>
                      </c:pt>
                      <c:pt idx="35">
                        <c:v>1531620.2702334248</c:v>
                      </c:pt>
                      <c:pt idx="36">
                        <c:v>1528143.6374910828</c:v>
                      </c:pt>
                      <c:pt idx="37">
                        <c:v>1524161.795602656</c:v>
                      </c:pt>
                      <c:pt idx="38">
                        <c:v>1520202.4485936612</c:v>
                      </c:pt>
                      <c:pt idx="39">
                        <c:v>1516128.2634068723</c:v>
                      </c:pt>
                      <c:pt idx="40">
                        <c:v>1511968.8067819118</c:v>
                      </c:pt>
                      <c:pt idx="41">
                        <c:v>1507716.295776228</c:v>
                      </c:pt>
                      <c:pt idx="42">
                        <c:v>1502969.0378918557</c:v>
                      </c:pt>
                      <c:pt idx="43">
                        <c:v>1498374.763396502</c:v>
                      </c:pt>
                      <c:pt idx="44">
                        <c:v>1493435.4353478779</c:v>
                      </c:pt>
                      <c:pt idx="45">
                        <c:v>1488254.8848103685</c:v>
                      </c:pt>
                      <c:pt idx="46">
                        <c:v>1482820.0557663667</c:v>
                      </c:pt>
                      <c:pt idx="47">
                        <c:v>1477210.522293106</c:v>
                      </c:pt>
                      <c:pt idx="48">
                        <c:v>1471426.0885346981</c:v>
                      </c:pt>
                      <c:pt idx="49">
                        <c:v>1465576.6800573915</c:v>
                      </c:pt>
                      <c:pt idx="50">
                        <c:v>1459550.7218176657</c:v>
                      </c:pt>
                      <c:pt idx="51">
                        <c:v>1453249.4188506391</c:v>
                      </c:pt>
                      <c:pt idx="52">
                        <c:v>1446534.6862660067</c:v>
                      </c:pt>
                      <c:pt idx="53">
                        <c:v>1439608.5804168861</c:v>
                      </c:pt>
                      <c:pt idx="54">
                        <c:v>1432483.1506880918</c:v>
                      </c:pt>
                      <c:pt idx="55">
                        <c:v>1425128.6550305746</c:v>
                      </c:pt>
                      <c:pt idx="56">
                        <c:v>1417427.1739096437</c:v>
                      </c:pt>
                      <c:pt idx="57">
                        <c:v>1409493.0719783285</c:v>
                      </c:pt>
                      <c:pt idx="58">
                        <c:v>1401259.7894493444</c:v>
                      </c:pt>
                      <c:pt idx="59">
                        <c:v>1392951.4828349168</c:v>
                      </c:pt>
                      <c:pt idx="60">
                        <c:v>1384316.8803574697</c:v>
                      </c:pt>
                      <c:pt idx="61">
                        <c:v>1375328.7530564498</c:v>
                      </c:pt>
                    </c:numCache>
                  </c:numRef>
                </c:val>
                <c:extLst xmlns:c15="http://schemas.microsoft.com/office/drawing/2012/chart">
                  <c:ext xmlns:c16="http://schemas.microsoft.com/office/drawing/2014/chart" uri="{C3380CC4-5D6E-409C-BE32-E72D297353CC}">
                    <c16:uniqueId val="{0000000E-3B16-45B8-89BE-5AE640BDA9C0}"/>
                  </c:ext>
                </c:extLst>
              </c15:ser>
            </c15:filteredAreaSeries>
            <c15:filteredAreaSeries>
              <c15:ser>
                <c:idx val="15"/>
                <c:order val="13"/>
                <c:tx>
                  <c:strRef>
                    <c:extLst xmlns:c15="http://schemas.microsoft.com/office/drawing/2012/chart">
                      <c:ext xmlns:c15="http://schemas.microsoft.com/office/drawing/2012/chart" uri="{02D57815-91ED-43cb-92C2-25804820EDAC}">
                        <c15:formulaRef>
                          <c15:sqref>'Activity data'!$D$18:$F$18</c15:sqref>
                        </c15:formulaRef>
                      </c:ext>
                    </c:extLst>
                    <c:strCache>
                      <c:ptCount val="3"/>
                      <c:pt idx="0">
                        <c:v>Subsistence</c:v>
                      </c:pt>
                      <c:pt idx="1">
                        <c:v>Population</c:v>
                      </c:pt>
                      <c:pt idx="2">
                        <c:v>Head</c:v>
                      </c:pt>
                    </c:strCache>
                  </c:strRef>
                </c:tx>
                <c:spPr>
                  <a:solidFill>
                    <a:schemeClr val="accent4">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data'!$G$18:$BP$18</c15:sqref>
                        </c15:formulaRef>
                      </c:ext>
                    </c:extLst>
                    <c:numCache>
                      <c:formatCode>#,##0</c:formatCode>
                      <c:ptCount val="62"/>
                      <c:pt idx="1">
                        <c:v>199009.99166888703</c:v>
                      </c:pt>
                      <c:pt idx="2">
                        <c:v>217422.33341778014</c:v>
                      </c:pt>
                      <c:pt idx="3">
                        <c:v>215985.90959339839</c:v>
                      </c:pt>
                      <c:pt idx="4">
                        <c:v>215855.3256093637</c:v>
                      </c:pt>
                      <c:pt idx="5">
                        <c:v>205016.85493448336</c:v>
                      </c:pt>
                      <c:pt idx="6">
                        <c:v>206975.6146950039</c:v>
                      </c:pt>
                      <c:pt idx="7">
                        <c:v>222906.86074723766</c:v>
                      </c:pt>
                      <c:pt idx="8">
                        <c:v>221862.18887496003</c:v>
                      </c:pt>
                      <c:pt idx="9">
                        <c:v>226693.79628424402</c:v>
                      </c:pt>
                      <c:pt idx="10">
                        <c:v>232439.49158177094</c:v>
                      </c:pt>
                      <c:pt idx="11">
                        <c:v>215071.82170515548</c:v>
                      </c:pt>
                      <c:pt idx="12">
                        <c:v>219119.92521023127</c:v>
                      </c:pt>
                      <c:pt idx="13">
                        <c:v>223298.61269934176</c:v>
                      </c:pt>
                      <c:pt idx="14">
                        <c:v>217161.16544971074</c:v>
                      </c:pt>
                      <c:pt idx="15">
                        <c:v>217161.16544971074</c:v>
                      </c:pt>
                      <c:pt idx="16">
                        <c:v>215594.1576412943</c:v>
                      </c:pt>
                      <c:pt idx="17">
                        <c:v>211807.22210428791</c:v>
                      </c:pt>
                      <c:pt idx="18">
                        <c:v>215594.1576412943</c:v>
                      </c:pt>
                      <c:pt idx="19">
                        <c:v>210893.134216045</c:v>
                      </c:pt>
                      <c:pt idx="20">
                        <c:v>210631.96624797559</c:v>
                      </c:pt>
                      <c:pt idx="21">
                        <c:v>208150.87055131624</c:v>
                      </c:pt>
                      <c:pt idx="22">
                        <c:v>206845.03071096921</c:v>
                      </c:pt>
                      <c:pt idx="23">
                        <c:v>206192.1107907957</c:v>
                      </c:pt>
                      <c:pt idx="24">
                        <c:v>205539.19087062217</c:v>
                      </c:pt>
                      <c:pt idx="25">
                        <c:v>203972.18306220576</c:v>
                      </c:pt>
                      <c:pt idx="26">
                        <c:v>198879.40768485234</c:v>
                      </c:pt>
                      <c:pt idx="27">
                        <c:v>197442.98386047062</c:v>
                      </c:pt>
                      <c:pt idx="28">
                        <c:v>193394.88035539482</c:v>
                      </c:pt>
                      <c:pt idx="29">
                        <c:v>201953.11586102098</c:v>
                      </c:pt>
                      <c:pt idx="30">
                        <c:v>201656.29324272738</c:v>
                      </c:pt>
                      <c:pt idx="31">
                        <c:v>202454.4341777995</c:v>
                      </c:pt>
                      <c:pt idx="32">
                        <c:v>201991.89533573797</c:v>
                      </c:pt>
                      <c:pt idx="33">
                        <c:v>201540.48707251667</c:v>
                      </c:pt>
                      <c:pt idx="34">
                        <c:v>201086.58029966004</c:v>
                      </c:pt>
                      <c:pt idx="35">
                        <c:v>200642.25540057867</c:v>
                      </c:pt>
                      <c:pt idx="36">
                        <c:v>200186.81651133185</c:v>
                      </c:pt>
                      <c:pt idx="37">
                        <c:v>199665.19522394793</c:v>
                      </c:pt>
                      <c:pt idx="38">
                        <c:v>199146.52076576962</c:v>
                      </c:pt>
                      <c:pt idx="39">
                        <c:v>198612.80250630027</c:v>
                      </c:pt>
                      <c:pt idx="40">
                        <c:v>198067.91368843045</c:v>
                      </c:pt>
                      <c:pt idx="41">
                        <c:v>197510.83474668587</c:v>
                      </c:pt>
                      <c:pt idx="42">
                        <c:v>196888.9439638331</c:v>
                      </c:pt>
                      <c:pt idx="43">
                        <c:v>196287.09400494178</c:v>
                      </c:pt>
                      <c:pt idx="44">
                        <c:v>195640.04203057202</c:v>
                      </c:pt>
                      <c:pt idx="45">
                        <c:v>194961.38991015829</c:v>
                      </c:pt>
                      <c:pt idx="46">
                        <c:v>194249.42730539403</c:v>
                      </c:pt>
                      <c:pt idx="47">
                        <c:v>193514.57842039689</c:v>
                      </c:pt>
                      <c:pt idx="48">
                        <c:v>192756.81759804545</c:v>
                      </c:pt>
                      <c:pt idx="49">
                        <c:v>191990.54508751829</c:v>
                      </c:pt>
                      <c:pt idx="50">
                        <c:v>191201.14455811423</c:v>
                      </c:pt>
                      <c:pt idx="51">
                        <c:v>190375.67386943373</c:v>
                      </c:pt>
                      <c:pt idx="52">
                        <c:v>189496.04390084688</c:v>
                      </c:pt>
                      <c:pt idx="53">
                        <c:v>188588.7240346121</c:v>
                      </c:pt>
                      <c:pt idx="54">
                        <c:v>187655.29274014002</c:v>
                      </c:pt>
                      <c:pt idx="55">
                        <c:v>186691.85380900529</c:v>
                      </c:pt>
                      <c:pt idx="56">
                        <c:v>185682.95978216332</c:v>
                      </c:pt>
                      <c:pt idx="57">
                        <c:v>184643.59242916104</c:v>
                      </c:pt>
                      <c:pt idx="58">
                        <c:v>183565.03241786413</c:v>
                      </c:pt>
                      <c:pt idx="59">
                        <c:v>182476.64425137412</c:v>
                      </c:pt>
                      <c:pt idx="60">
                        <c:v>181345.51132682853</c:v>
                      </c:pt>
                      <c:pt idx="61">
                        <c:v>180168.06665039493</c:v>
                      </c:pt>
                    </c:numCache>
                  </c:numRef>
                </c:val>
                <c:extLst xmlns:c15="http://schemas.microsoft.com/office/drawing/2012/chart">
                  <c:ext xmlns:c16="http://schemas.microsoft.com/office/drawing/2014/chart" uri="{C3380CC4-5D6E-409C-BE32-E72D297353CC}">
                    <c16:uniqueId val="{0000000F-3B16-45B8-89BE-5AE640BDA9C0}"/>
                  </c:ext>
                </c:extLst>
              </c15:ser>
            </c15:filteredAreaSeries>
            <c15:filteredAreaSeries>
              <c15:ser>
                <c:idx val="16"/>
                <c:order val="14"/>
                <c:tx>
                  <c:strRef>
                    <c:extLst xmlns:c15="http://schemas.microsoft.com/office/drawing/2012/chart">
                      <c:ext xmlns:c15="http://schemas.microsoft.com/office/drawing/2012/chart" uri="{02D57815-91ED-43cb-92C2-25804820EDAC}">
                        <c15:formulaRef>
                          <c15:sqref>'Activity data'!$D$19:$F$19</c15:sqref>
                        </c15:formulaRef>
                      </c:ext>
                    </c:extLst>
                    <c:strCache>
                      <c:ptCount val="3"/>
                      <c:pt idx="0">
                        <c:v>Commercial layers</c:v>
                      </c:pt>
                      <c:pt idx="1">
                        <c:v>Population</c:v>
                      </c:pt>
                      <c:pt idx="2">
                        <c:v>Head</c:v>
                      </c:pt>
                    </c:strCache>
                  </c:strRef>
                </c:tx>
                <c:spPr>
                  <a:solidFill>
                    <a:schemeClr val="accent5">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data'!$G$19:$BP$19</c15:sqref>
                        </c15:formulaRef>
                      </c:ext>
                    </c:extLst>
                    <c:numCache>
                      <c:formatCode>#,##0</c:formatCode>
                      <c:ptCount val="62"/>
                      <c:pt idx="1">
                        <c:v>14643674.931267885</c:v>
                      </c:pt>
                      <c:pt idx="2">
                        <c:v>14226110.812328145</c:v>
                      </c:pt>
                      <c:pt idx="3">
                        <c:v>13492476.52712371</c:v>
                      </c:pt>
                      <c:pt idx="4">
                        <c:v>13280331.082668224</c:v>
                      </c:pt>
                      <c:pt idx="5">
                        <c:v>12702684.496371185</c:v>
                      </c:pt>
                      <c:pt idx="6">
                        <c:v>13860209.809151115</c:v>
                      </c:pt>
                      <c:pt idx="7">
                        <c:v>14640611.562802857</c:v>
                      </c:pt>
                      <c:pt idx="8">
                        <c:v>14688755.298092401</c:v>
                      </c:pt>
                      <c:pt idx="9">
                        <c:v>16538299.007411262</c:v>
                      </c:pt>
                      <c:pt idx="10">
                        <c:v>17730716.13950536</c:v>
                      </c:pt>
                      <c:pt idx="11">
                        <c:v>17355030.714458548</c:v>
                      </c:pt>
                      <c:pt idx="12">
                        <c:v>17818001.024886843</c:v>
                      </c:pt>
                      <c:pt idx="13">
                        <c:v>17678155.288284503</c:v>
                      </c:pt>
                      <c:pt idx="14">
                        <c:v>16972399.104253348</c:v>
                      </c:pt>
                      <c:pt idx="15">
                        <c:v>17587835.89054852</c:v>
                      </c:pt>
                      <c:pt idx="16">
                        <c:v>18648391.6209228</c:v>
                      </c:pt>
                      <c:pt idx="17">
                        <c:v>20580691.805783488</c:v>
                      </c:pt>
                      <c:pt idx="18">
                        <c:v>22776081.657241259</c:v>
                      </c:pt>
                      <c:pt idx="19">
                        <c:v>23076039.863330547</c:v>
                      </c:pt>
                      <c:pt idx="20">
                        <c:v>22225308.649488669</c:v>
                      </c:pt>
                      <c:pt idx="21">
                        <c:v>23091061.215630483</c:v>
                      </c:pt>
                      <c:pt idx="22">
                        <c:v>24156882.687047753</c:v>
                      </c:pt>
                      <c:pt idx="23">
                        <c:v>25036870.403128054</c:v>
                      </c:pt>
                      <c:pt idx="24">
                        <c:v>24549576.616170555</c:v>
                      </c:pt>
                      <c:pt idx="25">
                        <c:v>24340499.841357533</c:v>
                      </c:pt>
                      <c:pt idx="26">
                        <c:v>24851160.720602136</c:v>
                      </c:pt>
                      <c:pt idx="27">
                        <c:v>24800000</c:v>
                      </c:pt>
                      <c:pt idx="28">
                        <c:v>23160000</c:v>
                      </c:pt>
                      <c:pt idx="29">
                        <c:v>25672965.531027533</c:v>
                      </c:pt>
                      <c:pt idx="30">
                        <c:v>25917945.824981693</c:v>
                      </c:pt>
                      <c:pt idx="31">
                        <c:v>25801537.998029709</c:v>
                      </c:pt>
                      <c:pt idx="32">
                        <c:v>26103212.804306682</c:v>
                      </c:pt>
                      <c:pt idx="33">
                        <c:v>26401214.007045787</c:v>
                      </c:pt>
                      <c:pt idx="34">
                        <c:v>26700039.832393941</c:v>
                      </c:pt>
                      <c:pt idx="35">
                        <c:v>26995703.200555492</c:v>
                      </c:pt>
                      <c:pt idx="36">
                        <c:v>27295034.697232477</c:v>
                      </c:pt>
                      <c:pt idx="37">
                        <c:v>27628636.24784869</c:v>
                      </c:pt>
                      <c:pt idx="38">
                        <c:v>27961265.209865041</c:v>
                      </c:pt>
                      <c:pt idx="39">
                        <c:v>28298859.31529934</c:v>
                      </c:pt>
                      <c:pt idx="40">
                        <c:v>28640140.216606796</c:v>
                      </c:pt>
                      <c:pt idx="41">
                        <c:v>28985444.417089071</c:v>
                      </c:pt>
                      <c:pt idx="42">
                        <c:v>29346658.493996684</c:v>
                      </c:pt>
                      <c:pt idx="43">
                        <c:v>29701258.178395629</c:v>
                      </c:pt>
                      <c:pt idx="44">
                        <c:v>30070776.600862645</c:v>
                      </c:pt>
                      <c:pt idx="45">
                        <c:v>30450724.516030375</c:v>
                      </c:pt>
                      <c:pt idx="46">
                        <c:v>30841666.416622464</c:v>
                      </c:pt>
                      <c:pt idx="47">
                        <c:v>31246293.421992641</c:v>
                      </c:pt>
                      <c:pt idx="48">
                        <c:v>31658482.416034795</c:v>
                      </c:pt>
                      <c:pt idx="49">
                        <c:v>32073480.65425162</c:v>
                      </c:pt>
                      <c:pt idx="50">
                        <c:v>32496112.200689822</c:v>
                      </c:pt>
                      <c:pt idx="51">
                        <c:v>32930648.55166842</c:v>
                      </c:pt>
                      <c:pt idx="52">
                        <c:v>33406000.731296811</c:v>
                      </c:pt>
                      <c:pt idx="53">
                        <c:v>33890491.84256956</c:v>
                      </c:pt>
                      <c:pt idx="54">
                        <c:v>34383600.923789918</c:v>
                      </c:pt>
                      <c:pt idx="55">
                        <c:v>34886613.89943032</c:v>
                      </c:pt>
                      <c:pt idx="56">
                        <c:v>35404629.138454542</c:v>
                      </c:pt>
                      <c:pt idx="57">
                        <c:v>35926171.35219714</c:v>
                      </c:pt>
                      <c:pt idx="58">
                        <c:v>36460648.938163668</c:v>
                      </c:pt>
                      <c:pt idx="59">
                        <c:v>36998370.268214718</c:v>
                      </c:pt>
                      <c:pt idx="60">
                        <c:v>37550199.323343024</c:v>
                      </c:pt>
                      <c:pt idx="61">
                        <c:v>38117313.377628803</c:v>
                      </c:pt>
                    </c:numCache>
                  </c:numRef>
                </c:val>
                <c:extLst xmlns:c15="http://schemas.microsoft.com/office/drawing/2012/chart">
                  <c:ext xmlns:c16="http://schemas.microsoft.com/office/drawing/2014/chart" uri="{C3380CC4-5D6E-409C-BE32-E72D297353CC}">
                    <c16:uniqueId val="{00000010-3B16-45B8-89BE-5AE640BDA9C0}"/>
                  </c:ext>
                </c:extLst>
              </c15:ser>
            </c15:filteredAreaSeries>
            <c15:filteredAreaSeries>
              <c15:ser>
                <c:idx val="18"/>
                <c:order val="16"/>
                <c:tx>
                  <c:strRef>
                    <c:extLst xmlns:c15="http://schemas.microsoft.com/office/drawing/2012/chart">
                      <c:ext xmlns:c15="http://schemas.microsoft.com/office/drawing/2012/chart" uri="{02D57815-91ED-43cb-92C2-25804820EDAC}">
                        <c15:formulaRef>
                          <c15:sqref>'Activity data'!$D$21:$F$21</c15:sqref>
                        </c15:formulaRef>
                      </c:ext>
                    </c:extLst>
                    <c:strCache>
                      <c:ptCount val="3"/>
                      <c:pt idx="0">
                        <c:v>Subsistence layers</c:v>
                      </c:pt>
                      <c:pt idx="1">
                        <c:v>Population</c:v>
                      </c:pt>
                      <c:pt idx="2">
                        <c:v>Head</c:v>
                      </c:pt>
                    </c:strCache>
                  </c:strRef>
                </c:tx>
                <c:spPr>
                  <a:solidFill>
                    <a:schemeClr val="accent1">
                      <a:lumMod val="8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data'!$G$21:$BP$21</c15:sqref>
                        </c15:formulaRef>
                      </c:ext>
                    </c:extLst>
                    <c:numCache>
                      <c:formatCode>#,##0</c:formatCode>
                      <c:ptCount val="62"/>
                      <c:pt idx="1">
                        <c:v>615034.34711325122</c:v>
                      </c:pt>
                      <c:pt idx="2">
                        <c:v>597496.65411778213</c:v>
                      </c:pt>
                      <c:pt idx="3">
                        <c:v>566684.0141391959</c:v>
                      </c:pt>
                      <c:pt idx="4">
                        <c:v>557773.90547206544</c:v>
                      </c:pt>
                      <c:pt idx="5">
                        <c:v>533512.74884758983</c:v>
                      </c:pt>
                      <c:pt idx="6">
                        <c:v>582128.81198434683</c:v>
                      </c:pt>
                      <c:pt idx="7">
                        <c:v>614905.68563772005</c:v>
                      </c:pt>
                      <c:pt idx="8">
                        <c:v>616927.72251988086</c:v>
                      </c:pt>
                      <c:pt idx="9">
                        <c:v>694608.55831127299</c:v>
                      </c:pt>
                      <c:pt idx="10">
                        <c:v>744690.07785922522</c:v>
                      </c:pt>
                      <c:pt idx="11">
                        <c:v>728911.290007259</c:v>
                      </c:pt>
                      <c:pt idx="12">
                        <c:v>748356.04304524744</c:v>
                      </c:pt>
                      <c:pt idx="13">
                        <c:v>742482.52210794913</c:v>
                      </c:pt>
                      <c:pt idx="14">
                        <c:v>712840.76237864071</c:v>
                      </c:pt>
                      <c:pt idx="15">
                        <c:v>738689.10740303784</c:v>
                      </c:pt>
                      <c:pt idx="16">
                        <c:v>783232.44807875762</c:v>
                      </c:pt>
                      <c:pt idx="17">
                        <c:v>864389.05584290659</c:v>
                      </c:pt>
                      <c:pt idx="18">
                        <c:v>956595.42960413289</c:v>
                      </c:pt>
                      <c:pt idx="19">
                        <c:v>969193.674259883</c:v>
                      </c:pt>
                      <c:pt idx="20">
                        <c:v>933462.96327852411</c:v>
                      </c:pt>
                      <c:pt idx="21">
                        <c:v>969824.57105648029</c:v>
                      </c:pt>
                      <c:pt idx="22">
                        <c:v>1014589.0728560057</c:v>
                      </c:pt>
                      <c:pt idx="23">
                        <c:v>1051548.5569313783</c:v>
                      </c:pt>
                      <c:pt idx="24">
                        <c:v>1031082.2178791633</c:v>
                      </c:pt>
                      <c:pt idx="25">
                        <c:v>1022300.9933370164</c:v>
                      </c:pt>
                      <c:pt idx="26">
                        <c:v>1043748.7502652898</c:v>
                      </c:pt>
                      <c:pt idx="27">
                        <c:v>1041600.0000000001</c:v>
                      </c:pt>
                      <c:pt idx="28">
                        <c:v>972720.00000000012</c:v>
                      </c:pt>
                      <c:pt idx="29">
                        <c:v>1026918.6212411013</c:v>
                      </c:pt>
                      <c:pt idx="30">
                        <c:v>1036717.8329992677</c:v>
                      </c:pt>
                      <c:pt idx="31">
                        <c:v>1032061.5199211884</c:v>
                      </c:pt>
                      <c:pt idx="32">
                        <c:v>1044128.5121722673</c:v>
                      </c:pt>
                      <c:pt idx="33">
                        <c:v>1056048.5602818315</c:v>
                      </c:pt>
                      <c:pt idx="34">
                        <c:v>1068001.5932957577</c:v>
                      </c:pt>
                      <c:pt idx="35">
                        <c:v>1079828.1280222198</c:v>
                      </c:pt>
                      <c:pt idx="36">
                        <c:v>1091801.3878892991</c:v>
                      </c:pt>
                      <c:pt idx="37">
                        <c:v>1105145.4499139476</c:v>
                      </c:pt>
                      <c:pt idx="38">
                        <c:v>1118450.6083946016</c:v>
                      </c:pt>
                      <c:pt idx="39">
                        <c:v>1131954.3726119737</c:v>
                      </c:pt>
                      <c:pt idx="40">
                        <c:v>1145605.6086642719</c:v>
                      </c:pt>
                      <c:pt idx="41">
                        <c:v>1159417.7766835629</c:v>
                      </c:pt>
                      <c:pt idx="42">
                        <c:v>1173866.3397598674</c:v>
                      </c:pt>
                      <c:pt idx="43">
                        <c:v>1188050.3271358253</c:v>
                      </c:pt>
                      <c:pt idx="44">
                        <c:v>1202831.0640345057</c:v>
                      </c:pt>
                      <c:pt idx="45">
                        <c:v>1218028.9806412151</c:v>
                      </c:pt>
                      <c:pt idx="46">
                        <c:v>1233666.6566648986</c:v>
                      </c:pt>
                      <c:pt idx="47">
                        <c:v>1249851.7368797057</c:v>
                      </c:pt>
                      <c:pt idx="48">
                        <c:v>1266339.2966413919</c:v>
                      </c:pt>
                      <c:pt idx="49">
                        <c:v>1282939.2261700649</c:v>
                      </c:pt>
                      <c:pt idx="50">
                        <c:v>1299844.4880275929</c:v>
                      </c:pt>
                      <c:pt idx="51">
                        <c:v>1317225.9420667368</c:v>
                      </c:pt>
                      <c:pt idx="52">
                        <c:v>1336240.0292518726</c:v>
                      </c:pt>
                      <c:pt idx="53">
                        <c:v>1355619.6737027825</c:v>
                      </c:pt>
                      <c:pt idx="54">
                        <c:v>1375344.0369515968</c:v>
                      </c:pt>
                      <c:pt idx="55">
                        <c:v>1395464.5559772127</c:v>
                      </c:pt>
                      <c:pt idx="56">
                        <c:v>1416185.1655381818</c:v>
                      </c:pt>
                      <c:pt idx="57">
                        <c:v>1437046.8540878857</c:v>
                      </c:pt>
                      <c:pt idx="58">
                        <c:v>1458425.9575265467</c:v>
                      </c:pt>
                      <c:pt idx="59">
                        <c:v>1479934.8107285888</c:v>
                      </c:pt>
                      <c:pt idx="60">
                        <c:v>1502007.972933721</c:v>
                      </c:pt>
                      <c:pt idx="61">
                        <c:v>1524692.5351051521</c:v>
                      </c:pt>
                    </c:numCache>
                  </c:numRef>
                </c:val>
                <c:extLst xmlns:c15="http://schemas.microsoft.com/office/drawing/2012/chart">
                  <c:ext xmlns:c16="http://schemas.microsoft.com/office/drawing/2014/chart" uri="{C3380CC4-5D6E-409C-BE32-E72D297353CC}">
                    <c16:uniqueId val="{00000012-3B16-45B8-89BE-5AE640BDA9C0}"/>
                  </c:ext>
                </c:extLst>
              </c15:ser>
            </c15:filteredAreaSeries>
          </c:ext>
        </c:extLst>
      </c:areaChart>
      <c:catAx>
        <c:axId val="789136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59823"/>
        <c:crosses val="autoZero"/>
        <c:auto val="1"/>
        <c:lblAlgn val="ctr"/>
        <c:lblOffset val="100"/>
        <c:noMultiLvlLbl val="0"/>
      </c:catAx>
      <c:valAx>
        <c:axId val="789159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3694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'Emissions summary'!$C$58</c:f>
              <c:strCache>
                <c:ptCount val="1"/>
                <c:pt idx="0">
                  <c:v>Enteric</c:v>
                </c:pt>
              </c:strCache>
            </c:strRef>
          </c:tx>
          <c:spPr>
            <a:solidFill>
              <a:schemeClr val="accent1"/>
            </a:solidFill>
            <a:ln>
              <a:noFill/>
            </a:ln>
            <a:effectLst/>
          </c:spPr>
          <c:cat>
            <c:numRef>
              <c:f>'Emissions summary'!$F$57:$BN$57</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'Emissions summary'!$F$58:$BN$58</c:f>
              <c:numCache>
                <c:formatCode>General</c:formatCode>
                <c:ptCount val="61"/>
                <c:pt idx="0">
                  <c:v>27887.85112455436</c:v>
                </c:pt>
                <c:pt idx="1">
                  <c:v>28052.95424476856</c:v>
                </c:pt>
                <c:pt idx="2">
                  <c:v>27441.217435183567</c:v>
                </c:pt>
                <c:pt idx="3">
                  <c:v>26581.05994030408</c:v>
                </c:pt>
                <c:pt idx="4">
                  <c:v>25774.563793534111</c:v>
                </c:pt>
                <c:pt idx="5">
                  <c:v>26067.705926599345</c:v>
                </c:pt>
                <c:pt idx="6">
                  <c:v>26722.834982572273</c:v>
                </c:pt>
                <c:pt idx="7">
                  <c:v>27148.993723921943</c:v>
                </c:pt>
                <c:pt idx="8">
                  <c:v>27518.798403844699</c:v>
                </c:pt>
                <c:pt idx="9">
                  <c:v>27480.068184836913</c:v>
                </c:pt>
                <c:pt idx="10">
                  <c:v>27554.219807136677</c:v>
                </c:pt>
                <c:pt idx="11">
                  <c:v>27355.95746628254</c:v>
                </c:pt>
                <c:pt idx="12">
                  <c:v>26716.740856961191</c:v>
                </c:pt>
                <c:pt idx="13">
                  <c:v>26637.476489992478</c:v>
                </c:pt>
                <c:pt idx="14">
                  <c:v>26374.852623436884</c:v>
                </c:pt>
                <c:pt idx="15">
                  <c:v>26533.412575204307</c:v>
                </c:pt>
                <c:pt idx="16">
                  <c:v>26410.698013112593</c:v>
                </c:pt>
                <c:pt idx="17">
                  <c:v>26955.917556178629</c:v>
                </c:pt>
                <c:pt idx="18">
                  <c:v>27407.444385583316</c:v>
                </c:pt>
                <c:pt idx="19">
                  <c:v>27291.288746937418</c:v>
                </c:pt>
                <c:pt idx="20">
                  <c:v>27077.0700941676</c:v>
                </c:pt>
                <c:pt idx="21">
                  <c:v>26920.982021071421</c:v>
                </c:pt>
                <c:pt idx="22">
                  <c:v>27469.076503124114</c:v>
                </c:pt>
                <c:pt idx="23">
                  <c:v>27304.760847607151</c:v>
                </c:pt>
                <c:pt idx="24">
                  <c:v>27103.533249424239</c:v>
                </c:pt>
                <c:pt idx="25">
                  <c:v>26779.377143924692</c:v>
                </c:pt>
                <c:pt idx="26">
                  <c:v>26271.294216726048</c:v>
                </c:pt>
                <c:pt idx="27">
                  <c:v>25739.24076826543</c:v>
                </c:pt>
                <c:pt idx="28">
                  <c:v>26979.240392504562</c:v>
                </c:pt>
                <c:pt idx="29">
                  <c:v>27845.684012346828</c:v>
                </c:pt>
                <c:pt idx="30">
                  <c:v>27875.278038756765</c:v>
                </c:pt>
                <c:pt idx="31">
                  <c:v>27920.645783751799</c:v>
                </c:pt>
                <c:pt idx="32">
                  <c:v>27965.87410142969</c:v>
                </c:pt>
                <c:pt idx="33">
                  <c:v>28011.127582231569</c:v>
                </c:pt>
                <c:pt idx="34">
                  <c:v>28056.2611718076</c:v>
                </c:pt>
                <c:pt idx="35">
                  <c:v>28101.523654600423</c:v>
                </c:pt>
                <c:pt idx="36">
                  <c:v>28150.893215586013</c:v>
                </c:pt>
                <c:pt idx="37">
                  <c:v>28200.221325815055</c:v>
                </c:pt>
                <c:pt idx="38">
                  <c:v>28249.72315597034</c:v>
                </c:pt>
                <c:pt idx="39">
                  <c:v>28299.35195562246</c:v>
                </c:pt>
                <c:pt idx="40">
                  <c:v>28349.119514829454</c:v>
                </c:pt>
                <c:pt idx="41">
                  <c:v>28398.187103431752</c:v>
                </c:pt>
                <c:pt idx="42">
                  <c:v>28447.008109347498</c:v>
                </c:pt>
                <c:pt idx="43">
                  <c:v>28496.357816268774</c:v>
                </c:pt>
                <c:pt idx="44">
                  <c:v>28546.073288904598</c:v>
                </c:pt>
                <c:pt idx="45">
                  <c:v>28596.173680628974</c:v>
                </c:pt>
                <c:pt idx="46">
                  <c:v>28648.172715140045</c:v>
                </c:pt>
                <c:pt idx="47">
                  <c:v>28700.431873710975</c:v>
                </c:pt>
                <c:pt idx="48">
                  <c:v>28752.780617350276</c:v>
                </c:pt>
                <c:pt idx="49">
                  <c:v>28805.391103805265</c:v>
                </c:pt>
                <c:pt idx="50">
                  <c:v>28858.415010654822</c:v>
                </c:pt>
                <c:pt idx="51">
                  <c:v>28918.192307399717</c:v>
                </c:pt>
                <c:pt idx="52">
                  <c:v>28978.281625303189</c:v>
                </c:pt>
                <c:pt idx="53">
                  <c:v>29038.66364179186</c:v>
                </c:pt>
                <c:pt idx="54">
                  <c:v>29099.383268838628</c:v>
                </c:pt>
                <c:pt idx="55">
                  <c:v>29160.620355987459</c:v>
                </c:pt>
                <c:pt idx="56">
                  <c:v>29220.453965387278</c:v>
                </c:pt>
                <c:pt idx="57">
                  <c:v>29280.729658040855</c:v>
                </c:pt>
                <c:pt idx="58">
                  <c:v>29341.103987164432</c:v>
                </c:pt>
                <c:pt idx="59">
                  <c:v>29401.960383159138</c:v>
                </c:pt>
                <c:pt idx="60">
                  <c:v>29463.339197565292</c:v>
                </c:pt>
              </c:numCache>
            </c:numRef>
          </c:val>
          <c:extLst>
            <c:ext xmlns:c16="http://schemas.microsoft.com/office/drawing/2014/chart" uri="{C3380CC4-5D6E-409C-BE32-E72D297353CC}">
              <c16:uniqueId val="{00000000-2D26-4177-8A16-4D1FE8C89A7C}"/>
            </c:ext>
          </c:extLst>
        </c:ser>
        <c:ser>
          <c:idx val="1"/>
          <c:order val="1"/>
          <c:tx>
            <c:strRef>
              <c:f>'Emissions summary'!$C$59</c:f>
              <c:strCache>
                <c:ptCount val="1"/>
                <c:pt idx="0">
                  <c:v>Manure CH4</c:v>
                </c:pt>
              </c:strCache>
            </c:strRef>
          </c:tx>
          <c:spPr>
            <a:solidFill>
              <a:schemeClr val="accent2"/>
            </a:solidFill>
            <a:ln>
              <a:noFill/>
            </a:ln>
            <a:effectLst/>
          </c:spPr>
          <c:cat>
            <c:numRef>
              <c:f>'Emissions summary'!$F$57:$BN$57</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'Emissions summary'!$F$59:$BN$59</c:f>
              <c:numCache>
                <c:formatCode>General</c:formatCode>
                <c:ptCount val="61"/>
                <c:pt idx="0">
                  <c:v>666.06204934001551</c:v>
                </c:pt>
                <c:pt idx="1">
                  <c:v>732.12436901914043</c:v>
                </c:pt>
                <c:pt idx="2">
                  <c:v>700.56680996537909</c:v>
                </c:pt>
                <c:pt idx="3">
                  <c:v>712.45688981398314</c:v>
                </c:pt>
                <c:pt idx="4">
                  <c:v>673.84019056197121</c:v>
                </c:pt>
                <c:pt idx="5">
                  <c:v>693.75148778351172</c:v>
                </c:pt>
                <c:pt idx="6">
                  <c:v>735.0532688951846</c:v>
                </c:pt>
                <c:pt idx="7">
                  <c:v>726.81306453403101</c:v>
                </c:pt>
                <c:pt idx="8">
                  <c:v>739.05090449418776</c:v>
                </c:pt>
                <c:pt idx="9">
                  <c:v>751.5428196938949</c:v>
                </c:pt>
                <c:pt idx="10">
                  <c:v>762.61798038874713</c:v>
                </c:pt>
                <c:pt idx="11">
                  <c:v>770.037342974083</c:v>
                </c:pt>
                <c:pt idx="12">
                  <c:v>755.58203891254311</c:v>
                </c:pt>
                <c:pt idx="13">
                  <c:v>721.75143456019089</c:v>
                </c:pt>
                <c:pt idx="14">
                  <c:v>716.67484725890722</c:v>
                </c:pt>
                <c:pt idx="15">
                  <c:v>729.32337712122808</c:v>
                </c:pt>
                <c:pt idx="16">
                  <c:v>720.68997500480248</c:v>
                </c:pt>
                <c:pt idx="17">
                  <c:v>731.3640552803688</c:v>
                </c:pt>
                <c:pt idx="18">
                  <c:v>761.56334487642721</c:v>
                </c:pt>
                <c:pt idx="19">
                  <c:v>763.39480303850974</c:v>
                </c:pt>
                <c:pt idx="20">
                  <c:v>759.25274923515042</c:v>
                </c:pt>
                <c:pt idx="21">
                  <c:v>751.41115031540085</c:v>
                </c:pt>
                <c:pt idx="22">
                  <c:v>744.38511314864274</c:v>
                </c:pt>
                <c:pt idx="23">
                  <c:v>757.82655552186191</c:v>
                </c:pt>
                <c:pt idx="24">
                  <c:v>744.22285854115205</c:v>
                </c:pt>
                <c:pt idx="25">
                  <c:v>737.34059398935415</c:v>
                </c:pt>
                <c:pt idx="26">
                  <c:v>738.42694788516951</c:v>
                </c:pt>
                <c:pt idx="27">
                  <c:v>745.04487421960675</c:v>
                </c:pt>
                <c:pt idx="28">
                  <c:v>748.75282808729946</c:v>
                </c:pt>
                <c:pt idx="29">
                  <c:v>750.17872337648419</c:v>
                </c:pt>
                <c:pt idx="30">
                  <c:v>752.40132015299946</c:v>
                </c:pt>
                <c:pt idx="31">
                  <c:v>753.52465876935548</c:v>
                </c:pt>
                <c:pt idx="32">
                  <c:v>754.65788096336973</c:v>
                </c:pt>
                <c:pt idx="33">
                  <c:v>755.78887999229153</c:v>
                </c:pt>
                <c:pt idx="34">
                  <c:v>756.92838752645548</c:v>
                </c:pt>
                <c:pt idx="35">
                  <c:v>758.05801852582749</c:v>
                </c:pt>
                <c:pt idx="36">
                  <c:v>759.25679446510969</c:v>
                </c:pt>
                <c:pt idx="37">
                  <c:v>760.45818371869518</c:v>
                </c:pt>
                <c:pt idx="38">
                  <c:v>761.64620358486809</c:v>
                </c:pt>
                <c:pt idx="39">
                  <c:v>762.82429469803708</c:v>
                </c:pt>
                <c:pt idx="40">
                  <c:v>763.99155098528877</c:v>
                </c:pt>
                <c:pt idx="41">
                  <c:v>765.04478978736961</c:v>
                </c:pt>
                <c:pt idx="42">
                  <c:v>766.11582750514435</c:v>
                </c:pt>
                <c:pt idx="43">
                  <c:v>767.14669934311019</c:v>
                </c:pt>
                <c:pt idx="44">
                  <c:v>768.14948882493013</c:v>
                </c:pt>
                <c:pt idx="45">
                  <c:v>769.12267556074346</c:v>
                </c:pt>
                <c:pt idx="46">
                  <c:v>770.13865002124089</c:v>
                </c:pt>
                <c:pt idx="47">
                  <c:v>771.1342593863252</c:v>
                </c:pt>
                <c:pt idx="48">
                  <c:v>772.12229792823348</c:v>
                </c:pt>
                <c:pt idx="49">
                  <c:v>773.08977871892739</c:v>
                </c:pt>
                <c:pt idx="50">
                  <c:v>774.02520174157178</c:v>
                </c:pt>
                <c:pt idx="51">
                  <c:v>775.14868638816233</c:v>
                </c:pt>
                <c:pt idx="52">
                  <c:v>776.24755731109406</c:v>
                </c:pt>
                <c:pt idx="53">
                  <c:v>777.32321653242013</c:v>
                </c:pt>
                <c:pt idx="54">
                  <c:v>778.37220141449529</c:v>
                </c:pt>
                <c:pt idx="55">
                  <c:v>779.38078493339594</c:v>
                </c:pt>
                <c:pt idx="56">
                  <c:v>780.29504108511981</c:v>
                </c:pt>
                <c:pt idx="57">
                  <c:v>781.17445900714722</c:v>
                </c:pt>
                <c:pt idx="58">
                  <c:v>782.04513164188768</c:v>
                </c:pt>
                <c:pt idx="59">
                  <c:v>782.8778085070303</c:v>
                </c:pt>
                <c:pt idx="60">
                  <c:v>783.66931902775559</c:v>
                </c:pt>
              </c:numCache>
            </c:numRef>
          </c:val>
          <c:extLst>
            <c:ext xmlns:c16="http://schemas.microsoft.com/office/drawing/2014/chart" uri="{C3380CC4-5D6E-409C-BE32-E72D297353CC}">
              <c16:uniqueId val="{00000001-2D26-4177-8A16-4D1FE8C89A7C}"/>
            </c:ext>
          </c:extLst>
        </c:ser>
        <c:ser>
          <c:idx val="2"/>
          <c:order val="2"/>
          <c:tx>
            <c:strRef>
              <c:f>'Emissions summary'!$C$60</c:f>
              <c:strCache>
                <c:ptCount val="1"/>
                <c:pt idx="0">
                  <c:v>Manure N2O</c:v>
                </c:pt>
              </c:strCache>
            </c:strRef>
          </c:tx>
          <c:spPr>
            <a:solidFill>
              <a:schemeClr val="accent3"/>
            </a:solidFill>
            <a:ln>
              <a:noFill/>
            </a:ln>
            <a:effectLst/>
          </c:spPr>
          <c:cat>
            <c:numRef>
              <c:f>'Emissions summary'!$F$57:$BN$57</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'Emissions summary'!$F$60:$BN$60</c:f>
              <c:numCache>
                <c:formatCode>General</c:formatCode>
                <c:ptCount val="61"/>
                <c:pt idx="0">
                  <c:v>1255.1652754869137</c:v>
                </c:pt>
                <c:pt idx="1">
                  <c:v>1258.0143640040135</c:v>
                </c:pt>
                <c:pt idx="2">
                  <c:v>1225.2163625655207</c:v>
                </c:pt>
                <c:pt idx="3">
                  <c:v>1236.3224727966381</c:v>
                </c:pt>
                <c:pt idx="4">
                  <c:v>1196.4788414758145</c:v>
                </c:pt>
                <c:pt idx="5">
                  <c:v>1241.7643864691374</c:v>
                </c:pt>
                <c:pt idx="6">
                  <c:v>1306.5378094378329</c:v>
                </c:pt>
                <c:pt idx="7">
                  <c:v>1321.5734657862276</c:v>
                </c:pt>
                <c:pt idx="8">
                  <c:v>1372.8496560471892</c:v>
                </c:pt>
                <c:pt idx="9">
                  <c:v>1397.6106559713833</c:v>
                </c:pt>
                <c:pt idx="10">
                  <c:v>1437.1521613218097</c:v>
                </c:pt>
                <c:pt idx="11">
                  <c:v>1420.7532667016601</c:v>
                </c:pt>
                <c:pt idx="12">
                  <c:v>1453.9931240925632</c:v>
                </c:pt>
                <c:pt idx="13">
                  <c:v>1423.6012907024699</c:v>
                </c:pt>
                <c:pt idx="14">
                  <c:v>1426.753610882653</c:v>
                </c:pt>
                <c:pt idx="15">
                  <c:v>1477.1488035237094</c:v>
                </c:pt>
                <c:pt idx="16">
                  <c:v>1517.6310373242886</c:v>
                </c:pt>
                <c:pt idx="17">
                  <c:v>1563.8037591101804</c:v>
                </c:pt>
                <c:pt idx="18">
                  <c:v>1600.9778867790778</c:v>
                </c:pt>
                <c:pt idx="19">
                  <c:v>1570.3300471621321</c:v>
                </c:pt>
                <c:pt idx="20">
                  <c:v>1579.8471445717203</c:v>
                </c:pt>
                <c:pt idx="21">
                  <c:v>1630.4753358386679</c:v>
                </c:pt>
                <c:pt idx="22">
                  <c:v>1642.380071341656</c:v>
                </c:pt>
                <c:pt idx="23">
                  <c:v>1665.2529259483606</c:v>
                </c:pt>
                <c:pt idx="24">
                  <c:v>1689.0522689610332</c:v>
                </c:pt>
                <c:pt idx="25">
                  <c:v>1715.6363953919295</c:v>
                </c:pt>
                <c:pt idx="26">
                  <c:v>1681.005662815563</c:v>
                </c:pt>
                <c:pt idx="27">
                  <c:v>1676.8760997516429</c:v>
                </c:pt>
                <c:pt idx="28">
                  <c:v>1735.5268772397542</c:v>
                </c:pt>
                <c:pt idx="29">
                  <c:v>1782.5050801782247</c:v>
                </c:pt>
                <c:pt idx="30">
                  <c:v>1792.8710825054216</c:v>
                </c:pt>
                <c:pt idx="31">
                  <c:v>1811.0720748336689</c:v>
                </c:pt>
                <c:pt idx="32">
                  <c:v>1829.2057171711849</c:v>
                </c:pt>
                <c:pt idx="33">
                  <c:v>1847.354477670377</c:v>
                </c:pt>
                <c:pt idx="34">
                  <c:v>1865.4452594790546</c:v>
                </c:pt>
                <c:pt idx="35">
                  <c:v>1883.6032909025184</c:v>
                </c:pt>
                <c:pt idx="36">
                  <c:v>1903.4462171263463</c:v>
                </c:pt>
                <c:pt idx="37">
                  <c:v>1923.2713124642198</c:v>
                </c:pt>
                <c:pt idx="38">
                  <c:v>1943.1874359161839</c:v>
                </c:pt>
                <c:pt idx="39">
                  <c:v>1963.1711509857746</c:v>
                </c:pt>
                <c:pt idx="40">
                  <c:v>1983.2286269330436</c:v>
                </c:pt>
                <c:pt idx="41">
                  <c:v>2003.1117565591283</c:v>
                </c:pt>
                <c:pt idx="42">
                  <c:v>2022.8736214428993</c:v>
                </c:pt>
                <c:pt idx="43">
                  <c:v>2042.9089982150176</c:v>
                </c:pt>
                <c:pt idx="44">
                  <c:v>2063.1355831377045</c:v>
                </c:pt>
                <c:pt idx="45">
                  <c:v>2083.5637255332122</c:v>
                </c:pt>
                <c:pt idx="46">
                  <c:v>2104.7641085828045</c:v>
                </c:pt>
                <c:pt idx="47">
                  <c:v>2126.1031288296813</c:v>
                </c:pt>
                <c:pt idx="48">
                  <c:v>2147.4936519268304</c:v>
                </c:pt>
                <c:pt idx="49">
                  <c:v>2169.0241199871712</c:v>
                </c:pt>
                <c:pt idx="50">
                  <c:v>2190.7728439597208</c:v>
                </c:pt>
                <c:pt idx="51">
                  <c:v>2215.2204315690815</c:v>
                </c:pt>
                <c:pt idx="52">
                  <c:v>2239.8355669169759</c:v>
                </c:pt>
                <c:pt idx="53">
                  <c:v>2264.6086994558473</c:v>
                </c:pt>
                <c:pt idx="54">
                  <c:v>2289.5634043593654</c:v>
                </c:pt>
                <c:pt idx="55">
                  <c:v>2314.7931522229674</c:v>
                </c:pt>
                <c:pt idx="56">
                  <c:v>2339.5322874941326</c:v>
                </c:pt>
                <c:pt idx="57">
                  <c:v>2364.508572518987</c:v>
                </c:pt>
                <c:pt idx="58">
                  <c:v>2389.544326735961</c:v>
                </c:pt>
                <c:pt idx="59">
                  <c:v>2414.8387237228553</c:v>
                </c:pt>
                <c:pt idx="60">
                  <c:v>2440.413347186623</c:v>
                </c:pt>
              </c:numCache>
            </c:numRef>
          </c:val>
          <c:extLst>
            <c:ext xmlns:c16="http://schemas.microsoft.com/office/drawing/2014/chart" uri="{C3380CC4-5D6E-409C-BE32-E72D297353CC}">
              <c16:uniqueId val="{00000002-2D26-4177-8A16-4D1FE8C89A7C}"/>
            </c:ext>
          </c:extLst>
        </c:ser>
        <c:ser>
          <c:idx val="3"/>
          <c:order val="3"/>
          <c:tx>
            <c:strRef>
              <c:f>'Emissions summary'!$C$61</c:f>
              <c:strCache>
                <c:ptCount val="1"/>
                <c:pt idx="0">
                  <c:v>Biomass burning CH4</c:v>
                </c:pt>
              </c:strCache>
            </c:strRef>
          </c:tx>
          <c:spPr>
            <a:solidFill>
              <a:schemeClr val="accent4"/>
            </a:solidFill>
            <a:ln>
              <a:noFill/>
            </a:ln>
            <a:effectLst/>
          </c:spPr>
          <c:cat>
            <c:numRef>
              <c:f>'Emissions summary'!$F$57:$BN$57</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'Emissions summary'!$F$61:$BN$61</c:f>
              <c:numCache>
                <c:formatCode>General</c:formatCode>
                <c:ptCount val="61"/>
                <c:pt idx="0">
                  <c:v>1113.9523335609101</c:v>
                </c:pt>
                <c:pt idx="1">
                  <c:v>1113.9523335609101</c:v>
                </c:pt>
                <c:pt idx="2">
                  <c:v>1113.9523335609101</c:v>
                </c:pt>
                <c:pt idx="3">
                  <c:v>1113.9523335609101</c:v>
                </c:pt>
                <c:pt idx="4">
                  <c:v>1113.9523335609101</c:v>
                </c:pt>
                <c:pt idx="5">
                  <c:v>1113.9523335609101</c:v>
                </c:pt>
                <c:pt idx="6">
                  <c:v>1113.9523335609101</c:v>
                </c:pt>
                <c:pt idx="7">
                  <c:v>1113.9523335609101</c:v>
                </c:pt>
                <c:pt idx="8">
                  <c:v>1113.9523335609101</c:v>
                </c:pt>
                <c:pt idx="9">
                  <c:v>1113.9523335609101</c:v>
                </c:pt>
                <c:pt idx="10">
                  <c:v>1103.4776992955053</c:v>
                </c:pt>
                <c:pt idx="11">
                  <c:v>1282.5517441798665</c:v>
                </c:pt>
                <c:pt idx="12">
                  <c:v>1288.9176046937982</c:v>
                </c:pt>
                <c:pt idx="13">
                  <c:v>1011.4345809085878</c:v>
                </c:pt>
                <c:pt idx="14">
                  <c:v>883.38003872679235</c:v>
                </c:pt>
                <c:pt idx="15">
                  <c:v>1412.334298727088</c:v>
                </c:pt>
                <c:pt idx="16">
                  <c:v>1236.8838978672777</c:v>
                </c:pt>
                <c:pt idx="17">
                  <c:v>1218.5771221263838</c:v>
                </c:pt>
                <c:pt idx="18">
                  <c:v>1139.8644942847</c:v>
                </c:pt>
                <c:pt idx="19">
                  <c:v>1078.8713756473658</c:v>
                </c:pt>
                <c:pt idx="20">
                  <c:v>1107.055106514</c:v>
                </c:pt>
                <c:pt idx="21">
                  <c:v>1093.3943713178221</c:v>
                </c:pt>
                <c:pt idx="22">
                  <c:v>1003.5637069444559</c:v>
                </c:pt>
                <c:pt idx="23">
                  <c:v>949.58031288518987</c:v>
                </c:pt>
                <c:pt idx="24">
                  <c:v>1016.956735075512</c:v>
                </c:pt>
                <c:pt idx="25">
                  <c:v>737.86776841461585</c:v>
                </c:pt>
                <c:pt idx="26">
                  <c:v>446.18919850209591</c:v>
                </c:pt>
                <c:pt idx="27">
                  <c:v>416.70692080806589</c:v>
                </c:pt>
                <c:pt idx="28">
                  <c:v>1146.1124121127225</c:v>
                </c:pt>
                <c:pt idx="29">
                  <c:v>1153.1246026485426</c:v>
                </c:pt>
                <c:pt idx="30">
                  <c:v>1160.1367931843633</c:v>
                </c:pt>
                <c:pt idx="31">
                  <c:v>1167.1489837201832</c:v>
                </c:pt>
                <c:pt idx="32">
                  <c:v>1174.1611742560035</c:v>
                </c:pt>
                <c:pt idx="33">
                  <c:v>1181.1733647918238</c:v>
                </c:pt>
                <c:pt idx="34">
                  <c:v>1188.1855553276441</c:v>
                </c:pt>
                <c:pt idx="35">
                  <c:v>1195.1977458634644</c:v>
                </c:pt>
                <c:pt idx="36">
                  <c:v>1202.2099363992847</c:v>
                </c:pt>
                <c:pt idx="37">
                  <c:v>1209.2221269351051</c:v>
                </c:pt>
                <c:pt idx="38">
                  <c:v>1216.2343174709251</c:v>
                </c:pt>
                <c:pt idx="39">
                  <c:v>1223.2465080067454</c:v>
                </c:pt>
                <c:pt idx="40">
                  <c:v>1230.2586985425658</c:v>
                </c:pt>
                <c:pt idx="41">
                  <c:v>1237.2708890783865</c:v>
                </c:pt>
                <c:pt idx="42">
                  <c:v>1244.2830796142066</c:v>
                </c:pt>
                <c:pt idx="43">
                  <c:v>1251.2952701500269</c:v>
                </c:pt>
                <c:pt idx="44">
                  <c:v>1258.3074606858472</c:v>
                </c:pt>
                <c:pt idx="45">
                  <c:v>1265.3196512216678</c:v>
                </c:pt>
                <c:pt idx="46">
                  <c:v>1272.3318417574881</c:v>
                </c:pt>
                <c:pt idx="47">
                  <c:v>1279.3440322933086</c:v>
                </c:pt>
                <c:pt idx="48">
                  <c:v>1286.3562228291289</c:v>
                </c:pt>
                <c:pt idx="49">
                  <c:v>1293.3684133649492</c:v>
                </c:pt>
                <c:pt idx="50">
                  <c:v>1300.3806039007698</c:v>
                </c:pt>
                <c:pt idx="51">
                  <c:v>1307.3927944365903</c:v>
                </c:pt>
                <c:pt idx="52">
                  <c:v>1314.4049849724106</c:v>
                </c:pt>
                <c:pt idx="53">
                  <c:v>1321.4171755082309</c:v>
                </c:pt>
                <c:pt idx="54">
                  <c:v>1328.4293660440512</c:v>
                </c:pt>
                <c:pt idx="55">
                  <c:v>1335.4415565798715</c:v>
                </c:pt>
                <c:pt idx="56">
                  <c:v>1342.4537471156923</c:v>
                </c:pt>
                <c:pt idx="57">
                  <c:v>1349.4659376515126</c:v>
                </c:pt>
                <c:pt idx="58">
                  <c:v>1356.4781281873329</c:v>
                </c:pt>
                <c:pt idx="59">
                  <c:v>1363.490318723153</c:v>
                </c:pt>
                <c:pt idx="60">
                  <c:v>1370.5025092589733</c:v>
                </c:pt>
              </c:numCache>
            </c:numRef>
          </c:val>
          <c:extLst>
            <c:ext xmlns:c16="http://schemas.microsoft.com/office/drawing/2014/chart" uri="{C3380CC4-5D6E-409C-BE32-E72D297353CC}">
              <c16:uniqueId val="{00000003-2D26-4177-8A16-4D1FE8C89A7C}"/>
            </c:ext>
          </c:extLst>
        </c:ser>
        <c:ser>
          <c:idx val="4"/>
          <c:order val="4"/>
          <c:tx>
            <c:strRef>
              <c:f>'Emissions summary'!$C$62</c:f>
              <c:strCache>
                <c:ptCount val="1"/>
                <c:pt idx="0">
                  <c:v>Biomass burning N2O</c:v>
                </c:pt>
              </c:strCache>
            </c:strRef>
          </c:tx>
          <c:spPr>
            <a:solidFill>
              <a:schemeClr val="accent5"/>
            </a:solidFill>
            <a:ln>
              <a:noFill/>
            </a:ln>
            <a:effectLst/>
          </c:spPr>
          <c:cat>
            <c:numRef>
              <c:f>'Emissions summary'!$F$57:$BN$57</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'Emissions summary'!$F$62:$BN$62</c:f>
              <c:numCache>
                <c:formatCode>General</c:formatCode>
                <c:ptCount val="61"/>
                <c:pt idx="0">
                  <c:v>1149.3522600947301</c:v>
                </c:pt>
                <c:pt idx="1">
                  <c:v>1149.3522600947301</c:v>
                </c:pt>
                <c:pt idx="2">
                  <c:v>1149.3522600947301</c:v>
                </c:pt>
                <c:pt idx="3">
                  <c:v>1149.3522600947301</c:v>
                </c:pt>
                <c:pt idx="4">
                  <c:v>1149.3522600947301</c:v>
                </c:pt>
                <c:pt idx="5">
                  <c:v>1149.3522600947301</c:v>
                </c:pt>
                <c:pt idx="6">
                  <c:v>1149.3522600947301</c:v>
                </c:pt>
                <c:pt idx="7">
                  <c:v>1149.3522600947301</c:v>
                </c:pt>
                <c:pt idx="8">
                  <c:v>1149.3522600947301</c:v>
                </c:pt>
                <c:pt idx="9">
                  <c:v>1149.3522600947301</c:v>
                </c:pt>
                <c:pt idx="10">
                  <c:v>1138.2881924240246</c:v>
                </c:pt>
                <c:pt idx="11">
                  <c:v>1347.8625366593228</c:v>
                </c:pt>
                <c:pt idx="12">
                  <c:v>1328.3690110437451</c:v>
                </c:pt>
                <c:pt idx="13">
                  <c:v>1017.5651134275211</c:v>
                </c:pt>
                <c:pt idx="14">
                  <c:v>914.67644691903695</c:v>
                </c:pt>
                <c:pt idx="15">
                  <c:v>1447.9112474339306</c:v>
                </c:pt>
                <c:pt idx="16">
                  <c:v>1263.4019893034997</c:v>
                </c:pt>
                <c:pt idx="17">
                  <c:v>1217.4357899565925</c:v>
                </c:pt>
                <c:pt idx="18">
                  <c:v>1180.1818937292605</c:v>
                </c:pt>
                <c:pt idx="19">
                  <c:v>1108.1395844539597</c:v>
                </c:pt>
                <c:pt idx="20">
                  <c:v>1121.7567904983002</c:v>
                </c:pt>
                <c:pt idx="21">
                  <c:v>1111.0832034573957</c:v>
                </c:pt>
                <c:pt idx="22">
                  <c:v>1002.2217969563279</c:v>
                </c:pt>
                <c:pt idx="23">
                  <c:v>980.55948658247996</c:v>
                </c:pt>
                <c:pt idx="24">
                  <c:v>1029.1314860411758</c:v>
                </c:pt>
                <c:pt idx="25">
                  <c:v>747.9095108761079</c:v>
                </c:pt>
                <c:pt idx="26">
                  <c:v>434.96704823788798</c:v>
                </c:pt>
                <c:pt idx="27">
                  <c:v>408.31943255002801</c:v>
                </c:pt>
                <c:pt idx="28">
                  <c:v>1264.507856841826</c:v>
                </c:pt>
                <c:pt idx="29">
                  <c:v>1274.3394738201769</c:v>
                </c:pt>
                <c:pt idx="30">
                  <c:v>1284.1710907985278</c:v>
                </c:pt>
                <c:pt idx="31">
                  <c:v>1294.0027077768784</c:v>
                </c:pt>
                <c:pt idx="32">
                  <c:v>1303.8343247552295</c:v>
                </c:pt>
                <c:pt idx="33">
                  <c:v>1313.6659417335804</c:v>
                </c:pt>
                <c:pt idx="34">
                  <c:v>1323.4975587119316</c:v>
                </c:pt>
                <c:pt idx="35">
                  <c:v>1333.3291756902825</c:v>
                </c:pt>
                <c:pt idx="36">
                  <c:v>1343.1607926686336</c:v>
                </c:pt>
                <c:pt idx="37">
                  <c:v>1352.9924096469842</c:v>
                </c:pt>
                <c:pt idx="38">
                  <c:v>1362.8240266253351</c:v>
                </c:pt>
                <c:pt idx="39">
                  <c:v>1372.6556436036863</c:v>
                </c:pt>
                <c:pt idx="40">
                  <c:v>1382.4872605820369</c:v>
                </c:pt>
                <c:pt idx="41">
                  <c:v>1392.3188775603883</c:v>
                </c:pt>
                <c:pt idx="42">
                  <c:v>1402.1504945387389</c:v>
                </c:pt>
                <c:pt idx="43">
                  <c:v>1411.9821115170898</c:v>
                </c:pt>
                <c:pt idx="44">
                  <c:v>1421.8137284954412</c:v>
                </c:pt>
                <c:pt idx="45">
                  <c:v>1431.6453454737921</c:v>
                </c:pt>
                <c:pt idx="46">
                  <c:v>1441.4769624521434</c:v>
                </c:pt>
                <c:pt idx="47">
                  <c:v>1451.3085794304945</c:v>
                </c:pt>
                <c:pt idx="48">
                  <c:v>1461.1401964088454</c:v>
                </c:pt>
                <c:pt idx="49">
                  <c:v>1470.9718133871966</c:v>
                </c:pt>
                <c:pt idx="50">
                  <c:v>1480.8034303655477</c:v>
                </c:pt>
                <c:pt idx="51">
                  <c:v>1490.6350473438988</c:v>
                </c:pt>
                <c:pt idx="52">
                  <c:v>1500.4666643222497</c:v>
                </c:pt>
                <c:pt idx="53">
                  <c:v>1510.298281300601</c:v>
                </c:pt>
                <c:pt idx="54">
                  <c:v>1520.1298982789519</c:v>
                </c:pt>
                <c:pt idx="55">
                  <c:v>1529.9615152573031</c:v>
                </c:pt>
                <c:pt idx="56">
                  <c:v>1539.7931322356542</c:v>
                </c:pt>
                <c:pt idx="57">
                  <c:v>1549.6247492140051</c:v>
                </c:pt>
                <c:pt idx="58">
                  <c:v>1559.4563661923562</c:v>
                </c:pt>
                <c:pt idx="59">
                  <c:v>1569.2879831707075</c:v>
                </c:pt>
                <c:pt idx="60">
                  <c:v>1579.1196001490582</c:v>
                </c:pt>
              </c:numCache>
            </c:numRef>
          </c:val>
          <c:extLst>
            <c:ext xmlns:c16="http://schemas.microsoft.com/office/drawing/2014/chart" uri="{C3380CC4-5D6E-409C-BE32-E72D297353CC}">
              <c16:uniqueId val="{00000004-2D26-4177-8A16-4D1FE8C89A7C}"/>
            </c:ext>
          </c:extLst>
        </c:ser>
        <c:ser>
          <c:idx val="5"/>
          <c:order val="5"/>
          <c:tx>
            <c:strRef>
              <c:f>'Emissions summary'!$C$63</c:f>
              <c:strCache>
                <c:ptCount val="1"/>
                <c:pt idx="0">
                  <c:v>Liming</c:v>
                </c:pt>
              </c:strCache>
            </c:strRef>
          </c:tx>
          <c:spPr>
            <a:solidFill>
              <a:schemeClr val="accent6"/>
            </a:solidFill>
            <a:ln>
              <a:noFill/>
            </a:ln>
            <a:effectLst/>
          </c:spPr>
          <c:cat>
            <c:numRef>
              <c:f>'Emissions summary'!$F$57:$BN$57</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'Emissions summary'!$F$63:$BN$63</c:f>
              <c:numCache>
                <c:formatCode>General</c:formatCode>
                <c:ptCount val="61"/>
                <c:pt idx="0">
                  <c:v>357.5</c:v>
                </c:pt>
                <c:pt idx="1">
                  <c:v>378.125</c:v>
                </c:pt>
                <c:pt idx="2">
                  <c:v>261.25</c:v>
                </c:pt>
                <c:pt idx="3">
                  <c:v>412.5</c:v>
                </c:pt>
                <c:pt idx="4">
                  <c:v>595.58170833333327</c:v>
                </c:pt>
                <c:pt idx="5">
                  <c:v>473.34145833333332</c:v>
                </c:pt>
                <c:pt idx="6">
                  <c:v>579.13625000000002</c:v>
                </c:pt>
                <c:pt idx="7">
                  <c:v>547.24312499999996</c:v>
                </c:pt>
                <c:pt idx="8">
                  <c:v>570.31379166666659</c:v>
                </c:pt>
                <c:pt idx="9">
                  <c:v>567.03808333333325</c:v>
                </c:pt>
                <c:pt idx="10">
                  <c:v>378.2405</c:v>
                </c:pt>
                <c:pt idx="11">
                  <c:v>489.66362500000002</c:v>
                </c:pt>
                <c:pt idx="12">
                  <c:v>672.79437500000006</c:v>
                </c:pt>
                <c:pt idx="13">
                  <c:v>580.13175000000001</c:v>
                </c:pt>
                <c:pt idx="14">
                  <c:v>579.7403333333333</c:v>
                </c:pt>
                <c:pt idx="15">
                  <c:v>266.03683333333333</c:v>
                </c:pt>
                <c:pt idx="16">
                  <c:v>441.42908333333332</c:v>
                </c:pt>
                <c:pt idx="17">
                  <c:v>521.42108333333329</c:v>
                </c:pt>
                <c:pt idx="18">
                  <c:v>655.32637499999998</c:v>
                </c:pt>
                <c:pt idx="19">
                  <c:v>695.56775237855516</c:v>
                </c:pt>
                <c:pt idx="20">
                  <c:v>653.23730656422072</c:v>
                </c:pt>
                <c:pt idx="21">
                  <c:v>722.61220387104663</c:v>
                </c:pt>
                <c:pt idx="22">
                  <c:v>829.6141641239476</c:v>
                </c:pt>
                <c:pt idx="23">
                  <c:v>749.65665536353811</c:v>
                </c:pt>
                <c:pt idx="24">
                  <c:v>773.17356970483502</c:v>
                </c:pt>
                <c:pt idx="25">
                  <c:v>780.22864400722403</c:v>
                </c:pt>
                <c:pt idx="26">
                  <c:v>982.47410734237747</c:v>
                </c:pt>
                <c:pt idx="27">
                  <c:v>1218.2311736138793</c:v>
                </c:pt>
                <c:pt idx="28">
                  <c:v>688.74289830929615</c:v>
                </c:pt>
                <c:pt idx="29">
                  <c:v>694.04734471925508</c:v>
                </c:pt>
                <c:pt idx="30">
                  <c:v>699.35179112921401</c:v>
                </c:pt>
                <c:pt idx="31">
                  <c:v>704.72841992293843</c:v>
                </c:pt>
                <c:pt idx="32">
                  <c:v>710.10504861741867</c:v>
                </c:pt>
                <c:pt idx="33">
                  <c:v>715.48167731189903</c:v>
                </c:pt>
                <c:pt idx="34">
                  <c:v>720.85830600637928</c:v>
                </c:pt>
                <c:pt idx="35">
                  <c:v>726.2349348001037</c:v>
                </c:pt>
                <c:pt idx="36">
                  <c:v>726.2349348001037</c:v>
                </c:pt>
                <c:pt idx="37">
                  <c:v>726.2349348001037</c:v>
                </c:pt>
                <c:pt idx="38">
                  <c:v>726.2349348001037</c:v>
                </c:pt>
                <c:pt idx="39">
                  <c:v>726.2349348001037</c:v>
                </c:pt>
                <c:pt idx="40">
                  <c:v>726.2349348001037</c:v>
                </c:pt>
                <c:pt idx="41">
                  <c:v>726.2349348001037</c:v>
                </c:pt>
                <c:pt idx="42">
                  <c:v>726.2349348001037</c:v>
                </c:pt>
                <c:pt idx="43">
                  <c:v>726.2349348001037</c:v>
                </c:pt>
                <c:pt idx="44">
                  <c:v>726.2349348001037</c:v>
                </c:pt>
                <c:pt idx="45">
                  <c:v>726.2349348001037</c:v>
                </c:pt>
                <c:pt idx="46">
                  <c:v>726.2349348001037</c:v>
                </c:pt>
                <c:pt idx="47">
                  <c:v>726.2349348001037</c:v>
                </c:pt>
                <c:pt idx="48">
                  <c:v>726.2349348001037</c:v>
                </c:pt>
                <c:pt idx="49">
                  <c:v>726.2349348001037</c:v>
                </c:pt>
                <c:pt idx="50">
                  <c:v>726.2349348001037</c:v>
                </c:pt>
                <c:pt idx="51">
                  <c:v>726.2349348001037</c:v>
                </c:pt>
                <c:pt idx="52">
                  <c:v>726.2349348001037</c:v>
                </c:pt>
                <c:pt idx="53">
                  <c:v>726.2349348001037</c:v>
                </c:pt>
                <c:pt idx="54">
                  <c:v>726.2349348001037</c:v>
                </c:pt>
                <c:pt idx="55">
                  <c:v>726.2349348001037</c:v>
                </c:pt>
                <c:pt idx="56">
                  <c:v>726.2349348001037</c:v>
                </c:pt>
                <c:pt idx="57">
                  <c:v>726.2349348001037</c:v>
                </c:pt>
                <c:pt idx="58">
                  <c:v>726.2349348001037</c:v>
                </c:pt>
                <c:pt idx="59">
                  <c:v>726.2349348001037</c:v>
                </c:pt>
                <c:pt idx="60">
                  <c:v>726.2349348001037</c:v>
                </c:pt>
              </c:numCache>
            </c:numRef>
          </c:val>
          <c:extLst>
            <c:ext xmlns:c16="http://schemas.microsoft.com/office/drawing/2014/chart" uri="{C3380CC4-5D6E-409C-BE32-E72D297353CC}">
              <c16:uniqueId val="{00000005-2D26-4177-8A16-4D1FE8C89A7C}"/>
            </c:ext>
          </c:extLst>
        </c:ser>
        <c:ser>
          <c:idx val="6"/>
          <c:order val="6"/>
          <c:tx>
            <c:strRef>
              <c:f>'Emissions summary'!$C$64</c:f>
              <c:strCache>
                <c:ptCount val="1"/>
                <c:pt idx="0">
                  <c:v>Urea</c:v>
                </c:pt>
              </c:strCache>
            </c:strRef>
          </c:tx>
          <c:spPr>
            <a:solidFill>
              <a:schemeClr val="accent1">
                <a:lumMod val="60000"/>
              </a:schemeClr>
            </a:solidFill>
            <a:ln>
              <a:noFill/>
            </a:ln>
            <a:effectLst/>
          </c:spPr>
          <c:cat>
            <c:numRef>
              <c:f>'Emissions summary'!$F$57:$BN$57</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'Emissions summary'!$F$64:$BN$64</c:f>
              <c:numCache>
                <c:formatCode>General</c:formatCode>
                <c:ptCount val="61"/>
                <c:pt idx="0">
                  <c:v>90.994567483487728</c:v>
                </c:pt>
                <c:pt idx="1">
                  <c:v>111.62690198838213</c:v>
                </c:pt>
                <c:pt idx="2">
                  <c:v>132.25923649327655</c:v>
                </c:pt>
                <c:pt idx="3">
                  <c:v>152.89157099816552</c:v>
                </c:pt>
                <c:pt idx="4">
                  <c:v>173.52390550305992</c:v>
                </c:pt>
                <c:pt idx="5">
                  <c:v>194.15624000795432</c:v>
                </c:pt>
                <c:pt idx="6">
                  <c:v>214.78857451284878</c:v>
                </c:pt>
                <c:pt idx="7">
                  <c:v>235.42090901774316</c:v>
                </c:pt>
                <c:pt idx="8">
                  <c:v>256.05324352263762</c:v>
                </c:pt>
                <c:pt idx="9">
                  <c:v>276.68557802753202</c:v>
                </c:pt>
                <c:pt idx="10">
                  <c:v>297.31791253242642</c:v>
                </c:pt>
                <c:pt idx="11">
                  <c:v>317.95024703732088</c:v>
                </c:pt>
                <c:pt idx="12">
                  <c:v>338.58258154220977</c:v>
                </c:pt>
                <c:pt idx="13">
                  <c:v>359.21491604710423</c:v>
                </c:pt>
                <c:pt idx="14">
                  <c:v>435.89846666666671</c:v>
                </c:pt>
                <c:pt idx="15">
                  <c:v>355.08659999999998</c:v>
                </c:pt>
                <c:pt idx="16">
                  <c:v>393.08573333333334</c:v>
                </c:pt>
                <c:pt idx="17">
                  <c:v>484.55366666666663</c:v>
                </c:pt>
                <c:pt idx="18">
                  <c:v>480.19253333333336</c:v>
                </c:pt>
                <c:pt idx="19">
                  <c:v>380.54426666666666</c:v>
                </c:pt>
                <c:pt idx="20">
                  <c:v>501.48046666666664</c:v>
                </c:pt>
                <c:pt idx="21">
                  <c:v>571.19113333333337</c:v>
                </c:pt>
                <c:pt idx="22">
                  <c:v>587.22106666666662</c:v>
                </c:pt>
                <c:pt idx="23">
                  <c:v>533.06336966666674</c:v>
                </c:pt>
                <c:pt idx="24">
                  <c:v>663.77159200000006</c:v>
                </c:pt>
                <c:pt idx="25">
                  <c:v>486.09938600666663</c:v>
                </c:pt>
                <c:pt idx="26">
                  <c:v>643.60119999999995</c:v>
                </c:pt>
                <c:pt idx="27">
                  <c:v>679.61446666666666</c:v>
                </c:pt>
                <c:pt idx="28">
                  <c:v>417.11332241940903</c:v>
                </c:pt>
                <c:pt idx="29">
                  <c:v>419.88128021257768</c:v>
                </c:pt>
                <c:pt idx="30">
                  <c:v>422.64923800574661</c:v>
                </c:pt>
                <c:pt idx="31">
                  <c:v>425.45486189566344</c:v>
                </c:pt>
                <c:pt idx="32">
                  <c:v>428.26048573379319</c:v>
                </c:pt>
                <c:pt idx="33">
                  <c:v>431.06610957192277</c:v>
                </c:pt>
                <c:pt idx="34">
                  <c:v>433.8717334100524</c:v>
                </c:pt>
                <c:pt idx="35">
                  <c:v>436.67735729996917</c:v>
                </c:pt>
                <c:pt idx="36">
                  <c:v>436.67735729996917</c:v>
                </c:pt>
                <c:pt idx="37">
                  <c:v>436.67735729996917</c:v>
                </c:pt>
                <c:pt idx="38">
                  <c:v>436.67735729996917</c:v>
                </c:pt>
                <c:pt idx="39">
                  <c:v>436.67735729996917</c:v>
                </c:pt>
                <c:pt idx="40">
                  <c:v>436.67735729996917</c:v>
                </c:pt>
                <c:pt idx="41">
                  <c:v>436.67735729996917</c:v>
                </c:pt>
                <c:pt idx="42">
                  <c:v>436.67735729996917</c:v>
                </c:pt>
                <c:pt idx="43">
                  <c:v>436.67735729996917</c:v>
                </c:pt>
                <c:pt idx="44">
                  <c:v>436.67735729996917</c:v>
                </c:pt>
                <c:pt idx="45">
                  <c:v>436.67735729996917</c:v>
                </c:pt>
                <c:pt idx="46">
                  <c:v>436.67735729996917</c:v>
                </c:pt>
                <c:pt idx="47">
                  <c:v>436.67735729996917</c:v>
                </c:pt>
                <c:pt idx="48">
                  <c:v>436.67735729996917</c:v>
                </c:pt>
                <c:pt idx="49">
                  <c:v>436.67735729996917</c:v>
                </c:pt>
                <c:pt idx="50">
                  <c:v>436.67735729996917</c:v>
                </c:pt>
                <c:pt idx="51">
                  <c:v>436.67735729996917</c:v>
                </c:pt>
                <c:pt idx="52">
                  <c:v>436.67735729996917</c:v>
                </c:pt>
                <c:pt idx="53">
                  <c:v>436.67735729996917</c:v>
                </c:pt>
                <c:pt idx="54">
                  <c:v>436.67735729996917</c:v>
                </c:pt>
                <c:pt idx="55">
                  <c:v>436.67735729996917</c:v>
                </c:pt>
                <c:pt idx="56">
                  <c:v>436.67735729996917</c:v>
                </c:pt>
                <c:pt idx="57">
                  <c:v>436.67735729996917</c:v>
                </c:pt>
                <c:pt idx="58">
                  <c:v>436.67735729996917</c:v>
                </c:pt>
                <c:pt idx="59">
                  <c:v>436.67735729996917</c:v>
                </c:pt>
                <c:pt idx="60">
                  <c:v>436.67735729996917</c:v>
                </c:pt>
              </c:numCache>
            </c:numRef>
          </c:val>
          <c:extLst>
            <c:ext xmlns:c16="http://schemas.microsoft.com/office/drawing/2014/chart" uri="{C3380CC4-5D6E-409C-BE32-E72D297353CC}">
              <c16:uniqueId val="{00000006-2D26-4177-8A16-4D1FE8C89A7C}"/>
            </c:ext>
          </c:extLst>
        </c:ser>
        <c:ser>
          <c:idx val="7"/>
          <c:order val="7"/>
          <c:tx>
            <c:strRef>
              <c:f>'Emissions summary'!$C$65</c:f>
              <c:strCache>
                <c:ptCount val="1"/>
                <c:pt idx="0">
                  <c:v>Direct N2O</c:v>
                </c:pt>
              </c:strCache>
            </c:strRef>
          </c:tx>
          <c:spPr>
            <a:solidFill>
              <a:schemeClr val="accent2">
                <a:lumMod val="60000"/>
              </a:schemeClr>
            </a:solidFill>
            <a:ln>
              <a:noFill/>
            </a:ln>
            <a:effectLst/>
          </c:spPr>
          <c:cat>
            <c:numRef>
              <c:f>'Emissions summary'!$F$57:$BN$57</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'Emissions summary'!$F$65:$BN$65</c:f>
              <c:numCache>
                <c:formatCode>General</c:formatCode>
                <c:ptCount val="61"/>
                <c:pt idx="0">
                  <c:v>19504.904423790304</c:v>
                </c:pt>
                <c:pt idx="1">
                  <c:v>19292.945969163135</c:v>
                </c:pt>
                <c:pt idx="2">
                  <c:v>19045.664085317185</c:v>
                </c:pt>
                <c:pt idx="3">
                  <c:v>19033.869532746325</c:v>
                </c:pt>
                <c:pt idx="4">
                  <c:v>18637.217900557851</c:v>
                </c:pt>
                <c:pt idx="5">
                  <c:v>18045.206751556161</c:v>
                </c:pt>
                <c:pt idx="6">
                  <c:v>18868.194418923074</c:v>
                </c:pt>
                <c:pt idx="7">
                  <c:v>19199.105489263504</c:v>
                </c:pt>
                <c:pt idx="8">
                  <c:v>19109.504254972093</c:v>
                </c:pt>
                <c:pt idx="9">
                  <c:v>19072.793684612472</c:v>
                </c:pt>
                <c:pt idx="10">
                  <c:v>19327.015119058116</c:v>
                </c:pt>
                <c:pt idx="11">
                  <c:v>18602.913592780023</c:v>
                </c:pt>
                <c:pt idx="12">
                  <c:v>18996.200132064732</c:v>
                </c:pt>
                <c:pt idx="13">
                  <c:v>18690.572709169541</c:v>
                </c:pt>
                <c:pt idx="14">
                  <c:v>18340.319361353846</c:v>
                </c:pt>
                <c:pt idx="15">
                  <c:v>18032.244904032526</c:v>
                </c:pt>
                <c:pt idx="16">
                  <c:v>17683.190185022595</c:v>
                </c:pt>
                <c:pt idx="17">
                  <c:v>18565.416324630911</c:v>
                </c:pt>
                <c:pt idx="18">
                  <c:v>18914.683594619022</c:v>
                </c:pt>
                <c:pt idx="19">
                  <c:v>18700.377993558752</c:v>
                </c:pt>
                <c:pt idx="20">
                  <c:v>18480.993443645988</c:v>
                </c:pt>
                <c:pt idx="21">
                  <c:v>18357.347352101453</c:v>
                </c:pt>
                <c:pt idx="22">
                  <c:v>18857.994474705243</c:v>
                </c:pt>
                <c:pt idx="23">
                  <c:v>18800.288966942488</c:v>
                </c:pt>
                <c:pt idx="24">
                  <c:v>18766.247884784007</c:v>
                </c:pt>
                <c:pt idx="25">
                  <c:v>18299.211804322</c:v>
                </c:pt>
                <c:pt idx="26">
                  <c:v>17601.432971444778</c:v>
                </c:pt>
                <c:pt idx="27">
                  <c:v>17818.415354550449</c:v>
                </c:pt>
                <c:pt idx="28">
                  <c:v>18364.49485963495</c:v>
                </c:pt>
                <c:pt idx="29">
                  <c:v>18831.469312446974</c:v>
                </c:pt>
                <c:pt idx="30">
                  <c:v>18836.087907114124</c:v>
                </c:pt>
                <c:pt idx="31">
                  <c:v>18844.68346232202</c:v>
                </c:pt>
                <c:pt idx="32">
                  <c:v>18853.242524846799</c:v>
                </c:pt>
                <c:pt idx="33">
                  <c:v>18861.80673852401</c:v>
                </c:pt>
                <c:pt idx="34">
                  <c:v>18870.339662433322</c:v>
                </c:pt>
                <c:pt idx="35">
                  <c:v>18878.903862879688</c:v>
                </c:pt>
                <c:pt idx="36">
                  <c:v>18903.835103672107</c:v>
                </c:pt>
                <c:pt idx="37">
                  <c:v>18928.754395735697</c:v>
                </c:pt>
                <c:pt idx="38">
                  <c:v>18953.7155048963</c:v>
                </c:pt>
                <c:pt idx="39">
                  <c:v>18978.706622889269</c:v>
                </c:pt>
                <c:pt idx="40">
                  <c:v>19003.730588306025</c:v>
                </c:pt>
                <c:pt idx="41">
                  <c:v>19028.149770396391</c:v>
                </c:pt>
                <c:pt idx="42">
                  <c:v>19052.50568167209</c:v>
                </c:pt>
                <c:pt idx="43">
                  <c:v>19076.99104999327</c:v>
                </c:pt>
                <c:pt idx="44">
                  <c:v>19101.565344433027</c:v>
                </c:pt>
                <c:pt idx="45">
                  <c:v>19126.233385404648</c:v>
                </c:pt>
                <c:pt idx="46">
                  <c:v>19151.851177032575</c:v>
                </c:pt>
                <c:pt idx="47">
                  <c:v>19177.53174282188</c:v>
                </c:pt>
                <c:pt idx="48">
                  <c:v>19203.232788477551</c:v>
                </c:pt>
                <c:pt idx="49">
                  <c:v>19228.997258909854</c:v>
                </c:pt>
                <c:pt idx="50">
                  <c:v>19254.86312069152</c:v>
                </c:pt>
                <c:pt idx="51">
                  <c:v>19284.198981377798</c:v>
                </c:pt>
                <c:pt idx="52">
                  <c:v>19313.610617375656</c:v>
                </c:pt>
                <c:pt idx="53">
                  <c:v>19343.093422926722</c:v>
                </c:pt>
                <c:pt idx="54">
                  <c:v>19372.658852634439</c:v>
                </c:pt>
                <c:pt idx="55">
                  <c:v>19402.352190800011</c:v>
                </c:pt>
                <c:pt idx="56">
                  <c:v>19431.186644244503</c:v>
                </c:pt>
                <c:pt idx="57">
                  <c:v>19460.131346386617</c:v>
                </c:pt>
                <c:pt idx="58">
                  <c:v>19489.100419103943</c:v>
                </c:pt>
                <c:pt idx="59">
                  <c:v>19518.19044639837</c:v>
                </c:pt>
                <c:pt idx="60">
                  <c:v>19547.412092770519</c:v>
                </c:pt>
              </c:numCache>
            </c:numRef>
          </c:val>
          <c:extLst>
            <c:ext xmlns:c16="http://schemas.microsoft.com/office/drawing/2014/chart" uri="{C3380CC4-5D6E-409C-BE32-E72D297353CC}">
              <c16:uniqueId val="{00000007-2D26-4177-8A16-4D1FE8C89A7C}"/>
            </c:ext>
          </c:extLst>
        </c:ser>
        <c:ser>
          <c:idx val="8"/>
          <c:order val="8"/>
          <c:tx>
            <c:strRef>
              <c:f>'Emissions summary'!$C$66</c:f>
              <c:strCache>
                <c:ptCount val="1"/>
                <c:pt idx="0">
                  <c:v>Indirect N2O from MS</c:v>
                </c:pt>
              </c:strCache>
            </c:strRef>
          </c:tx>
          <c:spPr>
            <a:solidFill>
              <a:schemeClr val="accent3">
                <a:lumMod val="60000"/>
              </a:schemeClr>
            </a:solidFill>
            <a:ln>
              <a:noFill/>
            </a:ln>
            <a:effectLst/>
          </c:spPr>
          <c:cat>
            <c:numRef>
              <c:f>'Emissions summary'!$F$57:$BN$57</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'Emissions summary'!$F$66:$BN$66</c:f>
              <c:numCache>
                <c:formatCode>General</c:formatCode>
                <c:ptCount val="61"/>
                <c:pt idx="0">
                  <c:v>2388.0102035123605</c:v>
                </c:pt>
                <c:pt idx="1">
                  <c:v>2381.2431268972473</c:v>
                </c:pt>
                <c:pt idx="2">
                  <c:v>2324.8942000713505</c:v>
                </c:pt>
                <c:pt idx="3">
                  <c:v>2290.9024845787808</c:v>
                </c:pt>
                <c:pt idx="4">
                  <c:v>2228.7638099345581</c:v>
                </c:pt>
                <c:pt idx="5">
                  <c:v>2216.2333453112419</c:v>
                </c:pt>
                <c:pt idx="6">
                  <c:v>2291.7575924583116</c:v>
                </c:pt>
                <c:pt idx="7">
                  <c:v>2312.3390553500153</c:v>
                </c:pt>
                <c:pt idx="8">
                  <c:v>2333.9868579243562</c:v>
                </c:pt>
                <c:pt idx="9">
                  <c:v>2328.6903872515104</c:v>
                </c:pt>
                <c:pt idx="10">
                  <c:v>2338.0116326614102</c:v>
                </c:pt>
                <c:pt idx="11">
                  <c:v>2291.3538782912919</c:v>
                </c:pt>
                <c:pt idx="12">
                  <c:v>2311.3813291877032</c:v>
                </c:pt>
                <c:pt idx="13">
                  <c:v>2275.9303933061774</c:v>
                </c:pt>
                <c:pt idx="14">
                  <c:v>2249.9786194437957</c:v>
                </c:pt>
                <c:pt idx="15">
                  <c:v>2219.5948553673597</c:v>
                </c:pt>
                <c:pt idx="16">
                  <c:v>2234.9785834035056</c:v>
                </c:pt>
                <c:pt idx="17">
                  <c:v>2293.4233205043074</c:v>
                </c:pt>
                <c:pt idx="18">
                  <c:v>2323.7183210353014</c:v>
                </c:pt>
                <c:pt idx="19">
                  <c:v>2316.1868881070077</c:v>
                </c:pt>
                <c:pt idx="20">
                  <c:v>2275.6117938255893</c:v>
                </c:pt>
                <c:pt idx="21">
                  <c:v>2272.2696681466509</c:v>
                </c:pt>
                <c:pt idx="22">
                  <c:v>2292.9767256563614</c:v>
                </c:pt>
                <c:pt idx="23">
                  <c:v>2307.718191478436</c:v>
                </c:pt>
                <c:pt idx="24">
                  <c:v>2303.3474455915116</c:v>
                </c:pt>
                <c:pt idx="25">
                  <c:v>2258.643246055919</c:v>
                </c:pt>
                <c:pt idx="26">
                  <c:v>2211.5172296899377</c:v>
                </c:pt>
                <c:pt idx="27">
                  <c:v>2194.3307617627388</c:v>
                </c:pt>
                <c:pt idx="28">
                  <c:v>2293.3646835129821</c:v>
                </c:pt>
                <c:pt idx="29">
                  <c:v>2355.5588838006361</c:v>
                </c:pt>
                <c:pt idx="30">
                  <c:v>2355.8954899535615</c:v>
                </c:pt>
                <c:pt idx="31">
                  <c:v>2359.2825815270376</c:v>
                </c:pt>
                <c:pt idx="32">
                  <c:v>2362.642521342133</c:v>
                </c:pt>
                <c:pt idx="33">
                  <c:v>2366.0079342739978</c:v>
                </c:pt>
                <c:pt idx="34">
                  <c:v>2369.3499891133897</c:v>
                </c:pt>
                <c:pt idx="35">
                  <c:v>2372.7181071939403</c:v>
                </c:pt>
                <c:pt idx="36">
                  <c:v>2376.6656682338839</c:v>
                </c:pt>
                <c:pt idx="37">
                  <c:v>2380.6055796522596</c:v>
                </c:pt>
                <c:pt idx="38">
                  <c:v>2384.5806891056909</c:v>
                </c:pt>
                <c:pt idx="39">
                  <c:v>2388.5817279143748</c:v>
                </c:pt>
                <c:pt idx="40">
                  <c:v>2392.6110831064302</c:v>
                </c:pt>
                <c:pt idx="41">
                  <c:v>2396.7022756722358</c:v>
                </c:pt>
                <c:pt idx="42">
                  <c:v>2400.745040614906</c:v>
                </c:pt>
                <c:pt idx="43">
                  <c:v>2404.8942629080384</c:v>
                </c:pt>
                <c:pt idx="44">
                  <c:v>2409.1175301436715</c:v>
                </c:pt>
                <c:pt idx="45">
                  <c:v>2413.4187959694036</c:v>
                </c:pt>
                <c:pt idx="46">
                  <c:v>2417.8755317183895</c:v>
                </c:pt>
                <c:pt idx="47">
                  <c:v>2422.3854678359057</c:v>
                </c:pt>
                <c:pt idx="48">
                  <c:v>2426.9144757576701</c:v>
                </c:pt>
                <c:pt idx="49">
                  <c:v>2431.4971174683046</c:v>
                </c:pt>
                <c:pt idx="50">
                  <c:v>2436.1639300781758</c:v>
                </c:pt>
                <c:pt idx="51">
                  <c:v>2441.340043512072</c:v>
                </c:pt>
                <c:pt idx="52">
                  <c:v>2446.5802506179152</c:v>
                </c:pt>
                <c:pt idx="53">
                  <c:v>2451.880758407337</c:v>
                </c:pt>
                <c:pt idx="54">
                  <c:v>2457.2506976901359</c:v>
                </c:pt>
                <c:pt idx="55">
                  <c:v>2462.7264155532803</c:v>
                </c:pt>
                <c:pt idx="56">
                  <c:v>2468.1636492997218</c:v>
                </c:pt>
                <c:pt idx="57">
                  <c:v>2473.6917428254933</c:v>
                </c:pt>
                <c:pt idx="58">
                  <c:v>2479.2414780402373</c:v>
                </c:pt>
                <c:pt idx="59">
                  <c:v>2484.8903254671068</c:v>
                </c:pt>
                <c:pt idx="60">
                  <c:v>2490.6465859780715</c:v>
                </c:pt>
              </c:numCache>
            </c:numRef>
          </c:val>
          <c:extLst>
            <c:ext xmlns:c16="http://schemas.microsoft.com/office/drawing/2014/chart" uri="{C3380CC4-5D6E-409C-BE32-E72D297353CC}">
              <c16:uniqueId val="{00000008-2D26-4177-8A16-4D1FE8C89A7C}"/>
            </c:ext>
          </c:extLst>
        </c:ser>
        <c:ser>
          <c:idx val="9"/>
          <c:order val="9"/>
          <c:tx>
            <c:strRef>
              <c:f>'Emissions summary'!$C$67</c:f>
              <c:strCache>
                <c:ptCount val="1"/>
                <c:pt idx="0">
                  <c:v>Indirect N2O from MM</c:v>
                </c:pt>
              </c:strCache>
            </c:strRef>
          </c:tx>
          <c:spPr>
            <a:solidFill>
              <a:schemeClr val="accent4">
                <a:lumMod val="60000"/>
              </a:schemeClr>
            </a:solidFill>
            <a:ln>
              <a:noFill/>
            </a:ln>
            <a:effectLst/>
          </c:spPr>
          <c:cat>
            <c:numRef>
              <c:f>'Emissions summary'!$F$57:$BN$57</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'Emissions summary'!$F$67:$BN$67</c:f>
              <c:numCache>
                <c:formatCode>General</c:formatCode>
                <c:ptCount val="61"/>
                <c:pt idx="0">
                  <c:v>343.10330161578099</c:v>
                </c:pt>
                <c:pt idx="1">
                  <c:v>365.58614133033353</c:v>
                </c:pt>
                <c:pt idx="2">
                  <c:v>339.91114682728761</c:v>
                </c:pt>
                <c:pt idx="3">
                  <c:v>352.62601984444137</c:v>
                </c:pt>
                <c:pt idx="4">
                  <c:v>336.24824053022888</c:v>
                </c:pt>
                <c:pt idx="5">
                  <c:v>354.90652971327108</c:v>
                </c:pt>
                <c:pt idx="6">
                  <c:v>370.7282945162878</c:v>
                </c:pt>
                <c:pt idx="7">
                  <c:v>367.33263044382841</c:v>
                </c:pt>
                <c:pt idx="8">
                  <c:v>376.31467332854538</c:v>
                </c:pt>
                <c:pt idx="9">
                  <c:v>380.26274683162796</c:v>
                </c:pt>
                <c:pt idx="10">
                  <c:v>420.72277135231604</c:v>
                </c:pt>
                <c:pt idx="11">
                  <c:v>418.37207720994593</c:v>
                </c:pt>
                <c:pt idx="12">
                  <c:v>406.12517665445523</c:v>
                </c:pt>
                <c:pt idx="13">
                  <c:v>385.62180744131297</c:v>
                </c:pt>
                <c:pt idx="14">
                  <c:v>383.11027791084422</c:v>
                </c:pt>
                <c:pt idx="15">
                  <c:v>402.62502084090437</c:v>
                </c:pt>
                <c:pt idx="16">
                  <c:v>407.68948429226828</c:v>
                </c:pt>
                <c:pt idx="17">
                  <c:v>415.77221135959962</c:v>
                </c:pt>
                <c:pt idx="18">
                  <c:v>450.38785912632164</c:v>
                </c:pt>
                <c:pt idx="19">
                  <c:v>447.90280780802436</c:v>
                </c:pt>
                <c:pt idx="20">
                  <c:v>450.47531382738657</c:v>
                </c:pt>
                <c:pt idx="21">
                  <c:v>455.70252815125627</c:v>
                </c:pt>
                <c:pt idx="22">
                  <c:v>454.2990120208886</c:v>
                </c:pt>
                <c:pt idx="23">
                  <c:v>467.1027930484243</c:v>
                </c:pt>
                <c:pt idx="24">
                  <c:v>463.97224881283108</c:v>
                </c:pt>
                <c:pt idx="25">
                  <c:v>471.70799949786652</c:v>
                </c:pt>
                <c:pt idx="26">
                  <c:v>471.14622162385422</c:v>
                </c:pt>
                <c:pt idx="27">
                  <c:v>483.13167606001025</c:v>
                </c:pt>
                <c:pt idx="28">
                  <c:v>479.07243413491892</c:v>
                </c:pt>
                <c:pt idx="29">
                  <c:v>485.12102683351316</c:v>
                </c:pt>
                <c:pt idx="30">
                  <c:v>487.0260375783771</c:v>
                </c:pt>
                <c:pt idx="31">
                  <c:v>491.33118769138167</c:v>
                </c:pt>
                <c:pt idx="32">
                  <c:v>495.61555476617838</c:v>
                </c:pt>
                <c:pt idx="33">
                  <c:v>499.90458704870963</c:v>
                </c:pt>
                <c:pt idx="34">
                  <c:v>504.17572809279341</c:v>
                </c:pt>
                <c:pt idx="35">
                  <c:v>508.46762120077426</c:v>
                </c:pt>
                <c:pt idx="36">
                  <c:v>513.17008578110074</c:v>
                </c:pt>
                <c:pt idx="37">
                  <c:v>517.8670480530875</c:v>
                </c:pt>
                <c:pt idx="38">
                  <c:v>522.59210005390696</c:v>
                </c:pt>
                <c:pt idx="39">
                  <c:v>527.33800967909315</c:v>
                </c:pt>
                <c:pt idx="40">
                  <c:v>532.10668065744107</c:v>
                </c:pt>
                <c:pt idx="41">
                  <c:v>536.86978513785755</c:v>
                </c:pt>
                <c:pt idx="42">
                  <c:v>541.5954694040995</c:v>
                </c:pt>
                <c:pt idx="43">
                  <c:v>546.40555476608631</c:v>
                </c:pt>
                <c:pt idx="44">
                  <c:v>551.27464373764064</c:v>
                </c:pt>
                <c:pt idx="45">
                  <c:v>556.20592991950036</c:v>
                </c:pt>
                <c:pt idx="46">
                  <c:v>561.3215573622515</c:v>
                </c:pt>
                <c:pt idx="47">
                  <c:v>566.47996588771321</c:v>
                </c:pt>
                <c:pt idx="48">
                  <c:v>571.65426734159678</c:v>
                </c:pt>
                <c:pt idx="49">
                  <c:v>576.87175340831664</c:v>
                </c:pt>
                <c:pt idx="50">
                  <c:v>582.15658953991817</c:v>
                </c:pt>
                <c:pt idx="51">
                  <c:v>588.07236594099777</c:v>
                </c:pt>
                <c:pt idx="52">
                  <c:v>594.03984475063953</c:v>
                </c:pt>
                <c:pt idx="53">
                  <c:v>600.05607878378339</c:v>
                </c:pt>
                <c:pt idx="54">
                  <c:v>606.1283429625305</c:v>
                </c:pt>
                <c:pt idx="55">
                  <c:v>612.28548072394267</c:v>
                </c:pt>
                <c:pt idx="56">
                  <c:v>618.34869443468472</c:v>
                </c:pt>
                <c:pt idx="57">
                  <c:v>624.48508852865712</c:v>
                </c:pt>
                <c:pt idx="58">
                  <c:v>630.63983378033311</c:v>
                </c:pt>
                <c:pt idx="59">
                  <c:v>636.87439181894433</c:v>
                </c:pt>
                <c:pt idx="60">
                  <c:v>643.19542298539955</c:v>
                </c:pt>
              </c:numCache>
            </c:numRef>
          </c:val>
          <c:extLst>
            <c:ext xmlns:c16="http://schemas.microsoft.com/office/drawing/2014/chart" uri="{C3380CC4-5D6E-409C-BE32-E72D297353CC}">
              <c16:uniqueId val="{00000009-2D26-4177-8A16-4D1FE8C89A7C}"/>
            </c:ext>
          </c:extLst>
        </c:ser>
        <c:dLbls>
          <c:showLegendKey val="0"/>
          <c:showVal val="0"/>
          <c:showCatName val="0"/>
          <c:showSerName val="0"/>
          <c:showPercent val="0"/>
          <c:showBubbleSize val="0"/>
        </c:dLbls>
        <c:axId val="1213528255"/>
        <c:axId val="1213537823"/>
      </c:areaChart>
      <c:catAx>
        <c:axId val="12135282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213537823"/>
        <c:crosses val="autoZero"/>
        <c:auto val="1"/>
        <c:lblAlgn val="ctr"/>
        <c:lblOffset val="100"/>
        <c:noMultiLvlLbl val="0"/>
      </c:catAx>
      <c:valAx>
        <c:axId val="1213537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Emissions (GgCO</a:t>
                </a:r>
                <a:r>
                  <a:rPr lang="en-US" sz="1200" b="1" baseline="-25000">
                    <a:solidFill>
                      <a:sysClr val="windowText" lastClr="000000"/>
                    </a:solidFill>
                  </a:rPr>
                  <a:t>2</a:t>
                </a:r>
                <a:r>
                  <a:rPr lang="en-US" sz="1200" b="1">
                    <a:solidFill>
                      <a:sysClr val="windowText" lastClr="000000"/>
                    </a:solidFill>
                  </a:rPr>
                  <a:t>e)</a:t>
                </a:r>
              </a:p>
            </c:rich>
          </c:tx>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213528255"/>
        <c:crosses val="autoZero"/>
        <c:crossBetween val="midCat"/>
      </c:val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'Emissions summary'!$E$71</c:f>
              <c:strCache>
                <c:ptCount val="1"/>
                <c:pt idx="0">
                  <c:v>Livestock emissions (modelled)</c:v>
                </c:pt>
              </c:strCache>
              <c:extLst xmlns:c15="http://schemas.microsoft.com/office/drawing/2012/chart"/>
            </c:strRef>
          </c:tx>
          <c:spPr>
            <a:ln w="28575" cap="rnd">
              <a:solidFill>
                <a:srgbClr val="00B0F0"/>
              </a:solidFill>
              <a:round/>
            </a:ln>
            <a:effectLst/>
          </c:spPr>
          <c:marker>
            <c:symbol val="none"/>
          </c:marker>
          <c:cat>
            <c:numRef>
              <c:extLst>
                <c:ext xmlns:c15="http://schemas.microsoft.com/office/drawing/2012/chart" uri="{02D57815-91ED-43cb-92C2-25804820EDAC}">
                  <c15:fullRef>
                    <c15:sqref>'Emissions summary'!$F$70:$AG$70</c15:sqref>
                  </c15:fullRef>
                </c:ext>
              </c:extLst>
              <c:f>'Emissions summary'!$P$70:$AG$70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extLst>
                <c:ext xmlns:c15="http://schemas.microsoft.com/office/drawing/2012/chart" uri="{02D57815-91ED-43cb-92C2-25804820EDAC}">
                  <c15:fullRef>
                    <c15:sqref>'Emissions summary'!$F$71:$AG$71</c15:sqref>
                  </c15:fullRef>
                </c:ext>
              </c:extLst>
              <c:f>'Emissions summary'!$P$71:$AG$71</c:f>
              <c:numCache>
                <c:formatCode>General</c:formatCode>
                <c:ptCount val="18"/>
                <c:pt idx="0">
                  <c:v>29753.989948847233</c:v>
                </c:pt>
                <c:pt idx="1">
                  <c:v>29546.748075958283</c:v>
                </c:pt>
                <c:pt idx="2">
                  <c:v>28926.316019966296</c:v>
                </c:pt>
                <c:pt idx="3">
                  <c:v>28782.82921525514</c:v>
                </c:pt>
                <c:pt idx="4">
                  <c:v>28518.281081578443</c:v>
                </c:pt>
                <c:pt idx="5">
                  <c:v>28739.884755849245</c:v>
                </c:pt>
                <c:pt idx="6">
                  <c:v>28649.019025441685</c:v>
                </c:pt>
                <c:pt idx="7">
                  <c:v>29251.085370569181</c:v>
                </c:pt>
                <c:pt idx="8">
                  <c:v>29769.985617238821</c:v>
                </c:pt>
                <c:pt idx="9">
                  <c:v>29625.013597138062</c:v>
                </c:pt>
                <c:pt idx="10">
                  <c:v>29416.16998797447</c:v>
                </c:pt>
                <c:pt idx="11">
                  <c:v>29302.868507225488</c:v>
                </c:pt>
                <c:pt idx="12">
                  <c:v>29855.841687614415</c:v>
                </c:pt>
                <c:pt idx="13">
                  <c:v>29727.840329077371</c:v>
                </c:pt>
                <c:pt idx="14">
                  <c:v>29536.808376926423</c:v>
                </c:pt>
                <c:pt idx="15">
                  <c:v>29232.354133305973</c:v>
                </c:pt>
                <c:pt idx="16">
                  <c:v>28690.726827426781</c:v>
                </c:pt>
                <c:pt idx="17">
                  <c:v>28161.16174223668</c:v>
                </c:pt>
              </c:numCache>
            </c:numRef>
          </c:val>
          <c:smooth val="0"/>
          <c:extLst xmlns:c15="http://schemas.microsoft.com/office/drawing/2012/chart">
            <c:ext xmlns:c16="http://schemas.microsoft.com/office/drawing/2014/chart" uri="{C3380CC4-5D6E-409C-BE32-E72D297353CC}">
              <c16:uniqueId val="{00000000-CC99-489C-98D5-1E78AF22B1ED}"/>
            </c:ext>
          </c:extLst>
        </c:ser>
        <c:ser>
          <c:idx val="3"/>
          <c:order val="3"/>
          <c:tx>
            <c:strRef>
              <c:f>'Emissions summary'!$E$74</c:f>
              <c:strCache>
                <c:ptCount val="1"/>
                <c:pt idx="0">
                  <c:v>Livestock emissions (2017 inventory)</c:v>
                </c:pt>
              </c:strCache>
              <c:extLst xmlns:c15="http://schemas.microsoft.com/office/drawing/2012/chart"/>
            </c:strRef>
          </c:tx>
          <c:spPr>
            <a:ln w="28575" cap="rnd">
              <a:solidFill>
                <a:schemeClr val="accent2"/>
              </a:solidFill>
              <a:round/>
            </a:ln>
            <a:effectLst/>
          </c:spPr>
          <c:marker>
            <c:symbol val="none"/>
          </c:marker>
          <c:cat>
            <c:numRef>
              <c:extLst>
                <c:ext xmlns:c15="http://schemas.microsoft.com/office/drawing/2012/chart" uri="{02D57815-91ED-43cb-92C2-25804820EDAC}">
                  <c15:fullRef>
                    <c15:sqref>'Emissions summary'!$F$70:$AG$70</c15:sqref>
                  </c15:fullRef>
                </c:ext>
              </c:extLst>
              <c:f>'Emissions summary'!$P$70:$AG$70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extLst>
                <c:ext xmlns:c15="http://schemas.microsoft.com/office/drawing/2012/chart" uri="{02D57815-91ED-43cb-92C2-25804820EDAC}">
                  <c15:fullRef>
                    <c15:sqref>'Emissions summary'!$F$74:$AG$74</c15:sqref>
                  </c15:fullRef>
                </c:ext>
              </c:extLst>
              <c:f>'Emissions summary'!$P$74:$AG$74</c:f>
              <c:numCache>
                <c:formatCode>General</c:formatCode>
                <c:ptCount val="18"/>
                <c:pt idx="0">
                  <c:v>30515.456515029604</c:v>
                </c:pt>
                <c:pt idx="1">
                  <c:v>30340.133527107813</c:v>
                </c:pt>
                <c:pt idx="2">
                  <c:v>29862.347205058868</c:v>
                </c:pt>
                <c:pt idx="3">
                  <c:v>28988.455674699828</c:v>
                </c:pt>
                <c:pt idx="4">
                  <c:v>28771.73121104404</c:v>
                </c:pt>
                <c:pt idx="5">
                  <c:v>28806.676410294196</c:v>
                </c:pt>
                <c:pt idx="6">
                  <c:v>28710.685662648946</c:v>
                </c:pt>
                <c:pt idx="7">
                  <c:v>27953.813125583809</c:v>
                </c:pt>
                <c:pt idx="8">
                  <c:v>29128.465653077492</c:v>
                </c:pt>
                <c:pt idx="9">
                  <c:v>28566.814632287216</c:v>
                </c:pt>
                <c:pt idx="10">
                  <c:v>29466.291233402069</c:v>
                </c:pt>
                <c:pt idx="11">
                  <c:v>29540.386989025857</c:v>
                </c:pt>
                <c:pt idx="12">
                  <c:v>28765.723679034749</c:v>
                </c:pt>
                <c:pt idx="13">
                  <c:v>29976.162007053368</c:v>
                </c:pt>
                <c:pt idx="14">
                  <c:v>29854.259774176113</c:v>
                </c:pt>
                <c:pt idx="15">
                  <c:v>29764.794009191111</c:v>
                </c:pt>
                <c:pt idx="16">
                  <c:v>28493.468307353363</c:v>
                </c:pt>
                <c:pt idx="17">
                  <c:v>28161.291437902692</c:v>
                </c:pt>
              </c:numCache>
            </c:numRef>
          </c:val>
          <c:smooth val="0"/>
          <c:extLst xmlns:c15="http://schemas.microsoft.com/office/drawing/2012/chart">
            <c:ext xmlns:c16="http://schemas.microsoft.com/office/drawing/2014/chart" uri="{C3380CC4-5D6E-409C-BE32-E72D297353CC}">
              <c16:uniqueId val="{00000003-CC99-489C-98D5-1E78AF22B1ED}"/>
            </c:ext>
          </c:extLst>
        </c:ser>
        <c:dLbls>
          <c:showLegendKey val="0"/>
          <c:showVal val="0"/>
          <c:showCatName val="0"/>
          <c:showSerName val="0"/>
          <c:showPercent val="0"/>
          <c:showBubbleSize val="0"/>
        </c:dLbls>
        <c:smooth val="0"/>
        <c:axId val="453903840"/>
        <c:axId val="453912160"/>
        <c:extLst>
          <c:ext xmlns:c15="http://schemas.microsoft.com/office/drawing/2012/chart" uri="{02D57815-91ED-43cb-92C2-25804820EDAC}">
            <c15:filteredLineSeries>
              <c15:ser>
                <c:idx val="1"/>
                <c:order val="1"/>
                <c:tx>
                  <c:strRef>
                    <c:extLst>
                      <c:ext uri="{02D57815-91ED-43cb-92C2-25804820EDAC}">
                        <c15:formulaRef>
                          <c15:sqref>'Emissions summary'!$E$72</c15:sqref>
                        </c15:formulaRef>
                      </c:ext>
                    </c:extLst>
                    <c:strCache>
                      <c:ptCount val="1"/>
                      <c:pt idx="0">
                        <c:v>Aggregated non-CO2 emissions (modelled)</c:v>
                      </c:pt>
                    </c:strCache>
                  </c:strRef>
                </c:tx>
                <c:spPr>
                  <a:ln w="28575" cap="rnd">
                    <a:solidFill>
                      <a:srgbClr val="00B0F0"/>
                    </a:solidFill>
                    <a:round/>
                  </a:ln>
                  <a:effectLst/>
                </c:spPr>
                <c:marker>
                  <c:symbol val="none"/>
                </c:marker>
                <c:cat>
                  <c:numRef>
                    <c:extLst>
                      <c:ext uri="{02D57815-91ED-43cb-92C2-25804820EDAC}">
                        <c15:fullRef>
                          <c15:sqref>'Emissions summary'!$F$70:$AG$70</c15:sqref>
                        </c15:fullRef>
                        <c15:formulaRef>
                          <c15:sqref>'Emissions summary'!$P$70:$AG$70</c15:sqref>
                        </c15:formulaRef>
                      </c:ext>
                    </c:extLst>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extLst>
                      <c:ext uri="{02D57815-91ED-43cb-92C2-25804820EDAC}">
                        <c15:fullRef>
                          <c15:sqref>'Emissions summary'!$F$72:$AG$72</c15:sqref>
                        </c15:fullRef>
                        <c15:formulaRef>
                          <c15:sqref>'Emissions summary'!$P$72:$AG$72</c15:sqref>
                        </c15:formulaRef>
                      </c:ext>
                    </c:extLst>
                    <c:numCache>
                      <c:formatCode>General</c:formatCode>
                      <c:ptCount val="18"/>
                      <c:pt idx="0">
                        <c:v>25003.073827323802</c:v>
                      </c:pt>
                      <c:pt idx="1">
                        <c:v>24750.66770115777</c:v>
                      </c:pt>
                      <c:pt idx="2">
                        <c:v>25342.370210186647</c:v>
                      </c:pt>
                      <c:pt idx="3">
                        <c:v>24320.471270300244</c:v>
                      </c:pt>
                      <c:pt idx="4">
                        <c:v>23787.103544354315</c:v>
                      </c:pt>
                      <c:pt idx="5">
                        <c:v>24135.833759735142</c:v>
                      </c:pt>
                      <c:pt idx="6">
                        <c:v>23660.658956555813</c:v>
                      </c:pt>
                      <c:pt idx="7">
                        <c:v>24716.59951857779</c:v>
                      </c:pt>
                      <c:pt idx="8">
                        <c:v>25144.355071127939</c:v>
                      </c:pt>
                      <c:pt idx="9">
                        <c:v>24727.590668620331</c:v>
                      </c:pt>
                      <c:pt idx="10">
                        <c:v>24590.610221542152</c:v>
                      </c:pt>
                      <c:pt idx="11">
                        <c:v>24583.600460378959</c:v>
                      </c:pt>
                      <c:pt idx="12">
                        <c:v>25027.890947073891</c:v>
                      </c:pt>
                      <c:pt idx="13">
                        <c:v>24787.969775967224</c:v>
                      </c:pt>
                      <c:pt idx="14">
                        <c:v>25016.600962009874</c:v>
                      </c:pt>
                      <c:pt idx="15">
                        <c:v>23781.668359180399</c:v>
                      </c:pt>
                      <c:pt idx="16">
                        <c:v>22791.32797684093</c:v>
                      </c:pt>
                      <c:pt idx="17">
                        <c:v>23218.749786011838</c:v>
                      </c:pt>
                    </c:numCache>
                  </c:numRef>
                </c:val>
                <c:smooth val="0"/>
                <c:extLst>
                  <c:ext xmlns:c16="http://schemas.microsoft.com/office/drawing/2014/chart" uri="{C3380CC4-5D6E-409C-BE32-E72D297353CC}">
                    <c16:uniqueId val="{00000001-CC99-489C-98D5-1E78AF22B1ED}"/>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'Emissions summary'!$E$73</c15:sqref>
                        </c15:formulaRef>
                      </c:ext>
                    </c:extLst>
                    <c:strCache>
                      <c:ptCount val="1"/>
                      <c:pt idx="0">
                        <c:v>Total agriculture (model)</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summary'!$P$70:$AG$70</c15:sqref>
                        </c15:formulaRef>
                      </c:ext>
                    </c:extLst>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extLst>
                      <c:ext xmlns:c15="http://schemas.microsoft.com/office/drawing/2012/chart" uri="{02D57815-91ED-43cb-92C2-25804820EDAC}">
                        <c15:fullRef>
                          <c15:sqref>'Emissions summary'!$F$73:$AG$73</c15:sqref>
                        </c15:fullRef>
                        <c15:formulaRef>
                          <c15:sqref>'Emissions summary'!$P$73:$AG$73</c15:sqref>
                        </c15:formulaRef>
                      </c:ext>
                    </c:extLst>
                    <c:numCache>
                      <c:formatCode>General</c:formatCode>
                      <c:ptCount val="18"/>
                      <c:pt idx="0">
                        <c:v>54757.063776171039</c:v>
                      </c:pt>
                      <c:pt idx="1">
                        <c:v>54297.415777116054</c:v>
                      </c:pt>
                      <c:pt idx="2">
                        <c:v>54268.686230152947</c:v>
                      </c:pt>
                      <c:pt idx="3">
                        <c:v>53103.300485555388</c:v>
                      </c:pt>
                      <c:pt idx="4">
                        <c:v>52305.384625932755</c:v>
                      </c:pt>
                      <c:pt idx="5">
                        <c:v>52875.718515584391</c:v>
                      </c:pt>
                      <c:pt idx="6">
                        <c:v>52309.677981997498</c:v>
                      </c:pt>
                      <c:pt idx="7">
                        <c:v>53967.684889146971</c:v>
                      </c:pt>
                      <c:pt idx="8">
                        <c:v>54914.340688366763</c:v>
                      </c:pt>
                      <c:pt idx="9">
                        <c:v>54352.604265758389</c:v>
                      </c:pt>
                      <c:pt idx="10">
                        <c:v>54006.780209516626</c:v>
                      </c:pt>
                      <c:pt idx="11">
                        <c:v>53886.468967604451</c:v>
                      </c:pt>
                      <c:pt idx="12">
                        <c:v>54883.732634688306</c:v>
                      </c:pt>
                      <c:pt idx="13">
                        <c:v>54515.810105044598</c:v>
                      </c:pt>
                      <c:pt idx="14">
                        <c:v>54553.409338936297</c:v>
                      </c:pt>
                      <c:pt idx="15">
                        <c:v>53014.022492486372</c:v>
                      </c:pt>
                      <c:pt idx="16">
                        <c:v>51482.054804267711</c:v>
                      </c:pt>
                      <c:pt idx="17">
                        <c:v>51379.911528248515</c:v>
                      </c:pt>
                    </c:numCache>
                  </c:numRef>
                </c:val>
                <c:smooth val="0"/>
                <c:extLst xmlns:c15="http://schemas.microsoft.com/office/drawing/2012/chart">
                  <c:ext xmlns:c16="http://schemas.microsoft.com/office/drawing/2014/chart" uri="{C3380CC4-5D6E-409C-BE32-E72D297353CC}">
                    <c16:uniqueId val="{00000002-CC99-489C-98D5-1E78AF22B1ED}"/>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'Emissions summary'!$E$75</c15:sqref>
                        </c15:formulaRef>
                      </c:ext>
                    </c:extLst>
                    <c:strCache>
                      <c:ptCount val="1"/>
                      <c:pt idx="0">
                        <c:v>Aggregated non-CO2 emissions (2017 inventory)</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summary'!$P$70:$AG$70</c15:sqref>
                        </c15:formulaRef>
                      </c:ext>
                    </c:extLst>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extLst>
                      <c:ext xmlns:c15="http://schemas.microsoft.com/office/drawing/2012/chart" uri="{02D57815-91ED-43cb-92C2-25804820EDAC}">
                        <c15:fullRef>
                          <c15:sqref>'Emissions summary'!$F$75:$AG$75</c15:sqref>
                        </c15:fullRef>
                        <c15:formulaRef>
                          <c15:sqref>'Emissions summary'!$P$75:$AG$75</c15:sqref>
                        </c15:formulaRef>
                      </c:ext>
                    </c:extLst>
                    <c:numCache>
                      <c:formatCode>General</c:formatCode>
                      <c:ptCount val="18"/>
                      <c:pt idx="0">
                        <c:v>25868.394067579684</c:v>
                      </c:pt>
                      <c:pt idx="1">
                        <c:v>26002.535902574971</c:v>
                      </c:pt>
                      <c:pt idx="2">
                        <c:v>26531.007410409438</c:v>
                      </c:pt>
                      <c:pt idx="3">
                        <c:v>24775.301428664814</c:v>
                      </c:pt>
                      <c:pt idx="4">
                        <c:v>24381.007267856174</c:v>
                      </c:pt>
                      <c:pt idx="5">
                        <c:v>24606.540158008142</c:v>
                      </c:pt>
                      <c:pt idx="6">
                        <c:v>24681.528992201023</c:v>
                      </c:pt>
                      <c:pt idx="7">
                        <c:v>24370.637912824339</c:v>
                      </c:pt>
                      <c:pt idx="8">
                        <c:v>25360.261324110521</c:v>
                      </c:pt>
                      <c:pt idx="9">
                        <c:v>24580.116845224002</c:v>
                      </c:pt>
                      <c:pt idx="10">
                        <c:v>25130.517014652847</c:v>
                      </c:pt>
                      <c:pt idx="11">
                        <c:v>25304.85592670933</c:v>
                      </c:pt>
                      <c:pt idx="12">
                        <c:v>24407.03698205229</c:v>
                      </c:pt>
                      <c:pt idx="13">
                        <c:v>25679.803908205235</c:v>
                      </c:pt>
                      <c:pt idx="14">
                        <c:v>25935.14594405461</c:v>
                      </c:pt>
                      <c:pt idx="15">
                        <c:v>24944.276967369409</c:v>
                      </c:pt>
                      <c:pt idx="16">
                        <c:v>23249.801068831042</c:v>
                      </c:pt>
                      <c:pt idx="17">
                        <c:v>23515.861940250066</c:v>
                      </c:pt>
                    </c:numCache>
                  </c:numRef>
                </c:val>
                <c:smooth val="0"/>
                <c:extLst xmlns:c15="http://schemas.microsoft.com/office/drawing/2012/chart">
                  <c:ext xmlns:c16="http://schemas.microsoft.com/office/drawing/2014/chart" uri="{C3380CC4-5D6E-409C-BE32-E72D297353CC}">
                    <c16:uniqueId val="{00000004-CC99-489C-98D5-1E78AF22B1ED}"/>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'Emissions summary'!$E$76</c15:sqref>
                        </c15:formulaRef>
                      </c:ext>
                    </c:extLst>
                    <c:strCache>
                      <c:ptCount val="1"/>
                      <c:pt idx="0">
                        <c:v>Total agricuture (inventory)</c:v>
                      </c:pt>
                    </c:strCache>
                  </c:strRef>
                </c:tx>
                <c:spPr>
                  <a:ln w="28575" cap="rnd">
                    <a:solidFill>
                      <a:schemeClr val="accent6"/>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summary'!$P$70:$AG$70</c15:sqref>
                        </c15:formulaRef>
                      </c:ext>
                    </c:extLst>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extLst>
                      <c:ext xmlns:c15="http://schemas.microsoft.com/office/drawing/2012/chart" uri="{02D57815-91ED-43cb-92C2-25804820EDAC}">
                        <c15:fullRef>
                          <c15:sqref>'Emissions summary'!$F$76:$AG$76</c15:sqref>
                        </c15:fullRef>
                        <c15:formulaRef>
                          <c15:sqref>'Emissions summary'!$P$76:$AG$76</c15:sqref>
                        </c15:formulaRef>
                      </c:ext>
                    </c:extLst>
                    <c:numCache>
                      <c:formatCode>General</c:formatCode>
                      <c:ptCount val="18"/>
                      <c:pt idx="0">
                        <c:v>56383.850582609288</c:v>
                      </c:pt>
                      <c:pt idx="1">
                        <c:v>56342.669429682785</c:v>
                      </c:pt>
                      <c:pt idx="2">
                        <c:v>56393.354615468306</c:v>
                      </c:pt>
                      <c:pt idx="3">
                        <c:v>53763.757103364638</c:v>
                      </c:pt>
                      <c:pt idx="4">
                        <c:v>53152.73847890021</c:v>
                      </c:pt>
                      <c:pt idx="5">
                        <c:v>53413.216568302334</c:v>
                      </c:pt>
                      <c:pt idx="6">
                        <c:v>53392.214654849973</c:v>
                      </c:pt>
                      <c:pt idx="7">
                        <c:v>52324.451038408151</c:v>
                      </c:pt>
                      <c:pt idx="8">
                        <c:v>54488.726977188009</c:v>
                      </c:pt>
                      <c:pt idx="9">
                        <c:v>53146.931477511214</c:v>
                      </c:pt>
                      <c:pt idx="10">
                        <c:v>54596.80824805492</c:v>
                      </c:pt>
                      <c:pt idx="11">
                        <c:v>54845.242915735187</c:v>
                      </c:pt>
                      <c:pt idx="12">
                        <c:v>53172.760661087043</c:v>
                      </c:pt>
                      <c:pt idx="13">
                        <c:v>55655.965915258603</c:v>
                      </c:pt>
                      <c:pt idx="14">
                        <c:v>55789.405718230722</c:v>
                      </c:pt>
                      <c:pt idx="15">
                        <c:v>54709.070976560521</c:v>
                      </c:pt>
                      <c:pt idx="16">
                        <c:v>51743.269376184406</c:v>
                      </c:pt>
                      <c:pt idx="17">
                        <c:v>51677.153378152754</c:v>
                      </c:pt>
                    </c:numCache>
                  </c:numRef>
                </c:val>
                <c:smooth val="0"/>
                <c:extLst xmlns:c15="http://schemas.microsoft.com/office/drawing/2012/chart">
                  <c:ext xmlns:c16="http://schemas.microsoft.com/office/drawing/2014/chart" uri="{C3380CC4-5D6E-409C-BE32-E72D297353CC}">
                    <c16:uniqueId val="{00000005-CC99-489C-98D5-1E78AF22B1ED}"/>
                  </c:ext>
                </c:extLst>
              </c15:ser>
            </c15:filteredLineSeries>
          </c:ext>
        </c:extLst>
      </c:lineChart>
      <c:catAx>
        <c:axId val="45390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453912160"/>
        <c:crosses val="autoZero"/>
        <c:auto val="1"/>
        <c:lblAlgn val="ctr"/>
        <c:lblOffset val="100"/>
        <c:noMultiLvlLbl val="0"/>
      </c:catAx>
      <c:valAx>
        <c:axId val="45391216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Emissions (GgCo2e)</a:t>
                </a:r>
              </a:p>
            </c:rich>
          </c:tx>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453903840"/>
        <c:crosses val="autoZero"/>
        <c:crossBetween val="between"/>
      </c:val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'Emissions summary'!$E$115</c:f>
              <c:strCache>
                <c:ptCount val="1"/>
                <c:pt idx="0">
                  <c:v>Direct N2O</c:v>
                </c:pt>
              </c:strCache>
            </c:strRef>
          </c:tx>
          <c:spPr>
            <a:ln w="28575" cap="rnd">
              <a:solidFill>
                <a:schemeClr val="accent5"/>
              </a:solidFill>
              <a:round/>
            </a:ln>
            <a:effectLst/>
          </c:spPr>
          <c:marker>
            <c:symbol val="none"/>
          </c:marker>
          <c:cat>
            <c:numRef>
              <c:f>'Emissions summary'!$F$110:$AG$110</c:f>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f>'Emissions summary'!$F$115:$AG$115</c:f>
              <c:numCache>
                <c:formatCode>General</c:formatCode>
                <c:ptCount val="28"/>
                <c:pt idx="0">
                  <c:v>19504.904423790304</c:v>
                </c:pt>
                <c:pt idx="1">
                  <c:v>20660.917389673377</c:v>
                </c:pt>
                <c:pt idx="2">
                  <c:v>20413.635505827424</c:v>
                </c:pt>
                <c:pt idx="3">
                  <c:v>20401.840953256564</c:v>
                </c:pt>
                <c:pt idx="4">
                  <c:v>20005.189321068094</c:v>
                </c:pt>
                <c:pt idx="5">
                  <c:v>19413.178172066404</c:v>
                </c:pt>
                <c:pt idx="6">
                  <c:v>20236.165839433314</c:v>
                </c:pt>
                <c:pt idx="7">
                  <c:v>20567.076909773743</c:v>
                </c:pt>
                <c:pt idx="8">
                  <c:v>20477.475675482336</c:v>
                </c:pt>
                <c:pt idx="9">
                  <c:v>20440.765105122711</c:v>
                </c:pt>
                <c:pt idx="10">
                  <c:v>20694.986539568359</c:v>
                </c:pt>
                <c:pt idx="11">
                  <c:v>19970.885013290266</c:v>
                </c:pt>
                <c:pt idx="12">
                  <c:v>20364.171552574975</c:v>
                </c:pt>
                <c:pt idx="13">
                  <c:v>20058.54412967978</c:v>
                </c:pt>
                <c:pt idx="14">
                  <c:v>19708.290781864089</c:v>
                </c:pt>
                <c:pt idx="15">
                  <c:v>19400.216324542769</c:v>
                </c:pt>
                <c:pt idx="16">
                  <c:v>19051.161605532838</c:v>
                </c:pt>
                <c:pt idx="17">
                  <c:v>19933.38774514115</c:v>
                </c:pt>
                <c:pt idx="18">
                  <c:v>20282.655015129261</c:v>
                </c:pt>
                <c:pt idx="19">
                  <c:v>20068.349414068991</c:v>
                </c:pt>
                <c:pt idx="20">
                  <c:v>19848.964864156231</c:v>
                </c:pt>
                <c:pt idx="21">
                  <c:v>19725.318772611696</c:v>
                </c:pt>
                <c:pt idx="22">
                  <c:v>20225.965895215482</c:v>
                </c:pt>
                <c:pt idx="23">
                  <c:v>20168.260387452727</c:v>
                </c:pt>
                <c:pt idx="24">
                  <c:v>20134.219305294246</c:v>
                </c:pt>
                <c:pt idx="25">
                  <c:v>19667.183224832243</c:v>
                </c:pt>
                <c:pt idx="26">
                  <c:v>18969.40439195502</c:v>
                </c:pt>
                <c:pt idx="27">
                  <c:v>19186.386775060691</c:v>
                </c:pt>
              </c:numCache>
            </c:numRef>
          </c:val>
          <c:smooth val="0"/>
          <c:extLst>
            <c:ext xmlns:c16="http://schemas.microsoft.com/office/drawing/2014/chart" uri="{C3380CC4-5D6E-409C-BE32-E72D297353CC}">
              <c16:uniqueId val="{00000004-521A-4052-915B-F059FD434B62}"/>
            </c:ext>
          </c:extLst>
        </c:ser>
        <c:ser>
          <c:idx val="11"/>
          <c:order val="11"/>
          <c:tx>
            <c:strRef>
              <c:f>'Emissions summary'!$E$122</c:f>
              <c:strCache>
                <c:ptCount val="1"/>
                <c:pt idx="0">
                  <c:v>Direct N2O (inventory)</c:v>
                </c:pt>
              </c:strCache>
            </c:strRef>
          </c:tx>
          <c:spPr>
            <a:ln w="28575" cap="rnd">
              <a:solidFill>
                <a:schemeClr val="accent6">
                  <a:lumMod val="60000"/>
                </a:schemeClr>
              </a:solidFill>
              <a:round/>
            </a:ln>
            <a:effectLst/>
          </c:spPr>
          <c:marker>
            <c:symbol val="none"/>
          </c:marker>
          <c:cat>
            <c:numRef>
              <c:f>'Emissions summary'!$F$110:$AG$110</c:f>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f>'Emissions summary'!$F$122:$AG$122</c:f>
              <c:numCache>
                <c:formatCode>General</c:formatCode>
                <c:ptCount val="28"/>
                <c:pt idx="0">
                  <c:v>18467.2344176074</c:v>
                </c:pt>
                <c:pt idx="1">
                  <c:v>19894.379979012047</c:v>
                </c:pt>
                <c:pt idx="2">
                  <c:v>19508.057170250366</c:v>
                </c:pt>
                <c:pt idx="3">
                  <c:v>19296.286149483876</c:v>
                </c:pt>
                <c:pt idx="4">
                  <c:v>18829.799299341739</c:v>
                </c:pt>
                <c:pt idx="5">
                  <c:v>18816.693751205934</c:v>
                </c:pt>
                <c:pt idx="6">
                  <c:v>19386.372113208152</c:v>
                </c:pt>
                <c:pt idx="7">
                  <c:v>19675.368284891847</c:v>
                </c:pt>
                <c:pt idx="8">
                  <c:v>19967.155293555603</c:v>
                </c:pt>
                <c:pt idx="9">
                  <c:v>20038.391547786159</c:v>
                </c:pt>
                <c:pt idx="10">
                  <c:v>20072.524975980316</c:v>
                </c:pt>
                <c:pt idx="11">
                  <c:v>19701.088061992123</c:v>
                </c:pt>
                <c:pt idx="12">
                  <c:v>20023.216099759749</c:v>
                </c:pt>
                <c:pt idx="13">
                  <c:v>19072.340993484708</c:v>
                </c:pt>
                <c:pt idx="14">
                  <c:v>18849.389549512067</c:v>
                </c:pt>
                <c:pt idx="15">
                  <c:v>18446.259485586925</c:v>
                </c:pt>
                <c:pt idx="16">
                  <c:v>18589.571736189206</c:v>
                </c:pt>
                <c:pt idx="17">
                  <c:v>18224.734436942501</c:v>
                </c:pt>
                <c:pt idx="18">
                  <c:v>19088.198147813157</c:v>
                </c:pt>
                <c:pt idx="19">
                  <c:v>18553.028011451712</c:v>
                </c:pt>
                <c:pt idx="20">
                  <c:v>18939.805460502525</c:v>
                </c:pt>
                <c:pt idx="21">
                  <c:v>18994.993526805851</c:v>
                </c:pt>
                <c:pt idx="22">
                  <c:v>18278.302953548075</c:v>
                </c:pt>
                <c:pt idx="23">
                  <c:v>19582.342769355033</c:v>
                </c:pt>
                <c:pt idx="24">
                  <c:v>19570.475186144038</c:v>
                </c:pt>
                <c:pt idx="25">
                  <c:v>19327.673861761683</c:v>
                </c:pt>
                <c:pt idx="26">
                  <c:v>18029.075027657447</c:v>
                </c:pt>
                <c:pt idx="27">
                  <c:v>18081.049004423898</c:v>
                </c:pt>
              </c:numCache>
            </c:numRef>
          </c:val>
          <c:smooth val="0"/>
          <c:extLst>
            <c:ext xmlns:c16="http://schemas.microsoft.com/office/drawing/2014/chart" uri="{C3380CC4-5D6E-409C-BE32-E72D297353CC}">
              <c16:uniqueId val="{0000000B-521A-4052-915B-F059FD434B62}"/>
            </c:ext>
          </c:extLst>
        </c:ser>
        <c:dLbls>
          <c:showLegendKey val="0"/>
          <c:showVal val="0"/>
          <c:showCatName val="0"/>
          <c:showSerName val="0"/>
          <c:showPercent val="0"/>
          <c:showBubbleSize val="0"/>
        </c:dLbls>
        <c:smooth val="0"/>
        <c:axId val="1363460784"/>
        <c:axId val="1363463696"/>
        <c:extLst>
          <c:ext xmlns:c15="http://schemas.microsoft.com/office/drawing/2012/chart" uri="{02D57815-91ED-43cb-92C2-25804820EDAC}">
            <c15:filteredLineSeries>
              <c15:ser>
                <c:idx val="0"/>
                <c:order val="0"/>
                <c:tx>
                  <c:strRef>
                    <c:extLst>
                      <c:ext uri="{02D57815-91ED-43cb-92C2-25804820EDAC}">
                        <c15:formulaRef>
                          <c15:sqref>'Emissions summary'!$E$111</c15:sqref>
                        </c15:formulaRef>
                      </c:ext>
                    </c:extLst>
                    <c:strCache>
                      <c:ptCount val="1"/>
                      <c:pt idx="0">
                        <c:v>Biomass burning CH4</c:v>
                      </c:pt>
                    </c:strCache>
                  </c:strRef>
                </c:tx>
                <c:spPr>
                  <a:ln w="28575" cap="rnd">
                    <a:solidFill>
                      <a:schemeClr val="accent1"/>
                    </a:solidFill>
                    <a:round/>
                  </a:ln>
                  <a:effectLst/>
                </c:spPr>
                <c:marker>
                  <c:symbol val="none"/>
                </c:marker>
                <c:cat>
                  <c:numRef>
                    <c:extLst>
                      <c:ext uri="{02D57815-91ED-43cb-92C2-25804820EDAC}">
                        <c15:formulaRef>
                          <c15:sqref>'Emissions summary'!$F$110:$AG$110</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c:ext uri="{02D57815-91ED-43cb-92C2-25804820EDAC}">
                        <c15:formulaRef>
                          <c15:sqref>'Emissions summary'!$F$111:$AG$111</c15:sqref>
                        </c15:formulaRef>
                      </c:ext>
                    </c:extLst>
                    <c:numCache>
                      <c:formatCode>General</c:formatCode>
                      <c:ptCount val="28"/>
                      <c:pt idx="0">
                        <c:v>1113.9523335609101</c:v>
                      </c:pt>
                      <c:pt idx="1">
                        <c:v>1113.9523335609101</c:v>
                      </c:pt>
                      <c:pt idx="2">
                        <c:v>1113.9523335609101</c:v>
                      </c:pt>
                      <c:pt idx="3">
                        <c:v>1113.9523335609101</c:v>
                      </c:pt>
                      <c:pt idx="4">
                        <c:v>1113.9523335609101</c:v>
                      </c:pt>
                      <c:pt idx="5">
                        <c:v>1113.9523335609101</c:v>
                      </c:pt>
                      <c:pt idx="6">
                        <c:v>1113.9523335609101</c:v>
                      </c:pt>
                      <c:pt idx="7">
                        <c:v>1113.9523335609101</c:v>
                      </c:pt>
                      <c:pt idx="8">
                        <c:v>1113.9523335609101</c:v>
                      </c:pt>
                      <c:pt idx="9">
                        <c:v>1113.9523335609101</c:v>
                      </c:pt>
                      <c:pt idx="10">
                        <c:v>1103.4776992955053</c:v>
                      </c:pt>
                      <c:pt idx="11">
                        <c:v>1282.5517441798665</c:v>
                      </c:pt>
                      <c:pt idx="12">
                        <c:v>1288.9176046937982</c:v>
                      </c:pt>
                      <c:pt idx="13">
                        <c:v>1011.4345809085878</c:v>
                      </c:pt>
                      <c:pt idx="14">
                        <c:v>883.38003872679235</c:v>
                      </c:pt>
                      <c:pt idx="15">
                        <c:v>1412.334298727088</c:v>
                      </c:pt>
                      <c:pt idx="16">
                        <c:v>1236.8838978672777</c:v>
                      </c:pt>
                      <c:pt idx="17">
                        <c:v>1218.5771221263838</c:v>
                      </c:pt>
                      <c:pt idx="18">
                        <c:v>1139.8644942847</c:v>
                      </c:pt>
                      <c:pt idx="19">
                        <c:v>1078.8713756473658</c:v>
                      </c:pt>
                      <c:pt idx="20">
                        <c:v>1107.055106514</c:v>
                      </c:pt>
                      <c:pt idx="21">
                        <c:v>1093.3943713178221</c:v>
                      </c:pt>
                      <c:pt idx="22">
                        <c:v>1003.5637069444559</c:v>
                      </c:pt>
                      <c:pt idx="23">
                        <c:v>949.58031288518987</c:v>
                      </c:pt>
                      <c:pt idx="24">
                        <c:v>1016.956735075512</c:v>
                      </c:pt>
                      <c:pt idx="25">
                        <c:v>737.86776841461585</c:v>
                      </c:pt>
                      <c:pt idx="26">
                        <c:v>446.18919850209591</c:v>
                      </c:pt>
                      <c:pt idx="27">
                        <c:v>416.70692080806589</c:v>
                      </c:pt>
                    </c:numCache>
                  </c:numRef>
                </c:val>
                <c:smooth val="0"/>
                <c:extLst>
                  <c:ext xmlns:c16="http://schemas.microsoft.com/office/drawing/2014/chart" uri="{C3380CC4-5D6E-409C-BE32-E72D297353CC}">
                    <c16:uniqueId val="{00000000-521A-4052-915B-F059FD434B62}"/>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'Emissions summary'!$E$112</c15:sqref>
                        </c15:formulaRef>
                      </c:ext>
                    </c:extLst>
                    <c:strCache>
                      <c:ptCount val="1"/>
                      <c:pt idx="0">
                        <c:v>Biomass burning N2O</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summary'!$F$110:$AG$110</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summary'!$F$112:$AG$112</c15:sqref>
                        </c15:formulaRef>
                      </c:ext>
                    </c:extLst>
                    <c:numCache>
                      <c:formatCode>General</c:formatCode>
                      <c:ptCount val="28"/>
                      <c:pt idx="0">
                        <c:v>1149.3522600947301</c:v>
                      </c:pt>
                      <c:pt idx="1">
                        <c:v>1149.3522600947301</c:v>
                      </c:pt>
                      <c:pt idx="2">
                        <c:v>1149.3522600947301</c:v>
                      </c:pt>
                      <c:pt idx="3">
                        <c:v>1149.3522600947301</c:v>
                      </c:pt>
                      <c:pt idx="4">
                        <c:v>1149.3522600947301</c:v>
                      </c:pt>
                      <c:pt idx="5">
                        <c:v>1149.3522600947301</c:v>
                      </c:pt>
                      <c:pt idx="6">
                        <c:v>1149.3522600947301</c:v>
                      </c:pt>
                      <c:pt idx="7">
                        <c:v>1149.3522600947301</c:v>
                      </c:pt>
                      <c:pt idx="8">
                        <c:v>1149.3522600947301</c:v>
                      </c:pt>
                      <c:pt idx="9">
                        <c:v>1149.3522600947301</c:v>
                      </c:pt>
                      <c:pt idx="10">
                        <c:v>1138.2881924240246</c:v>
                      </c:pt>
                      <c:pt idx="11">
                        <c:v>1347.8625366593228</c:v>
                      </c:pt>
                      <c:pt idx="12">
                        <c:v>1328.3690110437451</c:v>
                      </c:pt>
                      <c:pt idx="13">
                        <c:v>1017.5651134275211</c:v>
                      </c:pt>
                      <c:pt idx="14">
                        <c:v>914.67644691903695</c:v>
                      </c:pt>
                      <c:pt idx="15">
                        <c:v>1447.9112474339306</c:v>
                      </c:pt>
                      <c:pt idx="16">
                        <c:v>1263.4019893034997</c:v>
                      </c:pt>
                      <c:pt idx="17">
                        <c:v>1217.4357899565925</c:v>
                      </c:pt>
                      <c:pt idx="18">
                        <c:v>1180.1818937292605</c:v>
                      </c:pt>
                      <c:pt idx="19">
                        <c:v>1108.1395844539597</c:v>
                      </c:pt>
                      <c:pt idx="20">
                        <c:v>1121.7567904983002</c:v>
                      </c:pt>
                      <c:pt idx="21">
                        <c:v>1111.0832034573957</c:v>
                      </c:pt>
                      <c:pt idx="22">
                        <c:v>1002.2217969563279</c:v>
                      </c:pt>
                      <c:pt idx="23">
                        <c:v>980.55948658247996</c:v>
                      </c:pt>
                      <c:pt idx="24">
                        <c:v>1029.1314860411758</c:v>
                      </c:pt>
                      <c:pt idx="25">
                        <c:v>747.9095108761079</c:v>
                      </c:pt>
                      <c:pt idx="26">
                        <c:v>434.96704823788798</c:v>
                      </c:pt>
                      <c:pt idx="27">
                        <c:v>408.31943255002801</c:v>
                      </c:pt>
                    </c:numCache>
                  </c:numRef>
                </c:val>
                <c:smooth val="0"/>
                <c:extLst xmlns:c15="http://schemas.microsoft.com/office/drawing/2012/chart">
                  <c:ext xmlns:c16="http://schemas.microsoft.com/office/drawing/2014/chart" uri="{C3380CC4-5D6E-409C-BE32-E72D297353CC}">
                    <c16:uniqueId val="{00000001-521A-4052-915B-F059FD434B62}"/>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'Emissions summary'!$E$113</c15:sqref>
                        </c15:formulaRef>
                      </c:ext>
                    </c:extLst>
                    <c:strCache>
                      <c:ptCount val="1"/>
                      <c:pt idx="0">
                        <c:v>Liming</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summary'!$F$110:$AG$110</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357.5</c:v>
                      </c:pt>
                      <c:pt idx="1">
                        <c:v>378.125</c:v>
                      </c:pt>
                      <c:pt idx="2">
                        <c:v>261.25</c:v>
                      </c:pt>
                      <c:pt idx="3">
                        <c:v>412.5</c:v>
                      </c:pt>
                      <c:pt idx="4">
                        <c:v>595.58170833333327</c:v>
                      </c:pt>
                      <c:pt idx="5">
                        <c:v>473.34145833333332</c:v>
                      </c:pt>
                      <c:pt idx="6">
                        <c:v>579.13625000000002</c:v>
                      </c:pt>
                      <c:pt idx="7">
                        <c:v>547.24312499999996</c:v>
                      </c:pt>
                      <c:pt idx="8">
                        <c:v>570.31379166666659</c:v>
                      </c:pt>
                      <c:pt idx="9">
                        <c:v>567.03808333333325</c:v>
                      </c:pt>
                      <c:pt idx="10">
                        <c:v>378.2405</c:v>
                      </c:pt>
                      <c:pt idx="11">
                        <c:v>489.66362500000002</c:v>
                      </c:pt>
                      <c:pt idx="12">
                        <c:v>672.79437500000006</c:v>
                      </c:pt>
                      <c:pt idx="13">
                        <c:v>580.13175000000001</c:v>
                      </c:pt>
                      <c:pt idx="14">
                        <c:v>579.7403333333333</c:v>
                      </c:pt>
                      <c:pt idx="15">
                        <c:v>266.03683333333333</c:v>
                      </c:pt>
                      <c:pt idx="16">
                        <c:v>441.42908333333332</c:v>
                      </c:pt>
                      <c:pt idx="17">
                        <c:v>521.42108333333329</c:v>
                      </c:pt>
                      <c:pt idx="18">
                        <c:v>655.32637499999998</c:v>
                      </c:pt>
                      <c:pt idx="19">
                        <c:v>695.56775237855516</c:v>
                      </c:pt>
                      <c:pt idx="20">
                        <c:v>653.23730656422072</c:v>
                      </c:pt>
                      <c:pt idx="21">
                        <c:v>722.61220387104663</c:v>
                      </c:pt>
                      <c:pt idx="22">
                        <c:v>829.6141641239476</c:v>
                      </c:pt>
                      <c:pt idx="23">
                        <c:v>749.65665536353811</c:v>
                      </c:pt>
                      <c:pt idx="24">
                        <c:v>773.17356970483502</c:v>
                      </c:pt>
                      <c:pt idx="25">
                        <c:v>780.22864400722403</c:v>
                      </c:pt>
                      <c:pt idx="26">
                        <c:v>982.47410734237747</c:v>
                      </c:pt>
                      <c:pt idx="27">
                        <c:v>1218.2311736138793</c:v>
                      </c:pt>
                    </c:numCache>
                  </c:numRef>
                </c:val>
                <c:smooth val="0"/>
                <c:extLst xmlns:c15="http://schemas.microsoft.com/office/drawing/2012/chart">
                  <c:ext xmlns:c16="http://schemas.microsoft.com/office/drawing/2014/chart" uri="{C3380CC4-5D6E-409C-BE32-E72D297353CC}">
                    <c16:uniqueId val="{00000002-521A-4052-915B-F059FD434B62}"/>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'Emissions summary'!$E$114</c15:sqref>
                        </c15:formulaRef>
                      </c:ext>
                    </c:extLst>
                    <c:strCache>
                      <c:ptCount val="1"/>
                      <c:pt idx="0">
                        <c:v>Urea</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summary'!$F$110:$AG$110</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summary'!$F$114:$AG$114</c15:sqref>
                        </c15:formulaRef>
                      </c:ext>
                    </c:extLst>
                    <c:numCache>
                      <c:formatCode>General</c:formatCode>
                      <c:ptCount val="28"/>
                      <c:pt idx="0">
                        <c:v>90.994567483487728</c:v>
                      </c:pt>
                      <c:pt idx="1">
                        <c:v>111.62690198838213</c:v>
                      </c:pt>
                      <c:pt idx="2">
                        <c:v>132.25923649327655</c:v>
                      </c:pt>
                      <c:pt idx="3">
                        <c:v>152.89157099816552</c:v>
                      </c:pt>
                      <c:pt idx="4">
                        <c:v>173.52390550305992</c:v>
                      </c:pt>
                      <c:pt idx="5">
                        <c:v>194.15624000795432</c:v>
                      </c:pt>
                      <c:pt idx="6">
                        <c:v>214.78857451284878</c:v>
                      </c:pt>
                      <c:pt idx="7">
                        <c:v>235.42090901774316</c:v>
                      </c:pt>
                      <c:pt idx="8">
                        <c:v>256.05324352263762</c:v>
                      </c:pt>
                      <c:pt idx="9">
                        <c:v>276.68557802753202</c:v>
                      </c:pt>
                      <c:pt idx="10">
                        <c:v>297.31791253242642</c:v>
                      </c:pt>
                      <c:pt idx="11">
                        <c:v>317.95024703732088</c:v>
                      </c:pt>
                      <c:pt idx="12">
                        <c:v>338.58258154220977</c:v>
                      </c:pt>
                      <c:pt idx="13">
                        <c:v>359.21491604710423</c:v>
                      </c:pt>
                      <c:pt idx="14">
                        <c:v>435.89846666666671</c:v>
                      </c:pt>
                      <c:pt idx="15">
                        <c:v>355.08659999999998</c:v>
                      </c:pt>
                      <c:pt idx="16">
                        <c:v>393.08573333333334</c:v>
                      </c:pt>
                      <c:pt idx="17">
                        <c:v>484.55366666666663</c:v>
                      </c:pt>
                      <c:pt idx="18">
                        <c:v>480.19253333333336</c:v>
                      </c:pt>
                      <c:pt idx="19">
                        <c:v>380.54426666666666</c:v>
                      </c:pt>
                      <c:pt idx="20">
                        <c:v>501.48046666666664</c:v>
                      </c:pt>
                      <c:pt idx="21">
                        <c:v>571.19113333333337</c:v>
                      </c:pt>
                      <c:pt idx="22">
                        <c:v>587.22106666666662</c:v>
                      </c:pt>
                      <c:pt idx="23">
                        <c:v>533.06336966666674</c:v>
                      </c:pt>
                      <c:pt idx="24">
                        <c:v>663.77159200000006</c:v>
                      </c:pt>
                      <c:pt idx="25">
                        <c:v>486.09938600666663</c:v>
                      </c:pt>
                      <c:pt idx="26">
                        <c:v>643.60119999999995</c:v>
                      </c:pt>
                      <c:pt idx="27">
                        <c:v>679.61446666666666</c:v>
                      </c:pt>
                    </c:numCache>
                  </c:numRef>
                </c:val>
                <c:smooth val="0"/>
                <c:extLst xmlns:c15="http://schemas.microsoft.com/office/drawing/2012/chart">
                  <c:ext xmlns:c16="http://schemas.microsoft.com/office/drawing/2014/chart" uri="{C3380CC4-5D6E-409C-BE32-E72D297353CC}">
                    <c16:uniqueId val="{00000003-521A-4052-915B-F059FD434B62}"/>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'Emissions summary'!$E$116</c15:sqref>
                        </c15:formulaRef>
                      </c:ext>
                    </c:extLst>
                    <c:strCache>
                      <c:ptCount val="1"/>
                      <c:pt idx="0">
                        <c:v>Indirect N2O from MS</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summary'!$F$110:$AG$110</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summary'!$F$116:$AG$116</c15:sqref>
                        </c15:formulaRef>
                      </c:ext>
                    </c:extLst>
                    <c:numCache>
                      <c:formatCode>General</c:formatCode>
                      <c:ptCount val="28"/>
                      <c:pt idx="0">
                        <c:v>2388.0102035123605</c:v>
                      </c:pt>
                      <c:pt idx="1">
                        <c:v>2422.3649563517615</c:v>
                      </c:pt>
                      <c:pt idx="2">
                        <c:v>2366.0160295258652</c:v>
                      </c:pt>
                      <c:pt idx="3">
                        <c:v>2332.024314033295</c:v>
                      </c:pt>
                      <c:pt idx="4">
                        <c:v>2269.8856393890724</c:v>
                      </c:pt>
                      <c:pt idx="5">
                        <c:v>2257.3551747657566</c:v>
                      </c:pt>
                      <c:pt idx="6">
                        <c:v>2332.8794219128258</c:v>
                      </c:pt>
                      <c:pt idx="7">
                        <c:v>2353.4608848045295</c:v>
                      </c:pt>
                      <c:pt idx="8">
                        <c:v>2375.1086873788704</c:v>
                      </c:pt>
                      <c:pt idx="9">
                        <c:v>2369.8122167060246</c:v>
                      </c:pt>
                      <c:pt idx="10">
                        <c:v>2379.1334621159244</c:v>
                      </c:pt>
                      <c:pt idx="11">
                        <c:v>2332.4757077458062</c:v>
                      </c:pt>
                      <c:pt idx="12">
                        <c:v>2352.5031586422174</c:v>
                      </c:pt>
                      <c:pt idx="13">
                        <c:v>2317.0522227606916</c:v>
                      </c:pt>
                      <c:pt idx="14">
                        <c:v>2291.1004488983099</c:v>
                      </c:pt>
                      <c:pt idx="15">
                        <c:v>2260.716684821874</c:v>
                      </c:pt>
                      <c:pt idx="16">
                        <c:v>2276.1004128580194</c:v>
                      </c:pt>
                      <c:pt idx="17">
                        <c:v>2334.5451499588221</c:v>
                      </c:pt>
                      <c:pt idx="18">
                        <c:v>2364.8401504898161</c:v>
                      </c:pt>
                      <c:pt idx="19">
                        <c:v>2357.3087175615215</c:v>
                      </c:pt>
                      <c:pt idx="20">
                        <c:v>2316.7336232801035</c:v>
                      </c:pt>
                      <c:pt idx="21">
                        <c:v>2313.3914976011652</c:v>
                      </c:pt>
                      <c:pt idx="22">
                        <c:v>2334.0985551108756</c:v>
                      </c:pt>
                      <c:pt idx="23">
                        <c:v>2348.8400209329502</c:v>
                      </c:pt>
                      <c:pt idx="24">
                        <c:v>2344.4692750460258</c:v>
                      </c:pt>
                      <c:pt idx="25">
                        <c:v>2299.7650755104332</c:v>
                      </c:pt>
                      <c:pt idx="26">
                        <c:v>2252.6390591444524</c:v>
                      </c:pt>
                      <c:pt idx="27">
                        <c:v>2235.452591217253</c:v>
                      </c:pt>
                    </c:numCache>
                  </c:numRef>
                </c:val>
                <c:smooth val="0"/>
                <c:extLst xmlns:c15="http://schemas.microsoft.com/office/drawing/2012/chart">
                  <c:ext xmlns:c16="http://schemas.microsoft.com/office/drawing/2014/chart" uri="{C3380CC4-5D6E-409C-BE32-E72D297353CC}">
                    <c16:uniqueId val="{00000005-521A-4052-915B-F059FD434B62}"/>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'Emissions summary'!$E$117</c15:sqref>
                        </c15:formulaRef>
                      </c:ext>
                    </c:extLst>
                    <c:strCache>
                      <c:ptCount val="1"/>
                      <c:pt idx="0">
                        <c:v>Indirect N2O from MM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summary'!$F$110:$AG$110</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summary'!$F$117:$AG$117</c15:sqref>
                        </c15:formulaRef>
                      </c:ext>
                    </c:extLst>
                    <c:numCache>
                      <c:formatCode>General</c:formatCode>
                      <c:ptCount val="28"/>
                      <c:pt idx="0">
                        <c:v>343.10330161578099</c:v>
                      </c:pt>
                      <c:pt idx="1">
                        <c:v>365.58614133033353</c:v>
                      </c:pt>
                      <c:pt idx="2">
                        <c:v>339.91114682728761</c:v>
                      </c:pt>
                      <c:pt idx="3">
                        <c:v>352.62601984444137</c:v>
                      </c:pt>
                      <c:pt idx="4">
                        <c:v>336.24824053022888</c:v>
                      </c:pt>
                      <c:pt idx="5">
                        <c:v>354.90652971327108</c:v>
                      </c:pt>
                      <c:pt idx="6">
                        <c:v>370.7282945162878</c:v>
                      </c:pt>
                      <c:pt idx="7">
                        <c:v>367.33263044382841</c:v>
                      </c:pt>
                      <c:pt idx="8">
                        <c:v>376.31467332854538</c:v>
                      </c:pt>
                      <c:pt idx="9">
                        <c:v>380.26274683162796</c:v>
                      </c:pt>
                      <c:pt idx="10">
                        <c:v>420.72277135231604</c:v>
                      </c:pt>
                      <c:pt idx="11">
                        <c:v>418.37207720994593</c:v>
                      </c:pt>
                      <c:pt idx="12">
                        <c:v>406.12517665445523</c:v>
                      </c:pt>
                      <c:pt idx="13">
                        <c:v>385.62180744131297</c:v>
                      </c:pt>
                      <c:pt idx="14">
                        <c:v>383.11027791084422</c:v>
                      </c:pt>
                      <c:pt idx="15">
                        <c:v>402.62502084090437</c:v>
                      </c:pt>
                      <c:pt idx="16">
                        <c:v>407.68948429226828</c:v>
                      </c:pt>
                      <c:pt idx="17">
                        <c:v>415.77221135959962</c:v>
                      </c:pt>
                      <c:pt idx="18">
                        <c:v>450.38785912632164</c:v>
                      </c:pt>
                      <c:pt idx="19">
                        <c:v>447.90280780802436</c:v>
                      </c:pt>
                      <c:pt idx="20">
                        <c:v>450.47531382738657</c:v>
                      </c:pt>
                      <c:pt idx="21">
                        <c:v>455.70252815125627</c:v>
                      </c:pt>
                      <c:pt idx="22">
                        <c:v>454.2990120208886</c:v>
                      </c:pt>
                      <c:pt idx="23">
                        <c:v>467.1027930484243</c:v>
                      </c:pt>
                      <c:pt idx="24">
                        <c:v>463.97224881283108</c:v>
                      </c:pt>
                      <c:pt idx="25">
                        <c:v>471.70799949786652</c:v>
                      </c:pt>
                      <c:pt idx="26">
                        <c:v>471.14622162385422</c:v>
                      </c:pt>
                      <c:pt idx="27">
                        <c:v>483.13167606001025</c:v>
                      </c:pt>
                    </c:numCache>
                  </c:numRef>
                </c:val>
                <c:smooth val="0"/>
                <c:extLst xmlns:c15="http://schemas.microsoft.com/office/drawing/2012/chart">
                  <c:ext xmlns:c16="http://schemas.microsoft.com/office/drawing/2014/chart" uri="{C3380CC4-5D6E-409C-BE32-E72D297353CC}">
                    <c16:uniqueId val="{00000006-521A-4052-915B-F059FD434B62}"/>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'Emissions summary'!$E$118</c15:sqref>
                        </c15:formulaRef>
                      </c:ext>
                    </c:extLst>
                    <c:strCache>
                      <c:ptCount val="1"/>
                      <c:pt idx="0">
                        <c:v>Biomass burning CH4 (inventory)</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summary'!$F$110:$AG$110</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summary'!$F$118:$AG$118</c15:sqref>
                        </c15:formulaRef>
                      </c:ext>
                    </c:extLst>
                    <c:numCache>
                      <c:formatCode>General</c:formatCode>
                      <c:ptCount val="28"/>
                      <c:pt idx="0">
                        <c:v>1114.2730572677472</c:v>
                      </c:pt>
                      <c:pt idx="1">
                        <c:v>1114.2730572677472</c:v>
                      </c:pt>
                      <c:pt idx="2">
                        <c:v>1114.2730572677472</c:v>
                      </c:pt>
                      <c:pt idx="3">
                        <c:v>1114.2730572677472</c:v>
                      </c:pt>
                      <c:pt idx="4">
                        <c:v>1114.2730572677472</c:v>
                      </c:pt>
                      <c:pt idx="5">
                        <c:v>1114.2730572677472</c:v>
                      </c:pt>
                      <c:pt idx="6">
                        <c:v>1114.2730572677472</c:v>
                      </c:pt>
                      <c:pt idx="7">
                        <c:v>1114.2730572677472</c:v>
                      </c:pt>
                      <c:pt idx="8">
                        <c:v>1114.2730572677472</c:v>
                      </c:pt>
                      <c:pt idx="9">
                        <c:v>1114.2730572677472</c:v>
                      </c:pt>
                      <c:pt idx="10">
                        <c:v>1103.7473247333526</c:v>
                      </c:pt>
                      <c:pt idx="11">
                        <c:v>1295.1615779672622</c:v>
                      </c:pt>
                      <c:pt idx="12">
                        <c:v>1300.4179901779976</c:v>
                      </c:pt>
                      <c:pt idx="13">
                        <c:v>1021.2239026078485</c:v>
                      </c:pt>
                      <c:pt idx="14">
                        <c:v>890.95637702591955</c:v>
                      </c:pt>
                      <c:pt idx="15">
                        <c:v>1429.3697355873492</c:v>
                      </c:pt>
                      <c:pt idx="16">
                        <c:v>1251.7694565972624</c:v>
                      </c:pt>
                      <c:pt idx="17">
                        <c:v>1234.9730242836924</c:v>
                      </c:pt>
                      <c:pt idx="18">
                        <c:v>1150.1284038185643</c:v>
                      </c:pt>
                      <c:pt idx="19">
                        <c:v>1091.261696265384</c:v>
                      </c:pt>
                      <c:pt idx="20">
                        <c:v>1116.957250242162</c:v>
                      </c:pt>
                      <c:pt idx="21">
                        <c:v>1100.5811063069254</c:v>
                      </c:pt>
                      <c:pt idx="22">
                        <c:v>1010.9312887182766</c:v>
                      </c:pt>
                      <c:pt idx="23">
                        <c:v>956.65662263461502</c:v>
                      </c:pt>
                      <c:pt idx="24">
                        <c:v>1024.1532025090505</c:v>
                      </c:pt>
                      <c:pt idx="25">
                        <c:v>742.78507159014475</c:v>
                      </c:pt>
                      <c:pt idx="26">
                        <c:v>448.47103409650083</c:v>
                      </c:pt>
                      <c:pt idx="27">
                        <c:v>418.78097085765791</c:v>
                      </c:pt>
                    </c:numCache>
                  </c:numRef>
                </c:val>
                <c:smooth val="0"/>
                <c:extLst xmlns:c15="http://schemas.microsoft.com/office/drawing/2012/chart">
                  <c:ext xmlns:c16="http://schemas.microsoft.com/office/drawing/2014/chart" uri="{C3380CC4-5D6E-409C-BE32-E72D297353CC}">
                    <c16:uniqueId val="{00000007-521A-4052-915B-F059FD434B62}"/>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'Emissions summary'!$E$119</c15:sqref>
                        </c15:formulaRef>
                      </c:ext>
                    </c:extLst>
                    <c:strCache>
                      <c:ptCount val="1"/>
                      <c:pt idx="0">
                        <c:v>Biomass burning N2O (inventory)</c:v>
                      </c:pt>
                    </c:strCache>
                  </c:strRef>
                </c:tx>
                <c:spPr>
                  <a:ln w="28575" cap="rnd">
                    <a:solidFill>
                      <a:schemeClr val="accent3">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summary'!$F$110:$AG$110</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summary'!$F$119:$AG$119</c15:sqref>
                        </c15:formulaRef>
                      </c:ext>
                    </c:extLst>
                    <c:numCache>
                      <c:formatCode>General</c:formatCode>
                      <c:ptCount val="28"/>
                      <c:pt idx="0">
                        <c:v>1149.6141682079121</c:v>
                      </c:pt>
                      <c:pt idx="1">
                        <c:v>1149.6141682079121</c:v>
                      </c:pt>
                      <c:pt idx="2">
                        <c:v>1149.6141682079121</c:v>
                      </c:pt>
                      <c:pt idx="3">
                        <c:v>1149.6141682079121</c:v>
                      </c:pt>
                      <c:pt idx="4">
                        <c:v>1149.6141682079121</c:v>
                      </c:pt>
                      <c:pt idx="5">
                        <c:v>1149.6141682079121</c:v>
                      </c:pt>
                      <c:pt idx="6">
                        <c:v>1149.6141682079121</c:v>
                      </c:pt>
                      <c:pt idx="7">
                        <c:v>1149.6141682079121</c:v>
                      </c:pt>
                      <c:pt idx="8">
                        <c:v>1149.6141682079121</c:v>
                      </c:pt>
                      <c:pt idx="9">
                        <c:v>1149.6141682079121</c:v>
                      </c:pt>
                      <c:pt idx="10">
                        <c:v>1138.5083728727629</c:v>
                      </c:pt>
                      <c:pt idx="11">
                        <c:v>1348.0477860975932</c:v>
                      </c:pt>
                      <c:pt idx="12">
                        <c:v>1328.8199324792706</c:v>
                      </c:pt>
                      <c:pt idx="13">
                        <c:v>1017.846389296701</c:v>
                      </c:pt>
                      <c:pt idx="14">
                        <c:v>914.84836029323264</c:v>
                      </c:pt>
                      <c:pt idx="15">
                        <c:v>1448.2029822975244</c:v>
                      </c:pt>
                      <c:pt idx="16">
                        <c:v>1263.6284316097351</c:v>
                      </c:pt>
                      <c:pt idx="17">
                        <c:v>1217.6306521923173</c:v>
                      </c:pt>
                      <c:pt idx="18">
                        <c:v>1180.4178811371937</c:v>
                      </c:pt>
                      <c:pt idx="19">
                        <c:v>1108.455283615433</c:v>
                      </c:pt>
                      <c:pt idx="20">
                        <c:v>1122.512590663056</c:v>
                      </c:pt>
                      <c:pt idx="21">
                        <c:v>1111.8425729905728</c:v>
                      </c:pt>
                      <c:pt idx="22">
                        <c:v>1003.2623700366383</c:v>
                      </c:pt>
                      <c:pt idx="23">
                        <c:v>980.98785105992999</c:v>
                      </c:pt>
                      <c:pt idx="24">
                        <c:v>1029.413853897383</c:v>
                      </c:pt>
                      <c:pt idx="25">
                        <c:v>748.29527463252236</c:v>
                      </c:pt>
                      <c:pt idx="26">
                        <c:v>435.50232253439043</c:v>
                      </c:pt>
                      <c:pt idx="27">
                        <c:v>408.72643283393637</c:v>
                      </c:pt>
                    </c:numCache>
                  </c:numRef>
                </c:val>
                <c:smooth val="0"/>
                <c:extLst xmlns:c15="http://schemas.microsoft.com/office/drawing/2012/chart">
                  <c:ext xmlns:c16="http://schemas.microsoft.com/office/drawing/2014/chart" uri="{C3380CC4-5D6E-409C-BE32-E72D297353CC}">
                    <c16:uniqueId val="{00000008-521A-4052-915B-F059FD434B62}"/>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'Emissions summary'!$E$120</c15:sqref>
                        </c15:formulaRef>
                      </c:ext>
                    </c:extLst>
                    <c:strCache>
                      <c:ptCount val="1"/>
                      <c:pt idx="0">
                        <c:v>Liming (inventory)</c:v>
                      </c:pt>
                    </c:strCache>
                  </c:strRef>
                </c:tx>
                <c:spPr>
                  <a:ln w="28575" cap="rnd">
                    <a:solidFill>
                      <a:schemeClr val="accent4">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summary'!$F$110:$AG$110</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summary'!$F$120:$AG$120</c15:sqref>
                        </c15:formulaRef>
                      </c:ext>
                    </c:extLst>
                    <c:numCache>
                      <c:formatCode>General</c:formatCode>
                      <c:ptCount val="28"/>
                      <c:pt idx="0">
                        <c:v>363.73333333333335</c:v>
                      </c:pt>
                      <c:pt idx="1">
                        <c:v>386.1</c:v>
                      </c:pt>
                      <c:pt idx="2">
                        <c:v>266.2</c:v>
                      </c:pt>
                      <c:pt idx="3">
                        <c:v>413.6</c:v>
                      </c:pt>
                      <c:pt idx="4">
                        <c:v>603.75919999999996</c:v>
                      </c:pt>
                      <c:pt idx="5">
                        <c:v>481.52980333333335</c:v>
                      </c:pt>
                      <c:pt idx="6">
                        <c:v>588.48859666666669</c:v>
                      </c:pt>
                      <c:pt idx="7">
                        <c:v>556.65125999999998</c:v>
                      </c:pt>
                      <c:pt idx="8">
                        <c:v>581.37815999999998</c:v>
                      </c:pt>
                      <c:pt idx="9">
                        <c:v>577.08170666666672</c:v>
                      </c:pt>
                      <c:pt idx="10">
                        <c:v>384.05253333333332</c:v>
                      </c:pt>
                      <c:pt idx="11">
                        <c:v>497.15031666666664</c:v>
                      </c:pt>
                      <c:pt idx="12">
                        <c:v>683.69223999999997</c:v>
                      </c:pt>
                      <c:pt idx="13">
                        <c:v>585.99346666666668</c:v>
                      </c:pt>
                      <c:pt idx="14">
                        <c:v>585.5420633333332</c:v>
                      </c:pt>
                      <c:pt idx="15">
                        <c:v>267.37941999999998</c:v>
                      </c:pt>
                      <c:pt idx="16">
                        <c:v>445.96068000000002</c:v>
                      </c:pt>
                      <c:pt idx="17">
                        <c:v>524.87031666666667</c:v>
                      </c:pt>
                      <c:pt idx="18">
                        <c:v>658.9218166666667</c:v>
                      </c:pt>
                      <c:pt idx="19">
                        <c:v>701.39039489690549</c:v>
                      </c:pt>
                      <c:pt idx="20">
                        <c:v>659.21936851962221</c:v>
                      </c:pt>
                      <c:pt idx="21">
                        <c:v>728.33299508239213</c:v>
                      </c:pt>
                      <c:pt idx="22">
                        <c:v>834.93197842496943</c:v>
                      </c:pt>
                      <c:pt idx="23">
                        <c:v>755.27559526787866</c:v>
                      </c:pt>
                      <c:pt idx="24">
                        <c:v>778.70394325525831</c:v>
                      </c:pt>
                      <c:pt idx="25">
                        <c:v>785.73244765147194</c:v>
                      </c:pt>
                      <c:pt idx="26">
                        <c:v>987.21624034293666</c:v>
                      </c:pt>
                      <c:pt idx="27">
                        <c:v>1222.085428916417</c:v>
                      </c:pt>
                    </c:numCache>
                  </c:numRef>
                </c:val>
                <c:smooth val="0"/>
                <c:extLst xmlns:c15="http://schemas.microsoft.com/office/drawing/2012/chart">
                  <c:ext xmlns:c16="http://schemas.microsoft.com/office/drawing/2014/chart" uri="{C3380CC4-5D6E-409C-BE32-E72D297353CC}">
                    <c16:uniqueId val="{00000009-521A-4052-915B-F059FD434B62}"/>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'Emissions summary'!$E$121</c15:sqref>
                        </c15:formulaRef>
                      </c:ext>
                    </c:extLst>
                    <c:strCache>
                      <c:ptCount val="1"/>
                      <c:pt idx="0">
                        <c:v>Urea (inventory)</c:v>
                      </c:pt>
                    </c:strCache>
                  </c:strRef>
                </c:tx>
                <c:spPr>
                  <a:ln w="28575" cap="rnd">
                    <a:solidFill>
                      <a:schemeClr val="accent5">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summary'!$F$110:$AG$110</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summary'!$F$121:$AG$121</c15:sqref>
                        </c15:formulaRef>
                      </c:ext>
                    </c:extLst>
                    <c:numCache>
                      <c:formatCode>General</c:formatCode>
                      <c:ptCount val="28"/>
                      <c:pt idx="0">
                        <c:v>90.994567483487728</c:v>
                      </c:pt>
                      <c:pt idx="1">
                        <c:v>111.62690198838213</c:v>
                      </c:pt>
                      <c:pt idx="2">
                        <c:v>132.25923649327655</c:v>
                      </c:pt>
                      <c:pt idx="3">
                        <c:v>152.89157099816552</c:v>
                      </c:pt>
                      <c:pt idx="4">
                        <c:v>173.52390550305992</c:v>
                      </c:pt>
                      <c:pt idx="5">
                        <c:v>194.15624000795432</c:v>
                      </c:pt>
                      <c:pt idx="6">
                        <c:v>214.78857451284878</c:v>
                      </c:pt>
                      <c:pt idx="7">
                        <c:v>235.42090901774316</c:v>
                      </c:pt>
                      <c:pt idx="8">
                        <c:v>256.05324352263756</c:v>
                      </c:pt>
                      <c:pt idx="9">
                        <c:v>276.68557802753202</c:v>
                      </c:pt>
                      <c:pt idx="10">
                        <c:v>297.31791253242642</c:v>
                      </c:pt>
                      <c:pt idx="11">
                        <c:v>317.95024703732088</c:v>
                      </c:pt>
                      <c:pt idx="12">
                        <c:v>338.58258154220977</c:v>
                      </c:pt>
                      <c:pt idx="13">
                        <c:v>359.21491604710423</c:v>
                      </c:pt>
                      <c:pt idx="14">
                        <c:v>435.89846666666665</c:v>
                      </c:pt>
                      <c:pt idx="15">
                        <c:v>355.08659999999998</c:v>
                      </c:pt>
                      <c:pt idx="16">
                        <c:v>393.08573333333334</c:v>
                      </c:pt>
                      <c:pt idx="17">
                        <c:v>484.55366666666663</c:v>
                      </c:pt>
                      <c:pt idx="18">
                        <c:v>480.1925333333333</c:v>
                      </c:pt>
                      <c:pt idx="19">
                        <c:v>380.54426666666666</c:v>
                      </c:pt>
                      <c:pt idx="20">
                        <c:v>501.48046666666664</c:v>
                      </c:pt>
                      <c:pt idx="21">
                        <c:v>571.19113333333325</c:v>
                      </c:pt>
                      <c:pt idx="22">
                        <c:v>587.22106666666662</c:v>
                      </c:pt>
                      <c:pt idx="23">
                        <c:v>533.06336966666674</c:v>
                      </c:pt>
                      <c:pt idx="24">
                        <c:v>663.77159200000006</c:v>
                      </c:pt>
                      <c:pt idx="25">
                        <c:v>486.09938600666663</c:v>
                      </c:pt>
                      <c:pt idx="26">
                        <c:v>643.60119999999995</c:v>
                      </c:pt>
                      <c:pt idx="27">
                        <c:v>679.61446666666666</c:v>
                      </c:pt>
                    </c:numCache>
                  </c:numRef>
                </c:val>
                <c:smooth val="0"/>
                <c:extLst xmlns:c15="http://schemas.microsoft.com/office/drawing/2012/chart">
                  <c:ext xmlns:c16="http://schemas.microsoft.com/office/drawing/2014/chart" uri="{C3380CC4-5D6E-409C-BE32-E72D297353CC}">
                    <c16:uniqueId val="{0000000A-521A-4052-915B-F059FD434B62}"/>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'Emissions summary'!$E$123</c15:sqref>
                        </c15:formulaRef>
                      </c:ext>
                    </c:extLst>
                    <c:strCache>
                      <c:ptCount val="1"/>
                      <c:pt idx="0">
                        <c:v>Indirect N2O from MS (inventory)</c:v>
                      </c:pt>
                    </c:strCache>
                  </c:strRef>
                </c:tx>
                <c:spPr>
                  <a:ln w="28575" cap="rnd">
                    <a:solidFill>
                      <a:schemeClr val="accent1">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summary'!$F$110:$AG$110</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summary'!$F$123:$AG$123</c15:sqref>
                        </c15:formulaRef>
                      </c:ext>
                    </c:extLst>
                    <c:numCache>
                      <c:formatCode>General</c:formatCode>
                      <c:ptCount val="28"/>
                      <c:pt idx="0">
                        <c:v>2447.8863951470803</c:v>
                      </c:pt>
                      <c:pt idx="1">
                        <c:v>2496.9018451868697</c:v>
                      </c:pt>
                      <c:pt idx="2">
                        <c:v>2435.3630625952328</c:v>
                      </c:pt>
                      <c:pt idx="3">
                        <c:v>2396.995208451192</c:v>
                      </c:pt>
                      <c:pt idx="4">
                        <c:v>2325.2582722477832</c:v>
                      </c:pt>
                      <c:pt idx="5">
                        <c:v>2349.1668279124592</c:v>
                      </c:pt>
                      <c:pt idx="6">
                        <c:v>2406.4403578126485</c:v>
                      </c:pt>
                      <c:pt idx="7">
                        <c:v>2433.097951693017</c:v>
                      </c:pt>
                      <c:pt idx="8">
                        <c:v>2471.2628832175142</c:v>
                      </c:pt>
                      <c:pt idx="9">
                        <c:v>2472.2132034057472</c:v>
                      </c:pt>
                      <c:pt idx="10">
                        <c:v>2480.4922407158388</c:v>
                      </c:pt>
                      <c:pt idx="11">
                        <c:v>2454.0922943343203</c:v>
                      </c:pt>
                      <c:pt idx="12">
                        <c:v>2476.3439129367157</c:v>
                      </c:pt>
                      <c:pt idx="13">
                        <c:v>2359.3324950161041</c:v>
                      </c:pt>
                      <c:pt idx="14">
                        <c:v>2347.4845744803165</c:v>
                      </c:pt>
                      <c:pt idx="15">
                        <c:v>2284.6952992295182</c:v>
                      </c:pt>
                      <c:pt idx="16">
                        <c:v>2357.5665947783837</c:v>
                      </c:pt>
                      <c:pt idx="17">
                        <c:v>2297.5662221729922</c:v>
                      </c:pt>
                      <c:pt idx="18">
                        <c:v>2380.9463845396517</c:v>
                      </c:pt>
                      <c:pt idx="19">
                        <c:v>2329.35287655092</c:v>
                      </c:pt>
                      <c:pt idx="20">
                        <c:v>2369.3465541862302</c:v>
                      </c:pt>
                      <c:pt idx="21">
                        <c:v>2370.4305491547971</c:v>
                      </c:pt>
                      <c:pt idx="22">
                        <c:v>2269.153208313021</c:v>
                      </c:pt>
                      <c:pt idx="23">
                        <c:v>2431.7524623901409</c:v>
                      </c:pt>
                      <c:pt idx="24">
                        <c:v>2430.5768400701409</c:v>
                      </c:pt>
                      <c:pt idx="25">
                        <c:v>2407.0023766672321</c:v>
                      </c:pt>
                      <c:pt idx="26">
                        <c:v>2265.174978621726</c:v>
                      </c:pt>
                      <c:pt idx="27">
                        <c:v>2253.2585636522972</c:v>
                      </c:pt>
                    </c:numCache>
                  </c:numRef>
                </c:val>
                <c:smooth val="0"/>
                <c:extLst xmlns:c15="http://schemas.microsoft.com/office/drawing/2012/chart">
                  <c:ext xmlns:c16="http://schemas.microsoft.com/office/drawing/2014/chart" uri="{C3380CC4-5D6E-409C-BE32-E72D297353CC}">
                    <c16:uniqueId val="{0000000C-521A-4052-915B-F059FD434B62}"/>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'Emissions summary'!$E$124</c15:sqref>
                        </c15:formulaRef>
                      </c:ext>
                    </c:extLst>
                    <c:strCache>
                      <c:ptCount val="1"/>
                      <c:pt idx="0">
                        <c:v>Indirect N2O from MM (inventory)</c:v>
                      </c:pt>
                    </c:strCache>
                  </c:strRef>
                </c:tx>
                <c:spPr>
                  <a:ln w="28575" cap="rnd">
                    <a:solidFill>
                      <a:schemeClr val="accent2">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summary'!$F$110:$AG$110</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summary'!$F$124:$AG$124</c15:sqref>
                        </c15:formulaRef>
                      </c:ext>
                    </c:extLst>
                    <c:numCache>
                      <c:formatCode>General</c:formatCode>
                      <c:ptCount val="28"/>
                      <c:pt idx="0">
                        <c:v>332.77730613860399</c:v>
                      </c:pt>
                      <c:pt idx="1">
                        <c:v>353.03457691007083</c:v>
                      </c:pt>
                      <c:pt idx="2">
                        <c:v>329.75336223257443</c:v>
                      </c:pt>
                      <c:pt idx="3">
                        <c:v>341.70939722274608</c:v>
                      </c:pt>
                      <c:pt idx="4">
                        <c:v>326.52853902593881</c:v>
                      </c:pt>
                      <c:pt idx="5">
                        <c:v>344.58323593662567</c:v>
                      </c:pt>
                      <c:pt idx="6">
                        <c:v>360.27670046049241</c:v>
                      </c:pt>
                      <c:pt idx="7">
                        <c:v>357.64284080532752</c:v>
                      </c:pt>
                      <c:pt idx="8">
                        <c:v>367.73848791261435</c:v>
                      </c:pt>
                      <c:pt idx="9">
                        <c:v>372.0452384281258</c:v>
                      </c:pt>
                      <c:pt idx="10">
                        <c:v>408.94308689508148</c:v>
                      </c:pt>
                      <c:pt idx="11">
                        <c:v>406.68937516322404</c:v>
                      </c:pt>
                      <c:pt idx="12">
                        <c:v>397.06973777083419</c:v>
                      </c:pt>
                      <c:pt idx="13">
                        <c:v>376.09010924780205</c:v>
                      </c:pt>
                      <c:pt idx="14">
                        <c:v>374.09743931517124</c:v>
                      </c:pt>
                      <c:pt idx="15">
                        <c:v>392.69820864834276</c:v>
                      </c:pt>
                      <c:pt idx="16">
                        <c:v>398.35557315486267</c:v>
                      </c:pt>
                      <c:pt idx="17">
                        <c:v>404.14478384272525</c:v>
                      </c:pt>
                      <c:pt idx="18">
                        <c:v>438.4751035531649</c:v>
                      </c:pt>
                      <c:pt idx="19">
                        <c:v>433.26067452840772</c:v>
                      </c:pt>
                      <c:pt idx="20">
                        <c:v>438.54251424027257</c:v>
                      </c:pt>
                      <c:pt idx="21">
                        <c:v>444.74604882624305</c:v>
                      </c:pt>
                      <c:pt idx="22">
                        <c:v>440.60780254144959</c:v>
                      </c:pt>
                      <c:pt idx="23">
                        <c:v>456.58226294187887</c:v>
                      </c:pt>
                      <c:pt idx="24">
                        <c:v>454.87268271519412</c:v>
                      </c:pt>
                      <c:pt idx="25">
                        <c:v>463.54275866618883</c:v>
                      </c:pt>
                      <c:pt idx="26">
                        <c:v>458.22071963845576</c:v>
                      </c:pt>
                      <c:pt idx="27">
                        <c:v>469.34598780544559</c:v>
                      </c:pt>
                    </c:numCache>
                  </c:numRef>
                </c:val>
                <c:smooth val="0"/>
                <c:extLst xmlns:c15="http://schemas.microsoft.com/office/drawing/2012/chart">
                  <c:ext xmlns:c16="http://schemas.microsoft.com/office/drawing/2014/chart" uri="{C3380CC4-5D6E-409C-BE32-E72D297353CC}">
                    <c16:uniqueId val="{0000000D-521A-4052-915B-F059FD434B62}"/>
                  </c:ext>
                </c:extLst>
              </c15:ser>
            </c15:filteredLineSeries>
          </c:ext>
        </c:extLst>
      </c:lineChart>
      <c:catAx>
        <c:axId val="136346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463696"/>
        <c:crosses val="autoZero"/>
        <c:auto val="1"/>
        <c:lblAlgn val="ctr"/>
        <c:lblOffset val="100"/>
        <c:noMultiLvlLbl val="0"/>
      </c:catAx>
      <c:valAx>
        <c:axId val="136346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460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Relationships!$A$80:$C$80</c:f>
              <c:strCache>
                <c:ptCount val="3"/>
                <c:pt idx="0">
                  <c:v>Lamb production</c:v>
                </c:pt>
                <c:pt idx="1">
                  <c:v>t</c:v>
                </c:pt>
                <c:pt idx="2">
                  <c:v>Lamb and goat meat minus goat meat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4171741032370955"/>
                  <c:y val="0.3148148148148148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Relationships!$Y$79:$AF$79</c:f>
              <c:numCache>
                <c:formatCode>0</c:formatCode>
                <c:ptCount val="8"/>
                <c:pt idx="0">
                  <c:v>163560</c:v>
                </c:pt>
                <c:pt idx="1">
                  <c:v>145700</c:v>
                </c:pt>
                <c:pt idx="2">
                  <c:v>147580</c:v>
                </c:pt>
                <c:pt idx="3">
                  <c:v>160740</c:v>
                </c:pt>
                <c:pt idx="4">
                  <c:v>176720</c:v>
                </c:pt>
                <c:pt idx="5">
                  <c:v>181420</c:v>
                </c:pt>
                <c:pt idx="6">
                  <c:v>179540</c:v>
                </c:pt>
                <c:pt idx="7">
                  <c:v>174840</c:v>
                </c:pt>
              </c:numCache>
            </c:numRef>
          </c:xVal>
          <c:yVal>
            <c:numRef>
              <c:f>Relationships!$Y$80:$AF$80</c:f>
              <c:numCache>
                <c:formatCode>0</c:formatCode>
                <c:ptCount val="8"/>
                <c:pt idx="0">
                  <c:v>153460</c:v>
                </c:pt>
                <c:pt idx="1">
                  <c:v>139500</c:v>
                </c:pt>
                <c:pt idx="2">
                  <c:v>139480</c:v>
                </c:pt>
                <c:pt idx="3">
                  <c:v>156040</c:v>
                </c:pt>
                <c:pt idx="4">
                  <c:v>171520</c:v>
                </c:pt>
                <c:pt idx="5">
                  <c:v>173020</c:v>
                </c:pt>
                <c:pt idx="6">
                  <c:v>166240</c:v>
                </c:pt>
              </c:numCache>
            </c:numRef>
          </c:yVal>
          <c:smooth val="0"/>
          <c:extLst>
            <c:ext xmlns:c16="http://schemas.microsoft.com/office/drawing/2014/chart" uri="{C3380CC4-5D6E-409C-BE32-E72D297353CC}">
              <c16:uniqueId val="{00000000-B8F2-40E3-A7C8-FADB988253F5}"/>
            </c:ext>
          </c:extLst>
        </c:ser>
        <c:dLbls>
          <c:showLegendKey val="0"/>
          <c:showVal val="0"/>
          <c:showCatName val="0"/>
          <c:showSerName val="0"/>
          <c:showPercent val="0"/>
          <c:showBubbleSize val="0"/>
        </c:dLbls>
        <c:axId val="358567023"/>
        <c:axId val="358578255"/>
      </c:scatterChart>
      <c:valAx>
        <c:axId val="35856702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Lamb consumption (t)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578255"/>
        <c:crosses val="autoZero"/>
        <c:crossBetween val="midCat"/>
      </c:valAx>
      <c:valAx>
        <c:axId val="358578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Lamb production (t)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56702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Relationships!$A$81:$B$81</c:f>
              <c:strCache>
                <c:ptCount val="2"/>
                <c:pt idx="0">
                  <c:v>Commercial sheep population</c:v>
                </c:pt>
                <c:pt idx="1">
                  <c:v>Head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1564041994750652"/>
                  <c:y val="-3.93832020997375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Relationships!$J$80:$AD$80</c:f>
              <c:numCache>
                <c:formatCode>0</c:formatCode>
                <c:ptCount val="21"/>
                <c:pt idx="0">
                  <c:v>87720</c:v>
                </c:pt>
                <c:pt idx="1">
                  <c:v>97720</c:v>
                </c:pt>
                <c:pt idx="2">
                  <c:v>94080</c:v>
                </c:pt>
                <c:pt idx="3">
                  <c:v>88200</c:v>
                </c:pt>
                <c:pt idx="4">
                  <c:v>95660</c:v>
                </c:pt>
                <c:pt idx="5">
                  <c:v>98520</c:v>
                </c:pt>
                <c:pt idx="6">
                  <c:v>95860</c:v>
                </c:pt>
                <c:pt idx="7">
                  <c:v>96340</c:v>
                </c:pt>
                <c:pt idx="8">
                  <c:v>105640</c:v>
                </c:pt>
                <c:pt idx="9">
                  <c:v>111120</c:v>
                </c:pt>
                <c:pt idx="10">
                  <c:v>124520</c:v>
                </c:pt>
                <c:pt idx="11">
                  <c:v>124740</c:v>
                </c:pt>
                <c:pt idx="12">
                  <c:v>148520</c:v>
                </c:pt>
                <c:pt idx="13">
                  <c:v>149260</c:v>
                </c:pt>
                <c:pt idx="14">
                  <c:v>151300</c:v>
                </c:pt>
                <c:pt idx="15">
                  <c:v>153460</c:v>
                </c:pt>
                <c:pt idx="16">
                  <c:v>139500</c:v>
                </c:pt>
                <c:pt idx="17">
                  <c:v>139480</c:v>
                </c:pt>
                <c:pt idx="18">
                  <c:v>156040</c:v>
                </c:pt>
                <c:pt idx="19">
                  <c:v>171520</c:v>
                </c:pt>
                <c:pt idx="20">
                  <c:v>173020</c:v>
                </c:pt>
              </c:numCache>
            </c:numRef>
          </c:xVal>
          <c:yVal>
            <c:numRef>
              <c:f>Relationships!$J$81:$AD$81</c:f>
              <c:numCache>
                <c:formatCode>General</c:formatCode>
                <c:ptCount val="21"/>
                <c:pt idx="0">
                  <c:v>25481000</c:v>
                </c:pt>
                <c:pt idx="1">
                  <c:v>25566000</c:v>
                </c:pt>
                <c:pt idx="2">
                  <c:v>25010000</c:v>
                </c:pt>
                <c:pt idx="3">
                  <c:v>25079000</c:v>
                </c:pt>
                <c:pt idx="4">
                  <c:v>24463000</c:v>
                </c:pt>
                <c:pt idx="5">
                  <c:v>23586000</c:v>
                </c:pt>
                <c:pt idx="6">
                  <c:v>22998000</c:v>
                </c:pt>
                <c:pt idx="7">
                  <c:v>22614000</c:v>
                </c:pt>
                <c:pt idx="8">
                  <c:v>22693000</c:v>
                </c:pt>
                <c:pt idx="9">
                  <c:v>22289000</c:v>
                </c:pt>
                <c:pt idx="10">
                  <c:v>22236000</c:v>
                </c:pt>
                <c:pt idx="11">
                  <c:v>21945000</c:v>
                </c:pt>
                <c:pt idx="12">
                  <c:v>21924000</c:v>
                </c:pt>
                <c:pt idx="13">
                  <c:v>21995000</c:v>
                </c:pt>
                <c:pt idx="14">
                  <c:v>21917000</c:v>
                </c:pt>
                <c:pt idx="15">
                  <c:v>21493000</c:v>
                </c:pt>
                <c:pt idx="16">
                  <c:v>21325000</c:v>
                </c:pt>
                <c:pt idx="17">
                  <c:v>21427000</c:v>
                </c:pt>
                <c:pt idx="18">
                  <c:v>21589000</c:v>
                </c:pt>
                <c:pt idx="19">
                  <c:v>21202000</c:v>
                </c:pt>
                <c:pt idx="20">
                  <c:v>21033000</c:v>
                </c:pt>
              </c:numCache>
            </c:numRef>
          </c:yVal>
          <c:smooth val="0"/>
          <c:extLst>
            <c:ext xmlns:c16="http://schemas.microsoft.com/office/drawing/2014/chart" uri="{C3380CC4-5D6E-409C-BE32-E72D297353CC}">
              <c16:uniqueId val="{00000000-B2F0-4BBF-B7B0-F8D12B30E302}"/>
            </c:ext>
          </c:extLst>
        </c:ser>
        <c:dLbls>
          <c:showLegendKey val="0"/>
          <c:showVal val="0"/>
          <c:showCatName val="0"/>
          <c:showSerName val="0"/>
          <c:showPercent val="0"/>
          <c:showBubbleSize val="0"/>
        </c:dLbls>
        <c:axId val="358638159"/>
        <c:axId val="358643567"/>
      </c:scatterChart>
      <c:valAx>
        <c:axId val="3586381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Lamb production (t)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643567"/>
        <c:crosses val="autoZero"/>
        <c:crossBetween val="midCat"/>
      </c:valAx>
      <c:valAx>
        <c:axId val="358643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Commercial sheep population (head)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63815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Relationships!$A$176:$B$176</c:f>
              <c:strCache>
                <c:ptCount val="2"/>
                <c:pt idx="0">
                  <c:v>Pork consumption</c:v>
                </c:pt>
                <c:pt idx="1">
                  <c:v>t/capita</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9170255764813024"/>
                  <c:y val="-3.802165354330708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Relationships!$E$175:$AG$175</c:f>
              <c:numCache>
                <c:formatCode>General</c:formatCode>
                <c:ptCount val="29"/>
                <c:pt idx="0">
                  <c:v>7.3995172186341224E-6</c:v>
                </c:pt>
                <c:pt idx="1">
                  <c:v>8.3160321270873128E-6</c:v>
                </c:pt>
                <c:pt idx="2">
                  <c:v>9.1809688444329608E-6</c:v>
                </c:pt>
                <c:pt idx="3">
                  <c:v>1.0183063676790614E-5</c:v>
                </c:pt>
                <c:pt idx="4">
                  <c:v>1.1198558803003417E-5</c:v>
                </c:pt>
                <c:pt idx="5">
                  <c:v>1.2456004786976505E-5</c:v>
                </c:pt>
                <c:pt idx="6">
                  <c:v>1.5023575074943164E-5</c:v>
                </c:pt>
                <c:pt idx="7">
                  <c:v>1.4993976964585091E-5</c:v>
                </c:pt>
                <c:pt idx="8">
                  <c:v>1.5889974557177216E-5</c:v>
                </c:pt>
                <c:pt idx="9">
                  <c:v>1.7139534783540361E-5</c:v>
                </c:pt>
                <c:pt idx="10">
                  <c:v>1.9178073296508686E-5</c:v>
                </c:pt>
                <c:pt idx="11">
                  <c:v>2.0941920561623974E-5</c:v>
                </c:pt>
                <c:pt idx="12">
                  <c:v>2.4092156096673536E-5</c:v>
                </c:pt>
                <c:pt idx="13">
                  <c:v>2.5864721644610491E-5</c:v>
                </c:pt>
                <c:pt idx="14">
                  <c:v>2.816463639110616E-5</c:v>
                </c:pt>
                <c:pt idx="15">
                  <c:v>3.0685475313895917E-5</c:v>
                </c:pt>
                <c:pt idx="16">
                  <c:v>3.3867608215633009E-5</c:v>
                </c:pt>
                <c:pt idx="17">
                  <c:v>3.8369935813406575E-5</c:v>
                </c:pt>
                <c:pt idx="18">
                  <c:v>4.2933160137438985E-5</c:v>
                </c:pt>
                <c:pt idx="19">
                  <c:v>4.5112536477249022E-5</c:v>
                </c:pt>
                <c:pt idx="20">
                  <c:v>4.8711594853611398E-5</c:v>
                </c:pt>
                <c:pt idx="21">
                  <c:v>5.2388104554380752E-5</c:v>
                </c:pt>
                <c:pt idx="22">
                  <c:v>7.2008674666107316E-5</c:v>
                </c:pt>
                <c:pt idx="23">
                  <c:v>7.3128862350936422E-5</c:v>
                </c:pt>
                <c:pt idx="24">
                  <c:v>7.3832053087208803E-5</c:v>
                </c:pt>
                <c:pt idx="25">
                  <c:v>7.4099569652362116E-5</c:v>
                </c:pt>
                <c:pt idx="26">
                  <c:v>7.3966728660027013E-5</c:v>
                </c:pt>
                <c:pt idx="27">
                  <c:v>7.4125058503467776E-5</c:v>
                </c:pt>
                <c:pt idx="28">
                  <c:v>7.4164408302538267E-5</c:v>
                </c:pt>
              </c:numCache>
            </c:numRef>
          </c:xVal>
          <c:yVal>
            <c:numRef>
              <c:f>Relationships!$E$176:$AG$176</c:f>
              <c:numCache>
                <c:formatCode>General</c:formatCode>
                <c:ptCount val="29"/>
                <c:pt idx="0">
                  <c:v>3.3966921490134823E-3</c:v>
                </c:pt>
                <c:pt idx="1">
                  <c:v>3.446543448319744E-3</c:v>
                </c:pt>
                <c:pt idx="2">
                  <c:v>2.8961067972479849E-3</c:v>
                </c:pt>
                <c:pt idx="3">
                  <c:v>3.2548017787870187E-3</c:v>
                </c:pt>
                <c:pt idx="4">
                  <c:v>3.0075885650398052E-3</c:v>
                </c:pt>
                <c:pt idx="5">
                  <c:v>2.9925843277683012E-3</c:v>
                </c:pt>
                <c:pt idx="6">
                  <c:v>3.1012515301776277E-3</c:v>
                </c:pt>
                <c:pt idx="7">
                  <c:v>3.0939254588681106E-3</c:v>
                </c:pt>
                <c:pt idx="8">
                  <c:v>2.9760364962801832E-3</c:v>
                </c:pt>
                <c:pt idx="9">
                  <c:v>2.8417713229773925E-3</c:v>
                </c:pt>
                <c:pt idx="10">
                  <c:v>2.9132016245969217E-3</c:v>
                </c:pt>
                <c:pt idx="11">
                  <c:v>2.5235195311853692E-3</c:v>
                </c:pt>
                <c:pt idx="12">
                  <c:v>2.665169375955791E-3</c:v>
                </c:pt>
                <c:pt idx="13">
                  <c:v>3.125053778750816E-3</c:v>
                </c:pt>
                <c:pt idx="14">
                  <c:v>3.6792995628611501E-3</c:v>
                </c:pt>
                <c:pt idx="15">
                  <c:v>3.801121878148522E-3</c:v>
                </c:pt>
                <c:pt idx="16">
                  <c:v>3.9802465108963164E-3</c:v>
                </c:pt>
                <c:pt idx="17">
                  <c:v>4.1938316513320025E-3</c:v>
                </c:pt>
                <c:pt idx="18">
                  <c:v>3.9775432728081823E-3</c:v>
                </c:pt>
                <c:pt idx="19">
                  <c:v>3.9423887440561802E-3</c:v>
                </c:pt>
                <c:pt idx="20">
                  <c:v>4.1978278915556179E-3</c:v>
                </c:pt>
                <c:pt idx="21">
                  <c:v>4.4419513111371139E-3</c:v>
                </c:pt>
                <c:pt idx="22">
                  <c:v>4.4689670655681558E-3</c:v>
                </c:pt>
                <c:pt idx="23">
                  <c:v>4.578240558984998E-3</c:v>
                </c:pt>
                <c:pt idx="24">
                  <c:v>4.3703703703703699E-3</c:v>
                </c:pt>
                <c:pt idx="25">
                  <c:v>4.6613710310765529E-3</c:v>
                </c:pt>
                <c:pt idx="26">
                  <c:v>4.7796550785211131E-3</c:v>
                </c:pt>
                <c:pt idx="27">
                  <c:v>4.5716856044495128E-3</c:v>
                </c:pt>
                <c:pt idx="28">
                  <c:v>5.0272880858582393E-3</c:v>
                </c:pt>
              </c:numCache>
            </c:numRef>
          </c:yVal>
          <c:smooth val="0"/>
          <c:extLst>
            <c:ext xmlns:c16="http://schemas.microsoft.com/office/drawing/2014/chart" uri="{C3380CC4-5D6E-409C-BE32-E72D297353CC}">
              <c16:uniqueId val="{00000000-33AD-428D-A247-8D86B22AC60E}"/>
            </c:ext>
          </c:extLst>
        </c:ser>
        <c:dLbls>
          <c:showLegendKey val="0"/>
          <c:showVal val="0"/>
          <c:showCatName val="0"/>
          <c:showSerName val="0"/>
          <c:showPercent val="0"/>
          <c:showBubbleSize val="0"/>
        </c:dLbls>
        <c:axId val="346756079"/>
        <c:axId val="346756495"/>
      </c:scatterChart>
      <c:valAx>
        <c:axId val="3467560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Wealth (GVA/capita)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756495"/>
        <c:crosses val="autoZero"/>
        <c:crossBetween val="midCat"/>
      </c:valAx>
      <c:valAx>
        <c:axId val="346756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Pork consumption (t/capita)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75607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21" Type="http://schemas.openxmlformats.org/officeDocument/2006/relationships/chart" Target="../charts/chart21.xml"/><Relationship Id="rId34" Type="http://schemas.openxmlformats.org/officeDocument/2006/relationships/chart" Target="../charts/chart34.xml"/><Relationship Id="rId42" Type="http://schemas.openxmlformats.org/officeDocument/2006/relationships/chart" Target="../charts/chart42.xml"/><Relationship Id="rId47" Type="http://schemas.openxmlformats.org/officeDocument/2006/relationships/chart" Target="../charts/chart47.xml"/><Relationship Id="rId50" Type="http://schemas.openxmlformats.org/officeDocument/2006/relationships/chart" Target="../charts/chart50.xml"/><Relationship Id="rId7" Type="http://schemas.openxmlformats.org/officeDocument/2006/relationships/chart" Target="../charts/chart7.xml"/><Relationship Id="rId2" Type="http://schemas.openxmlformats.org/officeDocument/2006/relationships/chart" Target="../charts/chart2.xml"/><Relationship Id="rId16" Type="http://schemas.openxmlformats.org/officeDocument/2006/relationships/chart" Target="../charts/chart16.xml"/><Relationship Id="rId29" Type="http://schemas.openxmlformats.org/officeDocument/2006/relationships/chart" Target="../charts/chart29.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45" Type="http://schemas.openxmlformats.org/officeDocument/2006/relationships/chart" Target="../charts/chart45.xml"/><Relationship Id="rId53" Type="http://schemas.openxmlformats.org/officeDocument/2006/relationships/chart" Target="../charts/chart53.xml"/><Relationship Id="rId5" Type="http://schemas.openxmlformats.org/officeDocument/2006/relationships/chart" Target="../charts/chart5.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4" Type="http://schemas.openxmlformats.org/officeDocument/2006/relationships/chart" Target="../charts/chart44.xml"/><Relationship Id="rId52" Type="http://schemas.openxmlformats.org/officeDocument/2006/relationships/chart" Target="../charts/chart52.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43" Type="http://schemas.openxmlformats.org/officeDocument/2006/relationships/chart" Target="../charts/chart43.xml"/><Relationship Id="rId48" Type="http://schemas.openxmlformats.org/officeDocument/2006/relationships/chart" Target="../charts/chart48.xml"/><Relationship Id="rId8" Type="http://schemas.openxmlformats.org/officeDocument/2006/relationships/chart" Target="../charts/chart8.xml"/><Relationship Id="rId51" Type="http://schemas.openxmlformats.org/officeDocument/2006/relationships/chart" Target="../charts/chart51.xml"/><Relationship Id="rId3" Type="http://schemas.openxmlformats.org/officeDocument/2006/relationships/chart" Target="../charts/chart3.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46" Type="http://schemas.openxmlformats.org/officeDocument/2006/relationships/chart" Target="../charts/chart46.xml"/><Relationship Id="rId20" Type="http://schemas.openxmlformats.org/officeDocument/2006/relationships/chart" Target="../charts/chart20.xml"/><Relationship Id="rId41" Type="http://schemas.openxmlformats.org/officeDocument/2006/relationships/chart" Target="../charts/chart41.xml"/><Relationship Id="rId1" Type="http://schemas.openxmlformats.org/officeDocument/2006/relationships/chart" Target="../charts/chart1.xml"/><Relationship Id="rId6" Type="http://schemas.openxmlformats.org/officeDocument/2006/relationships/chart" Target="../charts/chart6.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49" Type="http://schemas.openxmlformats.org/officeDocument/2006/relationships/chart" Target="../charts/chart4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61.xml"/><Relationship Id="rId3" Type="http://schemas.openxmlformats.org/officeDocument/2006/relationships/chart" Target="../charts/chart56.xml"/><Relationship Id="rId7" Type="http://schemas.openxmlformats.org/officeDocument/2006/relationships/chart" Target="../charts/chart60.xml"/><Relationship Id="rId2" Type="http://schemas.openxmlformats.org/officeDocument/2006/relationships/chart" Target="../charts/chart55.xml"/><Relationship Id="rId1" Type="http://schemas.openxmlformats.org/officeDocument/2006/relationships/chart" Target="../charts/chart54.xml"/><Relationship Id="rId6" Type="http://schemas.openxmlformats.org/officeDocument/2006/relationships/chart" Target="../charts/chart59.xml"/><Relationship Id="rId5" Type="http://schemas.openxmlformats.org/officeDocument/2006/relationships/chart" Target="../charts/chart58.xml"/><Relationship Id="rId10" Type="http://schemas.openxmlformats.org/officeDocument/2006/relationships/chart" Target="../charts/chart63.xml"/><Relationship Id="rId4" Type="http://schemas.openxmlformats.org/officeDocument/2006/relationships/chart" Target="../charts/chart57.xml"/><Relationship Id="rId9" Type="http://schemas.openxmlformats.org/officeDocument/2006/relationships/chart" Target="../charts/chart6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7.xml"/><Relationship Id="rId2" Type="http://schemas.openxmlformats.org/officeDocument/2006/relationships/chart" Target="../charts/chart66.xml"/><Relationship Id="rId1" Type="http://schemas.openxmlformats.org/officeDocument/2006/relationships/chart" Target="../charts/chart65.xml"/></Relationships>
</file>

<file path=xl/drawings/drawing1.xml><?xml version="1.0" encoding="utf-8"?>
<xdr:wsDr xmlns:xdr="http://schemas.openxmlformats.org/drawingml/2006/spreadsheetDrawing" xmlns:a="http://schemas.openxmlformats.org/drawingml/2006/main">
  <xdr:twoCellAnchor>
    <xdr:from>
      <xdr:col>0</xdr:col>
      <xdr:colOff>152400</xdr:colOff>
      <xdr:row>27</xdr:row>
      <xdr:rowOff>119062</xdr:rowOff>
    </xdr:from>
    <xdr:to>
      <xdr:col>5</xdr:col>
      <xdr:colOff>28575</xdr:colOff>
      <xdr:row>42</xdr:row>
      <xdr:rowOff>4762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56</xdr:row>
      <xdr:rowOff>185737</xdr:rowOff>
    </xdr:from>
    <xdr:to>
      <xdr:col>4</xdr:col>
      <xdr:colOff>752475</xdr:colOff>
      <xdr:row>71</xdr:row>
      <xdr:rowOff>71437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614362</xdr:colOff>
      <xdr:row>27</xdr:row>
      <xdr:rowOff>71437</xdr:rowOff>
    </xdr:from>
    <xdr:to>
      <xdr:col>22</xdr:col>
      <xdr:colOff>100012</xdr:colOff>
      <xdr:row>41</xdr:row>
      <xdr:rowOff>147637</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76200</xdr:colOff>
      <xdr:row>56</xdr:row>
      <xdr:rowOff>185737</xdr:rowOff>
    </xdr:from>
    <xdr:to>
      <xdr:col>10</xdr:col>
      <xdr:colOff>409575</xdr:colOff>
      <xdr:row>71</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638175</xdr:colOff>
      <xdr:row>56</xdr:row>
      <xdr:rowOff>185737</xdr:rowOff>
    </xdr:from>
    <xdr:to>
      <xdr:col>16</xdr:col>
      <xdr:colOff>123825</xdr:colOff>
      <xdr:row>71</xdr:row>
      <xdr:rowOff>71437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57150</xdr:colOff>
      <xdr:row>91</xdr:row>
      <xdr:rowOff>147637</xdr:rowOff>
    </xdr:from>
    <xdr:to>
      <xdr:col>4</xdr:col>
      <xdr:colOff>781050</xdr:colOff>
      <xdr:row>106</xdr:row>
      <xdr:rowOff>33337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166687</xdr:colOff>
      <xdr:row>91</xdr:row>
      <xdr:rowOff>176212</xdr:rowOff>
    </xdr:from>
    <xdr:to>
      <xdr:col>10</xdr:col>
      <xdr:colOff>500062</xdr:colOff>
      <xdr:row>106</xdr:row>
      <xdr:rowOff>61912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719137</xdr:colOff>
      <xdr:row>91</xdr:row>
      <xdr:rowOff>176212</xdr:rowOff>
    </xdr:from>
    <xdr:to>
      <xdr:col>16</xdr:col>
      <xdr:colOff>204787</xdr:colOff>
      <xdr:row>106</xdr:row>
      <xdr:rowOff>61912</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171450</xdr:colOff>
      <xdr:row>179</xdr:row>
      <xdr:rowOff>23812</xdr:rowOff>
    </xdr:from>
    <xdr:to>
      <xdr:col>5</xdr:col>
      <xdr:colOff>47625</xdr:colOff>
      <xdr:row>193</xdr:row>
      <xdr:rowOff>100012</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442912</xdr:colOff>
      <xdr:row>179</xdr:row>
      <xdr:rowOff>14287</xdr:rowOff>
    </xdr:from>
    <xdr:to>
      <xdr:col>10</xdr:col>
      <xdr:colOff>776287</xdr:colOff>
      <xdr:row>193</xdr:row>
      <xdr:rowOff>90487</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280987</xdr:colOff>
      <xdr:row>178</xdr:row>
      <xdr:rowOff>176212</xdr:rowOff>
    </xdr:from>
    <xdr:to>
      <xdr:col>16</xdr:col>
      <xdr:colOff>614362</xdr:colOff>
      <xdr:row>193</xdr:row>
      <xdr:rowOff>61912</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161925</xdr:colOff>
      <xdr:row>206</xdr:row>
      <xdr:rowOff>23812</xdr:rowOff>
    </xdr:from>
    <xdr:to>
      <xdr:col>5</xdr:col>
      <xdr:colOff>38100</xdr:colOff>
      <xdr:row>220</xdr:row>
      <xdr:rowOff>100012</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300037</xdr:colOff>
      <xdr:row>206</xdr:row>
      <xdr:rowOff>52387</xdr:rowOff>
    </xdr:from>
    <xdr:to>
      <xdr:col>10</xdr:col>
      <xdr:colOff>633412</xdr:colOff>
      <xdr:row>220</xdr:row>
      <xdr:rowOff>128587</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90487</xdr:colOff>
      <xdr:row>206</xdr:row>
      <xdr:rowOff>23812</xdr:rowOff>
    </xdr:from>
    <xdr:to>
      <xdr:col>16</xdr:col>
      <xdr:colOff>423862</xdr:colOff>
      <xdr:row>220</xdr:row>
      <xdr:rowOff>100012</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147637</xdr:colOff>
      <xdr:row>234</xdr:row>
      <xdr:rowOff>23812</xdr:rowOff>
    </xdr:from>
    <xdr:to>
      <xdr:col>4</xdr:col>
      <xdr:colOff>557212</xdr:colOff>
      <xdr:row>248</xdr:row>
      <xdr:rowOff>100012</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4762</xdr:colOff>
      <xdr:row>234</xdr:row>
      <xdr:rowOff>4762</xdr:rowOff>
    </xdr:from>
    <xdr:to>
      <xdr:col>10</xdr:col>
      <xdr:colOff>338137</xdr:colOff>
      <xdr:row>248</xdr:row>
      <xdr:rowOff>80962</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xdr:col>
      <xdr:colOff>547687</xdr:colOff>
      <xdr:row>233</xdr:row>
      <xdr:rowOff>176212</xdr:rowOff>
    </xdr:from>
    <xdr:to>
      <xdr:col>16</xdr:col>
      <xdr:colOff>33337</xdr:colOff>
      <xdr:row>248</xdr:row>
      <xdr:rowOff>61912</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138112</xdr:colOff>
      <xdr:row>128</xdr:row>
      <xdr:rowOff>52387</xdr:rowOff>
    </xdr:from>
    <xdr:to>
      <xdr:col>4</xdr:col>
      <xdr:colOff>547687</xdr:colOff>
      <xdr:row>142</xdr:row>
      <xdr:rowOff>128587</xdr:rowOff>
    </xdr:to>
    <xdr:graphicFrame macro="">
      <xdr:nvGraphicFramePr>
        <xdr:cNvPr id="34" name="Chart 3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119062</xdr:colOff>
      <xdr:row>149</xdr:row>
      <xdr:rowOff>147637</xdr:rowOff>
    </xdr:from>
    <xdr:to>
      <xdr:col>4</xdr:col>
      <xdr:colOff>528637</xdr:colOff>
      <xdr:row>164</xdr:row>
      <xdr:rowOff>33337</xdr:rowOff>
    </xdr:to>
    <xdr:graphicFrame macro="">
      <xdr:nvGraphicFramePr>
        <xdr:cNvPr id="36" name="Chart 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xdr:col>
      <xdr:colOff>833437</xdr:colOff>
      <xdr:row>127</xdr:row>
      <xdr:rowOff>176212</xdr:rowOff>
    </xdr:from>
    <xdr:to>
      <xdr:col>10</xdr:col>
      <xdr:colOff>319087</xdr:colOff>
      <xdr:row>143</xdr:row>
      <xdr:rowOff>61912</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10</xdr:col>
      <xdr:colOff>595312</xdr:colOff>
      <xdr:row>128</xdr:row>
      <xdr:rowOff>52387</xdr:rowOff>
    </xdr:from>
    <xdr:to>
      <xdr:col>16</xdr:col>
      <xdr:colOff>80962</xdr:colOff>
      <xdr:row>143</xdr:row>
      <xdr:rowOff>128587</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361950</xdr:colOff>
      <xdr:row>274</xdr:row>
      <xdr:rowOff>176212</xdr:rowOff>
    </xdr:from>
    <xdr:to>
      <xdr:col>4</xdr:col>
      <xdr:colOff>771525</xdr:colOff>
      <xdr:row>289</xdr:row>
      <xdr:rowOff>61912</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261937</xdr:colOff>
      <xdr:row>274</xdr:row>
      <xdr:rowOff>109537</xdr:rowOff>
    </xdr:from>
    <xdr:to>
      <xdr:col>10</xdr:col>
      <xdr:colOff>595312</xdr:colOff>
      <xdr:row>288</xdr:row>
      <xdr:rowOff>185737</xdr:rowOff>
    </xdr:to>
    <xdr:graphicFrame macro="">
      <xdr:nvGraphicFramePr>
        <xdr:cNvPr id="29" name="Chart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16</xdr:col>
      <xdr:colOff>623887</xdr:colOff>
      <xdr:row>274</xdr:row>
      <xdr:rowOff>157162</xdr:rowOff>
    </xdr:from>
    <xdr:to>
      <xdr:col>22</xdr:col>
      <xdr:colOff>109537</xdr:colOff>
      <xdr:row>289</xdr:row>
      <xdr:rowOff>42862</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22</xdr:col>
      <xdr:colOff>433387</xdr:colOff>
      <xdr:row>274</xdr:row>
      <xdr:rowOff>176212</xdr:rowOff>
    </xdr:from>
    <xdr:to>
      <xdr:col>27</xdr:col>
      <xdr:colOff>766762</xdr:colOff>
      <xdr:row>289</xdr:row>
      <xdr:rowOff>61912</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42862</xdr:colOff>
      <xdr:row>362</xdr:row>
      <xdr:rowOff>52387</xdr:rowOff>
    </xdr:from>
    <xdr:to>
      <xdr:col>4</xdr:col>
      <xdr:colOff>452437</xdr:colOff>
      <xdr:row>376</xdr:row>
      <xdr:rowOff>128587</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295275</xdr:colOff>
      <xdr:row>306</xdr:row>
      <xdr:rowOff>185737</xdr:rowOff>
    </xdr:from>
    <xdr:to>
      <xdr:col>4</xdr:col>
      <xdr:colOff>704850</xdr:colOff>
      <xdr:row>321</xdr:row>
      <xdr:rowOff>71437</xdr:rowOff>
    </xdr:to>
    <xdr:graphicFrame macro="">
      <xdr:nvGraphicFramePr>
        <xdr:cNvPr id="35" name="Chart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5</xdr:col>
      <xdr:colOff>233362</xdr:colOff>
      <xdr:row>306</xdr:row>
      <xdr:rowOff>157162</xdr:rowOff>
    </xdr:from>
    <xdr:to>
      <xdr:col>10</xdr:col>
      <xdr:colOff>566737</xdr:colOff>
      <xdr:row>321</xdr:row>
      <xdr:rowOff>42862</xdr:rowOff>
    </xdr:to>
    <xdr:graphicFrame macro="">
      <xdr:nvGraphicFramePr>
        <xdr:cNvPr id="41" name="Chart 4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16</xdr:col>
      <xdr:colOff>661987</xdr:colOff>
      <xdr:row>306</xdr:row>
      <xdr:rowOff>138112</xdr:rowOff>
    </xdr:from>
    <xdr:to>
      <xdr:col>22</xdr:col>
      <xdr:colOff>147637</xdr:colOff>
      <xdr:row>321</xdr:row>
      <xdr:rowOff>23812</xdr:rowOff>
    </xdr:to>
    <xdr:graphicFrame macro="">
      <xdr:nvGraphicFramePr>
        <xdr:cNvPr id="42" name="Chart 4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11</xdr:col>
      <xdr:colOff>33337</xdr:colOff>
      <xdr:row>274</xdr:row>
      <xdr:rowOff>119062</xdr:rowOff>
    </xdr:from>
    <xdr:to>
      <xdr:col>16</xdr:col>
      <xdr:colOff>366712</xdr:colOff>
      <xdr:row>289</xdr:row>
      <xdr:rowOff>4762</xdr:rowOff>
    </xdr:to>
    <xdr:graphicFrame macro="">
      <xdr:nvGraphicFramePr>
        <xdr:cNvPr id="43" name="Chart 4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10</xdr:col>
      <xdr:colOff>776287</xdr:colOff>
      <xdr:row>306</xdr:row>
      <xdr:rowOff>166687</xdr:rowOff>
    </xdr:from>
    <xdr:to>
      <xdr:col>16</xdr:col>
      <xdr:colOff>261937</xdr:colOff>
      <xdr:row>321</xdr:row>
      <xdr:rowOff>52387</xdr:rowOff>
    </xdr:to>
    <xdr:graphicFrame macro="">
      <xdr:nvGraphicFramePr>
        <xdr:cNvPr id="44" name="Chart 4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0</xdr:col>
      <xdr:colOff>147637</xdr:colOff>
      <xdr:row>339</xdr:row>
      <xdr:rowOff>147637</xdr:rowOff>
    </xdr:from>
    <xdr:to>
      <xdr:col>4</xdr:col>
      <xdr:colOff>557212</xdr:colOff>
      <xdr:row>354</xdr:row>
      <xdr:rowOff>33337</xdr:rowOff>
    </xdr:to>
    <xdr:graphicFrame macro="">
      <xdr:nvGraphicFramePr>
        <xdr:cNvPr id="46" name="Chart 4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4</xdr:col>
      <xdr:colOff>833437</xdr:colOff>
      <xdr:row>339</xdr:row>
      <xdr:rowOff>138112</xdr:rowOff>
    </xdr:from>
    <xdr:to>
      <xdr:col>10</xdr:col>
      <xdr:colOff>319087</xdr:colOff>
      <xdr:row>354</xdr:row>
      <xdr:rowOff>23812</xdr:rowOff>
    </xdr:to>
    <xdr:graphicFrame macro="">
      <xdr:nvGraphicFramePr>
        <xdr:cNvPr id="47" name="Chart 4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10</xdr:col>
      <xdr:colOff>604837</xdr:colOff>
      <xdr:row>339</xdr:row>
      <xdr:rowOff>147637</xdr:rowOff>
    </xdr:from>
    <xdr:to>
      <xdr:col>16</xdr:col>
      <xdr:colOff>90487</xdr:colOff>
      <xdr:row>354</xdr:row>
      <xdr:rowOff>33337</xdr:rowOff>
    </xdr:to>
    <xdr:graphicFrame macro="">
      <xdr:nvGraphicFramePr>
        <xdr:cNvPr id="48" name="Chart 4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166687</xdr:colOff>
      <xdr:row>381</xdr:row>
      <xdr:rowOff>128587</xdr:rowOff>
    </xdr:from>
    <xdr:to>
      <xdr:col>4</xdr:col>
      <xdr:colOff>576262</xdr:colOff>
      <xdr:row>396</xdr:row>
      <xdr:rowOff>14287</xdr:rowOff>
    </xdr:to>
    <xdr:graphicFrame macro="">
      <xdr:nvGraphicFramePr>
        <xdr:cNvPr id="49" name="Chart 4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381000</xdr:colOff>
      <xdr:row>402</xdr:row>
      <xdr:rowOff>157162</xdr:rowOff>
    </xdr:from>
    <xdr:to>
      <xdr:col>4</xdr:col>
      <xdr:colOff>790575</xdr:colOff>
      <xdr:row>417</xdr:row>
      <xdr:rowOff>42862</xdr:rowOff>
    </xdr:to>
    <xdr:graphicFrame macro="">
      <xdr:nvGraphicFramePr>
        <xdr:cNvPr id="50" name="Chart 4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200025</xdr:colOff>
      <xdr:row>430</xdr:row>
      <xdr:rowOff>52387</xdr:rowOff>
    </xdr:from>
    <xdr:to>
      <xdr:col>4</xdr:col>
      <xdr:colOff>609600</xdr:colOff>
      <xdr:row>444</xdr:row>
      <xdr:rowOff>128587</xdr:rowOff>
    </xdr:to>
    <xdr:graphicFrame macro="">
      <xdr:nvGraphicFramePr>
        <xdr:cNvPr id="51" name="Chart 5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5</xdr:col>
      <xdr:colOff>71437</xdr:colOff>
      <xdr:row>430</xdr:row>
      <xdr:rowOff>42862</xdr:rowOff>
    </xdr:from>
    <xdr:to>
      <xdr:col>10</xdr:col>
      <xdr:colOff>404812</xdr:colOff>
      <xdr:row>444</xdr:row>
      <xdr:rowOff>119062</xdr:rowOff>
    </xdr:to>
    <xdr:graphicFrame macro="">
      <xdr:nvGraphicFramePr>
        <xdr:cNvPr id="52" name="Chart 5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10</xdr:col>
      <xdr:colOff>728662</xdr:colOff>
      <xdr:row>430</xdr:row>
      <xdr:rowOff>42862</xdr:rowOff>
    </xdr:from>
    <xdr:to>
      <xdr:col>16</xdr:col>
      <xdr:colOff>214312</xdr:colOff>
      <xdr:row>444</xdr:row>
      <xdr:rowOff>119062</xdr:rowOff>
    </xdr:to>
    <xdr:graphicFrame macro="">
      <xdr:nvGraphicFramePr>
        <xdr:cNvPr id="53" name="Chart 5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16</xdr:col>
      <xdr:colOff>409575</xdr:colOff>
      <xdr:row>430</xdr:row>
      <xdr:rowOff>33337</xdr:rowOff>
    </xdr:from>
    <xdr:to>
      <xdr:col>21</xdr:col>
      <xdr:colOff>742950</xdr:colOff>
      <xdr:row>444</xdr:row>
      <xdr:rowOff>109537</xdr:rowOff>
    </xdr:to>
    <xdr:graphicFrame macro="">
      <xdr:nvGraphicFramePr>
        <xdr:cNvPr id="54" name="Chart 5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5</xdr:col>
      <xdr:colOff>266700</xdr:colOff>
      <xdr:row>27</xdr:row>
      <xdr:rowOff>109537</xdr:rowOff>
    </xdr:from>
    <xdr:to>
      <xdr:col>10</xdr:col>
      <xdr:colOff>600075</xdr:colOff>
      <xdr:row>41</xdr:row>
      <xdr:rowOff>185737</xdr:rowOff>
    </xdr:to>
    <xdr:graphicFrame macro="">
      <xdr:nvGraphicFramePr>
        <xdr:cNvPr id="55" name="Chart 5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11</xdr:col>
      <xdr:colOff>4762</xdr:colOff>
      <xdr:row>27</xdr:row>
      <xdr:rowOff>90487</xdr:rowOff>
    </xdr:from>
    <xdr:to>
      <xdr:col>16</xdr:col>
      <xdr:colOff>338137</xdr:colOff>
      <xdr:row>41</xdr:row>
      <xdr:rowOff>166687</xdr:rowOff>
    </xdr:to>
    <xdr:graphicFrame macro="">
      <xdr:nvGraphicFramePr>
        <xdr:cNvPr id="56" name="Chart 5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16</xdr:col>
      <xdr:colOff>471487</xdr:colOff>
      <xdr:row>57</xdr:row>
      <xdr:rowOff>14287</xdr:rowOff>
    </xdr:from>
    <xdr:to>
      <xdr:col>21</xdr:col>
      <xdr:colOff>804862</xdr:colOff>
      <xdr:row>71</xdr:row>
      <xdr:rowOff>90487</xdr:rowOff>
    </xdr:to>
    <xdr:graphicFrame macro="">
      <xdr:nvGraphicFramePr>
        <xdr:cNvPr id="57" name="Chart 5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16</xdr:col>
      <xdr:colOff>614362</xdr:colOff>
      <xdr:row>91</xdr:row>
      <xdr:rowOff>176212</xdr:rowOff>
    </xdr:from>
    <xdr:to>
      <xdr:col>22</xdr:col>
      <xdr:colOff>100012</xdr:colOff>
      <xdr:row>106</xdr:row>
      <xdr:rowOff>61912</xdr:rowOff>
    </xdr:to>
    <xdr:graphicFrame macro="">
      <xdr:nvGraphicFramePr>
        <xdr:cNvPr id="60" name="Chart 5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22</xdr:col>
      <xdr:colOff>452437</xdr:colOff>
      <xdr:row>128</xdr:row>
      <xdr:rowOff>128587</xdr:rowOff>
    </xdr:from>
    <xdr:to>
      <xdr:col>27</xdr:col>
      <xdr:colOff>785812</xdr:colOff>
      <xdr:row>143</xdr:row>
      <xdr:rowOff>14287</xdr:rowOff>
    </xdr:to>
    <xdr:graphicFrame macro="">
      <xdr:nvGraphicFramePr>
        <xdr:cNvPr id="61" name="Chart 6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22</xdr:col>
      <xdr:colOff>461962</xdr:colOff>
      <xdr:row>27</xdr:row>
      <xdr:rowOff>4762</xdr:rowOff>
    </xdr:from>
    <xdr:to>
      <xdr:col>27</xdr:col>
      <xdr:colOff>795337</xdr:colOff>
      <xdr:row>41</xdr:row>
      <xdr:rowOff>80962</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28</xdr:col>
      <xdr:colOff>433387</xdr:colOff>
      <xdr:row>272</xdr:row>
      <xdr:rowOff>52387</xdr:rowOff>
    </xdr:from>
    <xdr:to>
      <xdr:col>33</xdr:col>
      <xdr:colOff>690562</xdr:colOff>
      <xdr:row>286</xdr:row>
      <xdr:rowOff>128587</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28</xdr:col>
      <xdr:colOff>209550</xdr:colOff>
      <xdr:row>26</xdr:row>
      <xdr:rowOff>176212</xdr:rowOff>
    </xdr:from>
    <xdr:to>
      <xdr:col>33</xdr:col>
      <xdr:colOff>466725</xdr:colOff>
      <xdr:row>41</xdr:row>
      <xdr:rowOff>61912</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34</xdr:col>
      <xdr:colOff>23812</xdr:colOff>
      <xdr:row>26</xdr:row>
      <xdr:rowOff>176212</xdr:rowOff>
    </xdr:from>
    <xdr:to>
      <xdr:col>41</xdr:col>
      <xdr:colOff>90487</xdr:colOff>
      <xdr:row>41</xdr:row>
      <xdr:rowOff>61912</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16</xdr:col>
      <xdr:colOff>681037</xdr:colOff>
      <xdr:row>128</xdr:row>
      <xdr:rowOff>90487</xdr:rowOff>
    </xdr:from>
    <xdr:to>
      <xdr:col>22</xdr:col>
      <xdr:colOff>166687</xdr:colOff>
      <xdr:row>142</xdr:row>
      <xdr:rowOff>166687</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21</xdr:col>
      <xdr:colOff>457200</xdr:colOff>
      <xdr:row>234</xdr:row>
      <xdr:rowOff>90487</xdr:rowOff>
    </xdr:from>
    <xdr:to>
      <xdr:col>26</xdr:col>
      <xdr:colOff>790575</xdr:colOff>
      <xdr:row>248</xdr:row>
      <xdr:rowOff>166687</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34</xdr:col>
      <xdr:colOff>552450</xdr:colOff>
      <xdr:row>271</xdr:row>
      <xdr:rowOff>100012</xdr:rowOff>
    </xdr:from>
    <xdr:to>
      <xdr:col>42</xdr:col>
      <xdr:colOff>9525</xdr:colOff>
      <xdr:row>285</xdr:row>
      <xdr:rowOff>176212</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32</xdr:col>
      <xdr:colOff>742950</xdr:colOff>
      <xdr:row>262</xdr:row>
      <xdr:rowOff>23812</xdr:rowOff>
    </xdr:from>
    <xdr:to>
      <xdr:col>39</xdr:col>
      <xdr:colOff>333375</xdr:colOff>
      <xdr:row>276</xdr:row>
      <xdr:rowOff>90487</xdr:rowOff>
    </xdr:to>
    <xdr:graphicFrame macro="">
      <xdr:nvGraphicFramePr>
        <xdr:cNvPr id="37" name="Chart 3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1752600</xdr:colOff>
      <xdr:row>27</xdr:row>
      <xdr:rowOff>0</xdr:rowOff>
    </xdr:from>
    <xdr:to>
      <xdr:col>4</xdr:col>
      <xdr:colOff>247650</xdr:colOff>
      <xdr:row>27</xdr:row>
      <xdr:rowOff>0</xdr:rowOff>
    </xdr:to>
    <xdr:graphicFrame macro="">
      <xdr:nvGraphicFramePr>
        <xdr:cNvPr id="2"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66675</xdr:colOff>
      <xdr:row>27</xdr:row>
      <xdr:rowOff>0</xdr:rowOff>
    </xdr:from>
    <xdr:to>
      <xdr:col>4</xdr:col>
      <xdr:colOff>561975</xdr:colOff>
      <xdr:row>27</xdr:row>
      <xdr:rowOff>0</xdr:rowOff>
    </xdr:to>
    <xdr:graphicFrame macro="">
      <xdr:nvGraphicFramePr>
        <xdr:cNvPr id="3"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1171575</xdr:colOff>
      <xdr:row>27</xdr:row>
      <xdr:rowOff>0</xdr:rowOff>
    </xdr:from>
    <xdr:to>
      <xdr:col>2</xdr:col>
      <xdr:colOff>0</xdr:colOff>
      <xdr:row>27</xdr:row>
      <xdr:rowOff>0</xdr:rowOff>
    </xdr:to>
    <xdr:graphicFrame macro="">
      <xdr:nvGraphicFramePr>
        <xdr:cNvPr id="4"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27</xdr:row>
      <xdr:rowOff>0</xdr:rowOff>
    </xdr:from>
    <xdr:to>
      <xdr:col>2</xdr:col>
      <xdr:colOff>0</xdr:colOff>
      <xdr:row>27</xdr:row>
      <xdr:rowOff>0</xdr:rowOff>
    </xdr:to>
    <xdr:graphicFrame macro="">
      <xdr:nvGraphicFramePr>
        <xdr:cNvPr id="5"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519112</xdr:colOff>
      <xdr:row>13</xdr:row>
      <xdr:rowOff>23812</xdr:rowOff>
    </xdr:from>
    <xdr:to>
      <xdr:col>45</xdr:col>
      <xdr:colOff>214312</xdr:colOff>
      <xdr:row>36</xdr:row>
      <xdr:rowOff>100012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45</xdr:col>
      <xdr:colOff>328612</xdr:colOff>
      <xdr:row>13</xdr:row>
      <xdr:rowOff>61912</xdr:rowOff>
    </xdr:from>
    <xdr:to>
      <xdr:col>53</xdr:col>
      <xdr:colOff>23812</xdr:colOff>
      <xdr:row>36</xdr:row>
      <xdr:rowOff>138112</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433387</xdr:colOff>
      <xdr:row>21</xdr:row>
      <xdr:rowOff>42862</xdr:rowOff>
    </xdr:from>
    <xdr:to>
      <xdr:col>37</xdr:col>
      <xdr:colOff>128587</xdr:colOff>
      <xdr:row>41</xdr:row>
      <xdr:rowOff>119062</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37</xdr:col>
      <xdr:colOff>566737</xdr:colOff>
      <xdr:row>37</xdr:row>
      <xdr:rowOff>147637</xdr:rowOff>
    </xdr:from>
    <xdr:to>
      <xdr:col>45</xdr:col>
      <xdr:colOff>261937</xdr:colOff>
      <xdr:row>52</xdr:row>
      <xdr:rowOff>33337</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30</xdr:col>
      <xdr:colOff>80962</xdr:colOff>
      <xdr:row>42</xdr:row>
      <xdr:rowOff>52387</xdr:rowOff>
    </xdr:from>
    <xdr:to>
      <xdr:col>37</xdr:col>
      <xdr:colOff>385762</xdr:colOff>
      <xdr:row>56</xdr:row>
      <xdr:rowOff>128587</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45</xdr:col>
      <xdr:colOff>519112</xdr:colOff>
      <xdr:row>39</xdr:row>
      <xdr:rowOff>80962</xdr:rowOff>
    </xdr:from>
    <xdr:to>
      <xdr:col>53</xdr:col>
      <xdr:colOff>214312</xdr:colOff>
      <xdr:row>53</xdr:row>
      <xdr:rowOff>157162</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37</xdr:col>
      <xdr:colOff>466725</xdr:colOff>
      <xdr:row>6</xdr:row>
      <xdr:rowOff>9526</xdr:rowOff>
    </xdr:from>
    <xdr:to>
      <xdr:col>46</xdr:col>
      <xdr:colOff>200025</xdr:colOff>
      <xdr:row>23</xdr:row>
      <xdr:rowOff>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361949</xdr:colOff>
      <xdr:row>78</xdr:row>
      <xdr:rowOff>33337</xdr:rowOff>
    </xdr:from>
    <xdr:to>
      <xdr:col>15</xdr:col>
      <xdr:colOff>219074</xdr:colOff>
      <xdr:row>103</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619125</xdr:colOff>
      <xdr:row>77</xdr:row>
      <xdr:rowOff>176211</xdr:rowOff>
    </xdr:from>
    <xdr:to>
      <xdr:col>25</xdr:col>
      <xdr:colOff>438150</xdr:colOff>
      <xdr:row>97</xdr:row>
      <xdr:rowOff>47624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276224</xdr:colOff>
      <xdr:row>117</xdr:row>
      <xdr:rowOff>14286</xdr:rowOff>
    </xdr:from>
    <xdr:to>
      <xdr:col>35</xdr:col>
      <xdr:colOff>447674</xdr:colOff>
      <xdr:row>142</xdr:row>
      <xdr:rowOff>152399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y%20Drive/Consulting/2020Projects/AFOLU%20NDC/Land%20modelling/Land%20model_v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IPCC Categories"/>
      <sheetName val="Drivers"/>
      <sheetName val="Annual land change driver"/>
      <sheetName val="Land areas"/>
      <sheetName val="Summary land areas"/>
      <sheetName val="Constants"/>
      <sheetName val="Mitigation scenarios"/>
      <sheetName val="Activity data"/>
      <sheetName val="Carbon stock data"/>
      <sheetName val="Relationships"/>
      <sheetName val="Aggregated stock data"/>
      <sheetName val="Baseline Emissions &amp; Removals"/>
      <sheetName val="Baseline emission summary"/>
      <sheetName val="Case 1 Emissions &amp; Removals"/>
      <sheetName val="Case 2 Emissions &amp; Removals"/>
      <sheetName val="Case 3 Emissions &amp; Removals"/>
      <sheetName val="Case 1 summary"/>
      <sheetName val="Inventory comparison"/>
      <sheetName val="1990-2014 corrected"/>
      <sheetName val="1990-2014"/>
      <sheetName val="1990-2018"/>
      <sheetName val="2014-2018"/>
      <sheetName val="Inventory"/>
    </sheetNames>
    <sheetDataSet>
      <sheetData sheetId="0"/>
      <sheetData sheetId="1"/>
      <sheetData sheetId="2"/>
      <sheetData sheetId="3"/>
      <sheetData sheetId="4"/>
      <sheetData sheetId="5"/>
      <sheetData sheetId="6"/>
      <sheetData sheetId="7"/>
      <sheetData sheetId="8">
        <row r="544">
          <cell r="AK544">
            <v>12617.901601355257</v>
          </cell>
          <cell r="AL544">
            <v>12610.213779834767</v>
          </cell>
          <cell r="AM544">
            <v>12602.525958314274</v>
          </cell>
          <cell r="AN544">
            <v>12594.838136793784</v>
          </cell>
          <cell r="AO544">
            <v>12587.150315273293</v>
          </cell>
          <cell r="AP544">
            <v>12579.462493752801</v>
          </cell>
          <cell r="AQ544">
            <v>12571.77467223231</v>
          </cell>
          <cell r="AR544">
            <v>12564.086850711819</v>
          </cell>
          <cell r="AS544">
            <v>12556.399029191327</v>
          </cell>
          <cell r="AT544">
            <v>12548.711207670836</v>
          </cell>
          <cell r="AU544">
            <v>12541.023386150346</v>
          </cell>
          <cell r="AV544">
            <v>12533.335564629853</v>
          </cell>
          <cell r="AW544">
            <v>12525.647743109363</v>
          </cell>
          <cell r="AX544">
            <v>12517.959921588872</v>
          </cell>
          <cell r="AY544">
            <v>12510.27210006838</v>
          </cell>
          <cell r="AZ544">
            <v>12502.584278547889</v>
          </cell>
          <cell r="BA544">
            <v>12494.896457027398</v>
          </cell>
          <cell r="BB544">
            <v>12487.208635506906</v>
          </cell>
          <cell r="BC544">
            <v>12479.520813986415</v>
          </cell>
          <cell r="BD544">
            <v>12471.832992465923</v>
          </cell>
          <cell r="BE544">
            <v>12464.145170945432</v>
          </cell>
          <cell r="BF544">
            <v>12456.457349424942</v>
          </cell>
          <cell r="BG544">
            <v>12448.769527904449</v>
          </cell>
          <cell r="BH544">
            <v>12441.081706383959</v>
          </cell>
          <cell r="BI544">
            <v>12433.393884863468</v>
          </cell>
          <cell r="BJ544">
            <v>12425.706063342976</v>
          </cell>
          <cell r="BK544">
            <v>12418.018241822485</v>
          </cell>
          <cell r="BL544">
            <v>12410.330420301994</v>
          </cell>
          <cell r="BM544">
            <v>12402.642598781502</v>
          </cell>
          <cell r="BN544">
            <v>12394.954777261011</v>
          </cell>
          <cell r="BO544">
            <v>12387.266955740521</v>
          </cell>
          <cell r="BP544">
            <v>12379.579134220028</v>
          </cell>
          <cell r="BQ544">
            <v>12371.891312699538</v>
          </cell>
        </row>
        <row r="545">
          <cell r="AK545">
            <v>175110.98682221645</v>
          </cell>
          <cell r="AL545">
            <v>171394.01131053091</v>
          </cell>
          <cell r="AM545">
            <v>167677.03579884538</v>
          </cell>
          <cell r="AN545">
            <v>163960.06028715984</v>
          </cell>
          <cell r="AO545">
            <v>160243.08477547427</v>
          </cell>
          <cell r="AP545">
            <v>156526.10926378873</v>
          </cell>
          <cell r="AQ545">
            <v>152809.1337521032</v>
          </cell>
          <cell r="AR545">
            <v>149092.15824041766</v>
          </cell>
          <cell r="AS545">
            <v>145375.18272873212</v>
          </cell>
          <cell r="AT545">
            <v>141658.20721704655</v>
          </cell>
          <cell r="AU545">
            <v>137941.23170536102</v>
          </cell>
          <cell r="AV545">
            <v>134224.25619367548</v>
          </cell>
          <cell r="AW545">
            <v>130507.28068198993</v>
          </cell>
          <cell r="AX545">
            <v>126790.30517030439</v>
          </cell>
          <cell r="AY545">
            <v>123073.32965861885</v>
          </cell>
          <cell r="AZ545">
            <v>119356.3541469333</v>
          </cell>
          <cell r="BA545">
            <v>115639.37863524776</v>
          </cell>
          <cell r="BB545">
            <v>111922.40312356221</v>
          </cell>
          <cell r="BC545">
            <v>108205.42761187667</v>
          </cell>
          <cell r="BD545">
            <v>104488.45210019113</v>
          </cell>
          <cell r="BE545">
            <v>100771.4765885056</v>
          </cell>
          <cell r="BF545">
            <v>97054.501076820059</v>
          </cell>
          <cell r="BG545">
            <v>93337.525565134507</v>
          </cell>
          <cell r="BH545">
            <v>89620.550053448969</v>
          </cell>
          <cell r="BI545">
            <v>85903.574541763417</v>
          </cell>
          <cell r="BJ545">
            <v>82186.599030077879</v>
          </cell>
          <cell r="BK545">
            <v>78469.623518392342</v>
          </cell>
          <cell r="BL545">
            <v>74752.64800670679</v>
          </cell>
          <cell r="BM545">
            <v>71035.672495021252</v>
          </cell>
          <cell r="BN545">
            <v>67318.6969833357</v>
          </cell>
          <cell r="BO545">
            <v>63601.72147165014</v>
          </cell>
          <cell r="BP545">
            <v>59884.745959964595</v>
          </cell>
          <cell r="BQ545">
            <v>56167.77044827905</v>
          </cell>
        </row>
        <row r="546">
          <cell r="AK546">
            <v>796408.0845915816</v>
          </cell>
          <cell r="AL546">
            <v>799960.56353632337</v>
          </cell>
          <cell r="AM546">
            <v>803513.04248106526</v>
          </cell>
          <cell r="AN546">
            <v>807065.52142580703</v>
          </cell>
          <cell r="AO546">
            <v>810618.00037054892</v>
          </cell>
          <cell r="AP546">
            <v>814170.47931529081</v>
          </cell>
          <cell r="AQ546">
            <v>817722.95826003258</v>
          </cell>
          <cell r="AR546">
            <v>821275.43720477447</v>
          </cell>
          <cell r="AS546">
            <v>824827.91614951624</v>
          </cell>
          <cell r="AT546">
            <v>828380.39509425813</v>
          </cell>
          <cell r="AU546">
            <v>831932.8740389999</v>
          </cell>
          <cell r="AV546">
            <v>835485.35298374179</v>
          </cell>
          <cell r="AW546">
            <v>839037.83192848368</v>
          </cell>
          <cell r="AX546">
            <v>842590.31087322545</v>
          </cell>
          <cell r="AY546">
            <v>846142.78981796734</v>
          </cell>
          <cell r="AZ546">
            <v>849695.26876270911</v>
          </cell>
          <cell r="BA546">
            <v>853247.747707451</v>
          </cell>
          <cell r="BB546">
            <v>856800.22665219277</v>
          </cell>
          <cell r="BC546">
            <v>860352.70559693465</v>
          </cell>
          <cell r="BD546">
            <v>863905.18454167654</v>
          </cell>
          <cell r="BE546">
            <v>867457.66348641831</v>
          </cell>
          <cell r="BF546">
            <v>871010.1424311602</v>
          </cell>
          <cell r="BG546">
            <v>874562.62137590197</v>
          </cell>
          <cell r="BH546">
            <v>878115.10032064386</v>
          </cell>
          <cell r="BI546">
            <v>881667.57926538563</v>
          </cell>
          <cell r="BJ546">
            <v>885220.05821012752</v>
          </cell>
          <cell r="BK546">
            <v>888772.53715486941</v>
          </cell>
          <cell r="BL546">
            <v>892325.01609961118</v>
          </cell>
          <cell r="BM546">
            <v>895877.49504435307</v>
          </cell>
          <cell r="BN546">
            <v>899429.97398909484</v>
          </cell>
          <cell r="BO546">
            <v>902982.45293383673</v>
          </cell>
          <cell r="BP546">
            <v>906534.9318785785</v>
          </cell>
          <cell r="BQ546">
            <v>910087.41082332039</v>
          </cell>
        </row>
        <row r="547">
          <cell r="AK547">
            <v>28169.318974342728</v>
          </cell>
          <cell r="AL547">
            <v>28327.162105576794</v>
          </cell>
          <cell r="AM547">
            <v>28485.005236810859</v>
          </cell>
          <cell r="AN547">
            <v>28642.848368044924</v>
          </cell>
          <cell r="AO547">
            <v>28800.691499278993</v>
          </cell>
          <cell r="AP547">
            <v>28958.534630513059</v>
          </cell>
          <cell r="AQ547">
            <v>29116.377761747124</v>
          </cell>
          <cell r="AR547">
            <v>29274.22089298119</v>
          </cell>
          <cell r="AS547">
            <v>29432.064024215255</v>
          </cell>
          <cell r="AT547">
            <v>29589.90715544932</v>
          </cell>
          <cell r="AU547">
            <v>29747.750286683386</v>
          </cell>
          <cell r="AV547">
            <v>29905.593417917451</v>
          </cell>
          <cell r="AW547">
            <v>30063.43654915152</v>
          </cell>
          <cell r="AX547">
            <v>30221.279680385585</v>
          </cell>
          <cell r="AY547">
            <v>30379.122811619651</v>
          </cell>
          <cell r="AZ547">
            <v>30536.965942853716</v>
          </cell>
          <cell r="BA547">
            <v>30694.809074087781</v>
          </cell>
          <cell r="BB547">
            <v>30852.652205321847</v>
          </cell>
          <cell r="BC547">
            <v>31010.495336555912</v>
          </cell>
          <cell r="BD547">
            <v>31168.338467789981</v>
          </cell>
          <cell r="BE547">
            <v>31326.181599024047</v>
          </cell>
          <cell r="BF547">
            <v>31484.024730258112</v>
          </cell>
          <cell r="BG547">
            <v>31641.867861492177</v>
          </cell>
          <cell r="BH547">
            <v>31799.710992726243</v>
          </cell>
          <cell r="BI547">
            <v>31957.554123960308</v>
          </cell>
          <cell r="BJ547">
            <v>32115.397255194373</v>
          </cell>
          <cell r="BK547">
            <v>32273.240386428439</v>
          </cell>
          <cell r="BL547">
            <v>32431.083517662508</v>
          </cell>
          <cell r="BM547">
            <v>32588.926648896573</v>
          </cell>
          <cell r="BN547">
            <v>32746.769780130639</v>
          </cell>
          <cell r="BO547">
            <v>32904.612911364704</v>
          </cell>
          <cell r="BP547">
            <v>33062.456042598773</v>
          </cell>
          <cell r="BQ547">
            <v>33220.299173832835</v>
          </cell>
        </row>
        <row r="548">
          <cell r="AK548">
            <v>319801.69845069881</v>
          </cell>
          <cell r="AL548">
            <v>318498.24651846121</v>
          </cell>
          <cell r="AM548">
            <v>317194.79458622355</v>
          </cell>
          <cell r="AN548">
            <v>315891.34265398595</v>
          </cell>
          <cell r="AO548">
            <v>314587.89072174835</v>
          </cell>
          <cell r="AP548">
            <v>313284.43878951075</v>
          </cell>
          <cell r="AQ548">
            <v>311980.98685727315</v>
          </cell>
          <cell r="AR548">
            <v>310677.53492503555</v>
          </cell>
          <cell r="AS548">
            <v>309374.08299279795</v>
          </cell>
          <cell r="AT548">
            <v>308070.63106056035</v>
          </cell>
          <cell r="AU548">
            <v>306767.17912832275</v>
          </cell>
          <cell r="AV548">
            <v>305463.72719608515</v>
          </cell>
          <cell r="AW548">
            <v>304160.27526384749</v>
          </cell>
          <cell r="AX548">
            <v>302856.82333160989</v>
          </cell>
          <cell r="AY548">
            <v>301553.37139937229</v>
          </cell>
          <cell r="AZ548">
            <v>300249.91946713469</v>
          </cell>
          <cell r="BA548">
            <v>298946.46753489709</v>
          </cell>
          <cell r="BB548">
            <v>297643.01560265949</v>
          </cell>
          <cell r="BC548">
            <v>296339.56367042189</v>
          </cell>
          <cell r="BD548">
            <v>295036.11173818429</v>
          </cell>
          <cell r="BE548">
            <v>293732.65980594669</v>
          </cell>
          <cell r="BF548">
            <v>292429.20787370909</v>
          </cell>
          <cell r="BG548">
            <v>291125.75594147149</v>
          </cell>
          <cell r="BH548">
            <v>289822.30400923383</v>
          </cell>
          <cell r="BI548">
            <v>288518.85207699623</v>
          </cell>
          <cell r="BJ548">
            <v>287215.40014475863</v>
          </cell>
          <cell r="BK548">
            <v>285911.94821252103</v>
          </cell>
          <cell r="BL548">
            <v>284608.49628028343</v>
          </cell>
          <cell r="BM548">
            <v>283305.04434804583</v>
          </cell>
          <cell r="BN548">
            <v>282001.59241580829</v>
          </cell>
          <cell r="BO548">
            <v>280698.14048357063</v>
          </cell>
          <cell r="BP548">
            <v>279394.68855133303</v>
          </cell>
          <cell r="BQ548">
            <v>278091.23661909543</v>
          </cell>
        </row>
        <row r="549">
          <cell r="AK549">
            <v>32310.08453901402</v>
          </cell>
          <cell r="AL549">
            <v>33139.615459796332</v>
          </cell>
          <cell r="AM549">
            <v>33969.146380578612</v>
          </cell>
          <cell r="AN549">
            <v>34798.677301360913</v>
          </cell>
          <cell r="AO549">
            <v>35628.208222143192</v>
          </cell>
          <cell r="AP549">
            <v>36457.739142925479</v>
          </cell>
          <cell r="AQ549">
            <v>37287.270063707765</v>
          </cell>
          <cell r="AR549">
            <v>38116.800984490066</v>
          </cell>
          <cell r="AS549">
            <v>38946.331905272353</v>
          </cell>
          <cell r="AT549">
            <v>39775.862826054647</v>
          </cell>
          <cell r="AU549">
            <v>40605.393746836933</v>
          </cell>
          <cell r="AV549">
            <v>41434.924667619227</v>
          </cell>
          <cell r="AW549">
            <v>42264.455588401521</v>
          </cell>
          <cell r="AX549">
            <v>43093.986509183807</v>
          </cell>
          <cell r="AY549">
            <v>43923.517429966101</v>
          </cell>
          <cell r="AZ549">
            <v>44753.048350748388</v>
          </cell>
          <cell r="BA549">
            <v>45582.579271530682</v>
          </cell>
          <cell r="BB549">
            <v>46412.110192312968</v>
          </cell>
          <cell r="BC549">
            <v>47241.641113095262</v>
          </cell>
          <cell r="BD549">
            <v>48071.172033877549</v>
          </cell>
          <cell r="BE549">
            <v>48900.70295465985</v>
          </cell>
          <cell r="BF549">
            <v>49730.233875442143</v>
          </cell>
          <cell r="BG549">
            <v>50559.764796224423</v>
          </cell>
          <cell r="BH549">
            <v>51389.295717006724</v>
          </cell>
          <cell r="BI549">
            <v>52218.826637788996</v>
          </cell>
          <cell r="BJ549">
            <v>53048.357558571282</v>
          </cell>
          <cell r="BK549">
            <v>53877.888479353576</v>
          </cell>
          <cell r="BL549">
            <v>54707.419400135877</v>
          </cell>
          <cell r="BM549">
            <v>55536.950320918157</v>
          </cell>
          <cell r="BN549">
            <v>56366.481241700443</v>
          </cell>
          <cell r="BO549">
            <v>57196.012162482708</v>
          </cell>
          <cell r="BP549">
            <v>58025.543083265002</v>
          </cell>
          <cell r="BQ549">
            <v>58855.074004047288</v>
          </cell>
        </row>
        <row r="550">
          <cell r="AK550">
            <v>2845.9027047672716</v>
          </cell>
          <cell r="AL550">
            <v>2841.4155091463472</v>
          </cell>
          <cell r="AM550">
            <v>2836.9283135254232</v>
          </cell>
          <cell r="AN550">
            <v>2832.4411179044992</v>
          </cell>
          <cell r="AO550">
            <v>2827.9539222835747</v>
          </cell>
          <cell r="AP550">
            <v>2823.4667266626507</v>
          </cell>
          <cell r="AQ550">
            <v>2818.9795310417262</v>
          </cell>
          <cell r="AR550">
            <v>2814.4923354208022</v>
          </cell>
          <cell r="AS550">
            <v>2810.0051397998777</v>
          </cell>
          <cell r="AT550">
            <v>2805.5179441789537</v>
          </cell>
          <cell r="AU550">
            <v>2801.0307485580297</v>
          </cell>
          <cell r="AV550">
            <v>2796.5435529371052</v>
          </cell>
          <cell r="AW550">
            <v>2792.0563573161812</v>
          </cell>
          <cell r="AX550">
            <v>2787.5691616952568</v>
          </cell>
          <cell r="AY550">
            <v>2783.0819660743327</v>
          </cell>
          <cell r="AZ550">
            <v>2778.5947704534083</v>
          </cell>
          <cell r="BA550">
            <v>2774.1075748324843</v>
          </cell>
          <cell r="BB550">
            <v>2769.6203792115602</v>
          </cell>
          <cell r="BC550">
            <v>2765.1331835906358</v>
          </cell>
          <cell r="BD550">
            <v>2760.6459879697118</v>
          </cell>
          <cell r="BE550">
            <v>2756.1587923487878</v>
          </cell>
          <cell r="BF550">
            <v>2751.6715967278633</v>
          </cell>
          <cell r="BG550">
            <v>2747.1844011069393</v>
          </cell>
          <cell r="BH550">
            <v>2742.6972054860148</v>
          </cell>
          <cell r="BI550">
            <v>2738.2100098650908</v>
          </cell>
          <cell r="BJ550">
            <v>2733.7228142441663</v>
          </cell>
          <cell r="BK550">
            <v>2729.2356186232423</v>
          </cell>
          <cell r="BL550">
            <v>2724.7484230023183</v>
          </cell>
          <cell r="BM550">
            <v>2720.2612273813938</v>
          </cell>
          <cell r="BN550">
            <v>2715.7740317604698</v>
          </cell>
          <cell r="BO550">
            <v>2711.2868361395454</v>
          </cell>
          <cell r="BP550">
            <v>2706.7996405186213</v>
          </cell>
          <cell r="BQ550">
            <v>2702.3124448976969</v>
          </cell>
        </row>
        <row r="551">
          <cell r="AK551">
            <v>683.49325713740586</v>
          </cell>
          <cell r="AL551">
            <v>680.09265718882125</v>
          </cell>
          <cell r="AM551">
            <v>676.69205724023664</v>
          </cell>
          <cell r="AN551">
            <v>673.29145729165202</v>
          </cell>
          <cell r="AO551">
            <v>669.89085734306741</v>
          </cell>
          <cell r="AP551">
            <v>666.4902573944828</v>
          </cell>
          <cell r="AQ551">
            <v>663.08965744589818</v>
          </cell>
          <cell r="AR551">
            <v>659.68905749731357</v>
          </cell>
          <cell r="AS551">
            <v>656.28845754872896</v>
          </cell>
          <cell r="AT551">
            <v>652.88785760014434</v>
          </cell>
          <cell r="AU551">
            <v>649.48725765155973</v>
          </cell>
          <cell r="AV551">
            <v>646.08665770297512</v>
          </cell>
          <cell r="AW551">
            <v>642.6860577543905</v>
          </cell>
          <cell r="AX551">
            <v>639.28545780580612</v>
          </cell>
          <cell r="AY551">
            <v>635.8848578572215</v>
          </cell>
          <cell r="AZ551">
            <v>632.48425790863689</v>
          </cell>
          <cell r="BA551">
            <v>629.08365796005228</v>
          </cell>
          <cell r="BB551">
            <v>625.68305801146766</v>
          </cell>
          <cell r="BC551">
            <v>622.28245806288305</v>
          </cell>
          <cell r="BD551">
            <v>618.88185811429844</v>
          </cell>
          <cell r="BE551">
            <v>615.48125816571383</v>
          </cell>
          <cell r="BF551">
            <v>612.08065821712921</v>
          </cell>
          <cell r="BG551">
            <v>608.6800582685446</v>
          </cell>
          <cell r="BH551">
            <v>605.27945831995999</v>
          </cell>
          <cell r="BI551">
            <v>601.87885837137537</v>
          </cell>
          <cell r="BJ551">
            <v>598.47825842279076</v>
          </cell>
          <cell r="BK551">
            <v>595.07765847420615</v>
          </cell>
          <cell r="BL551">
            <v>591.67705852562153</v>
          </cell>
          <cell r="BM551">
            <v>588.27645857703692</v>
          </cell>
          <cell r="BN551">
            <v>584.87585862845231</v>
          </cell>
          <cell r="BO551">
            <v>581.47525867986769</v>
          </cell>
          <cell r="BP551">
            <v>578.07465873128308</v>
          </cell>
          <cell r="BQ551">
            <v>574.67405878269847</v>
          </cell>
        </row>
        <row r="552">
          <cell r="AK552">
            <v>116878.48968933811</v>
          </cell>
          <cell r="AL552">
            <v>117042.45023476906</v>
          </cell>
          <cell r="AM552">
            <v>117206.41078020004</v>
          </cell>
          <cell r="AN552">
            <v>117370.37132563101</v>
          </cell>
          <cell r="AO552">
            <v>117534.33187106196</v>
          </cell>
          <cell r="AP552">
            <v>117698.29241649294</v>
          </cell>
          <cell r="AQ552">
            <v>117862.25296192389</v>
          </cell>
          <cell r="AR552">
            <v>118026.21350735487</v>
          </cell>
          <cell r="AS552">
            <v>118190.17405278582</v>
          </cell>
          <cell r="AT552">
            <v>118354.1345982168</v>
          </cell>
          <cell r="AU552">
            <v>118518.09514364775</v>
          </cell>
          <cell r="AV552">
            <v>118682.05568907873</v>
          </cell>
          <cell r="AW552">
            <v>118846.01623450968</v>
          </cell>
          <cell r="AX552">
            <v>119009.97677994065</v>
          </cell>
          <cell r="AY552">
            <v>119173.9373253716</v>
          </cell>
          <cell r="AZ552">
            <v>119337.89787080258</v>
          </cell>
          <cell r="BA552">
            <v>119501.85841623356</v>
          </cell>
          <cell r="BB552">
            <v>119665.81896166451</v>
          </cell>
          <cell r="BC552">
            <v>119829.77950709549</v>
          </cell>
          <cell r="BD552">
            <v>119993.74005252644</v>
          </cell>
          <cell r="BE552">
            <v>120157.70059795742</v>
          </cell>
          <cell r="BF552">
            <v>120321.66114338837</v>
          </cell>
          <cell r="BG552">
            <v>120485.62168881934</v>
          </cell>
          <cell r="BH552">
            <v>120649.58223425029</v>
          </cell>
          <cell r="BI552">
            <v>120813.54277968127</v>
          </cell>
          <cell r="BJ552">
            <v>120977.50332511222</v>
          </cell>
          <cell r="BK552">
            <v>121141.4638705432</v>
          </cell>
          <cell r="BL552">
            <v>121305.42441597415</v>
          </cell>
          <cell r="BM552">
            <v>121469.38496140513</v>
          </cell>
          <cell r="BN552">
            <v>121633.34550683611</v>
          </cell>
          <cell r="BO552">
            <v>121797.30605226706</v>
          </cell>
          <cell r="BP552">
            <v>121961.26659769804</v>
          </cell>
          <cell r="BQ552">
            <v>122125.22714312898</v>
          </cell>
        </row>
        <row r="553">
          <cell r="AK553">
            <v>3107756.8462891141</v>
          </cell>
          <cell r="AL553">
            <v>3143860.0788158868</v>
          </cell>
          <cell r="AM553">
            <v>3179963.3113426594</v>
          </cell>
          <cell r="AN553">
            <v>3216066.5438694316</v>
          </cell>
          <cell r="AO553">
            <v>3252169.7763962043</v>
          </cell>
          <cell r="AP553">
            <v>3288273.0089229769</v>
          </cell>
          <cell r="AQ553">
            <v>3324376.2414497496</v>
          </cell>
          <cell r="AR553">
            <v>3360479.4739765218</v>
          </cell>
          <cell r="AS553">
            <v>3396582.7065032944</v>
          </cell>
          <cell r="AT553">
            <v>3432685.9390300671</v>
          </cell>
          <cell r="AU553">
            <v>3468789.1715568393</v>
          </cell>
          <cell r="AV553">
            <v>3504892.4040836119</v>
          </cell>
          <cell r="AW553">
            <v>3540995.6366103846</v>
          </cell>
          <cell r="AX553">
            <v>3577098.8691371572</v>
          </cell>
          <cell r="AY553">
            <v>3613202.1016639303</v>
          </cell>
          <cell r="AZ553">
            <v>3649305.3341907035</v>
          </cell>
          <cell r="BA553">
            <v>3685408.5667174766</v>
          </cell>
          <cell r="BB553">
            <v>3721511.7992442497</v>
          </cell>
          <cell r="BC553">
            <v>3757615.0317710228</v>
          </cell>
          <cell r="BD553">
            <v>3793718.2642977959</v>
          </cell>
          <cell r="BE553">
            <v>3829821.4968245691</v>
          </cell>
          <cell r="BF553">
            <v>3865924.7293513422</v>
          </cell>
          <cell r="BG553">
            <v>3902027.9618781153</v>
          </cell>
          <cell r="BH553">
            <v>3938131.1944048884</v>
          </cell>
          <cell r="BI553">
            <v>3974234.4269316616</v>
          </cell>
          <cell r="BJ553">
            <v>4010337.6594584347</v>
          </cell>
          <cell r="BK553">
            <v>4046440.8919852078</v>
          </cell>
          <cell r="BL553">
            <v>4082544.1245119809</v>
          </cell>
          <cell r="BM553">
            <v>4118647.357038754</v>
          </cell>
          <cell r="BN553">
            <v>4154750.5895655272</v>
          </cell>
          <cell r="BO553">
            <v>4190853.8220923003</v>
          </cell>
          <cell r="BP553">
            <v>4226957.0546190729</v>
          </cell>
          <cell r="BQ553">
            <v>4263060.2871458447</v>
          </cell>
        </row>
        <row r="554">
          <cell r="AK554">
            <v>212369.1075494203</v>
          </cell>
          <cell r="AL554">
            <v>210015.18866976566</v>
          </cell>
          <cell r="AM554">
            <v>207661.26979011102</v>
          </cell>
          <cell r="AN554">
            <v>205307.35091045636</v>
          </cell>
          <cell r="AO554">
            <v>202953.43203080172</v>
          </cell>
          <cell r="AP554">
            <v>200599.51315114705</v>
          </cell>
          <cell r="AQ554">
            <v>198245.59427149242</v>
          </cell>
          <cell r="AR554">
            <v>195891.67539183778</v>
          </cell>
          <cell r="AS554">
            <v>193537.75651218311</v>
          </cell>
          <cell r="AT554">
            <v>191183.83763252848</v>
          </cell>
          <cell r="AU554">
            <v>188829.91875287381</v>
          </cell>
          <cell r="AV554">
            <v>186475.99987321917</v>
          </cell>
          <cell r="AW554">
            <v>184122.08099356454</v>
          </cell>
          <cell r="AX554">
            <v>181768.16211390987</v>
          </cell>
          <cell r="AY554">
            <v>179414.24323425523</v>
          </cell>
          <cell r="AZ554">
            <v>177060.32435460057</v>
          </cell>
          <cell r="BA554">
            <v>174706.40547494593</v>
          </cell>
          <cell r="BB554">
            <v>172352.4865952913</v>
          </cell>
          <cell r="BC554">
            <v>169998.56771563663</v>
          </cell>
          <cell r="BD554">
            <v>167644.64883598199</v>
          </cell>
          <cell r="BE554">
            <v>165290.72995632736</v>
          </cell>
          <cell r="BF554">
            <v>162936.81107667269</v>
          </cell>
          <cell r="BG554">
            <v>160582.89219701805</v>
          </cell>
          <cell r="BH554">
            <v>158228.97331736339</v>
          </cell>
          <cell r="BI554">
            <v>155875.05443770875</v>
          </cell>
          <cell r="BJ554">
            <v>153521.13555805411</v>
          </cell>
          <cell r="BK554">
            <v>151167.21667839951</v>
          </cell>
          <cell r="BL554">
            <v>148813.29779874484</v>
          </cell>
          <cell r="BM554">
            <v>146459.3789190902</v>
          </cell>
          <cell r="BN554">
            <v>144105.46003943554</v>
          </cell>
          <cell r="BO554">
            <v>141751.5411597809</v>
          </cell>
          <cell r="BP554">
            <v>139397.62228012626</v>
          </cell>
          <cell r="BQ554">
            <v>137043.7034004716</v>
          </cell>
        </row>
        <row r="555">
          <cell r="AK555">
            <v>11355.250847106781</v>
          </cell>
          <cell r="AL555">
            <v>11244.363043141348</v>
          </cell>
          <cell r="AM555">
            <v>11133.475239175914</v>
          </cell>
          <cell r="AN555">
            <v>11022.58743521048</v>
          </cell>
          <cell r="AO555">
            <v>10911.699631245046</v>
          </cell>
          <cell r="AP555">
            <v>10800.811827279615</v>
          </cell>
          <cell r="AQ555">
            <v>10689.924023314181</v>
          </cell>
          <cell r="AR555">
            <v>10579.036219348749</v>
          </cell>
          <cell r="AS555">
            <v>10468.148415383315</v>
          </cell>
          <cell r="AT555">
            <v>10357.260611417882</v>
          </cell>
          <cell r="AU555">
            <v>10246.372807452448</v>
          </cell>
          <cell r="AV555">
            <v>10135.485003487016</v>
          </cell>
          <cell r="AW555">
            <v>10024.597199521584</v>
          </cell>
          <cell r="AX555">
            <v>9913.7093955561504</v>
          </cell>
          <cell r="AY555">
            <v>9802.8215915907167</v>
          </cell>
          <cell r="AZ555">
            <v>9691.933787625283</v>
          </cell>
          <cell r="BA555">
            <v>9581.0459836598511</v>
          </cell>
          <cell r="BB555">
            <v>9470.1581796944174</v>
          </cell>
          <cell r="BC555">
            <v>9359.2703757289855</v>
          </cell>
          <cell r="BD555">
            <v>9248.3825717635518</v>
          </cell>
          <cell r="BE555">
            <v>9137.4947677981181</v>
          </cell>
          <cell r="BF555">
            <v>9026.6069638326844</v>
          </cell>
          <cell r="BG555">
            <v>8915.7191598672525</v>
          </cell>
          <cell r="BH555">
            <v>8804.8313559018206</v>
          </cell>
          <cell r="BI555">
            <v>8693.9435519363869</v>
          </cell>
          <cell r="BJ555">
            <v>8583.0557479709532</v>
          </cell>
          <cell r="BK555">
            <v>8472.1679440055195</v>
          </cell>
          <cell r="BL555">
            <v>8361.2801400400876</v>
          </cell>
          <cell r="BM555">
            <v>8250.3923360746521</v>
          </cell>
          <cell r="BN555">
            <v>8139.5045321092202</v>
          </cell>
          <cell r="BO555">
            <v>8028.6167281437865</v>
          </cell>
          <cell r="BP555">
            <v>7917.7289241783528</v>
          </cell>
          <cell r="BQ555">
            <v>7806.8411202129209</v>
          </cell>
        </row>
        <row r="556">
          <cell r="AK556">
            <v>50846.369693798872</v>
          </cell>
          <cell r="AL556">
            <v>50044.273551145008</v>
          </cell>
          <cell r="AM556">
            <v>49242.177408491145</v>
          </cell>
          <cell r="AN556">
            <v>48440.081265837274</v>
          </cell>
          <cell r="AO556">
            <v>47637.985123183411</v>
          </cell>
          <cell r="AP556">
            <v>46835.888980529548</v>
          </cell>
          <cell r="AQ556">
            <v>46033.792837875684</v>
          </cell>
          <cell r="AR556">
            <v>45231.696695221821</v>
          </cell>
          <cell r="AS556">
            <v>44429.600552567957</v>
          </cell>
          <cell r="AT556">
            <v>43627.504409914094</v>
          </cell>
          <cell r="AU556">
            <v>42825.408267260231</v>
          </cell>
          <cell r="AV556">
            <v>42023.312124606367</v>
          </cell>
          <cell r="AW556">
            <v>41221.215981952504</v>
          </cell>
          <cell r="AX556">
            <v>40419.119839298641</v>
          </cell>
          <cell r="AY556">
            <v>39617.023696644785</v>
          </cell>
          <cell r="AZ556">
            <v>38814.927553990929</v>
          </cell>
          <cell r="BA556">
            <v>38012.831411337065</v>
          </cell>
          <cell r="BB556">
            <v>37210.735268683209</v>
          </cell>
          <cell r="BC556">
            <v>36408.639126029353</v>
          </cell>
          <cell r="BD556">
            <v>35606.54298337549</v>
          </cell>
          <cell r="BE556">
            <v>34804.446840721634</v>
          </cell>
          <cell r="BF556">
            <v>34002.350698067778</v>
          </cell>
          <cell r="BG556">
            <v>33200.254555413914</v>
          </cell>
          <cell r="BH556">
            <v>32398.158412760058</v>
          </cell>
          <cell r="BI556">
            <v>31596.062270106202</v>
          </cell>
          <cell r="BJ556">
            <v>30793.966127452342</v>
          </cell>
          <cell r="BK556">
            <v>29991.869984798483</v>
          </cell>
          <cell r="BL556">
            <v>29189.773842144627</v>
          </cell>
          <cell r="BM556">
            <v>28387.677699490767</v>
          </cell>
          <cell r="BN556">
            <v>27585.581556836907</v>
          </cell>
          <cell r="BO556">
            <v>26783.485414183051</v>
          </cell>
          <cell r="BP556">
            <v>25981.389271529191</v>
          </cell>
          <cell r="BQ556">
            <v>25179.293128875332</v>
          </cell>
        </row>
        <row r="557">
          <cell r="AK557">
            <v>49131.653143680829</v>
          </cell>
          <cell r="AL557">
            <v>49340.224434051517</v>
          </cell>
          <cell r="AM557">
            <v>49548.795724422213</v>
          </cell>
          <cell r="AN557">
            <v>49757.367014792901</v>
          </cell>
          <cell r="AO557">
            <v>49965.938305163589</v>
          </cell>
          <cell r="AP557">
            <v>50174.509595534284</v>
          </cell>
          <cell r="AQ557">
            <v>50383.080885904972</v>
          </cell>
          <cell r="AR557">
            <v>50591.65217627566</v>
          </cell>
          <cell r="AS557">
            <v>50800.223466646356</v>
          </cell>
          <cell r="AT557">
            <v>51008.794757017044</v>
          </cell>
          <cell r="AU557">
            <v>51217.366047387732</v>
          </cell>
          <cell r="AV557">
            <v>51425.937337758427</v>
          </cell>
          <cell r="AW557">
            <v>51634.508628129115</v>
          </cell>
          <cell r="AX557">
            <v>51843.079918499803</v>
          </cell>
          <cell r="AY557">
            <v>52051.651208870499</v>
          </cell>
          <cell r="AZ557">
            <v>52260.222499241187</v>
          </cell>
          <cell r="BA557">
            <v>52468.793789611882</v>
          </cell>
          <cell r="BB557">
            <v>52677.36507998257</v>
          </cell>
          <cell r="BC557">
            <v>52885.936370353258</v>
          </cell>
          <cell r="BD557">
            <v>53094.507660723953</v>
          </cell>
          <cell r="BE557">
            <v>53303.078951094642</v>
          </cell>
          <cell r="BF557">
            <v>53511.65024146533</v>
          </cell>
          <cell r="BG557">
            <v>53720.221531836025</v>
          </cell>
          <cell r="BH557">
            <v>53928.792822206713</v>
          </cell>
          <cell r="BI557">
            <v>54137.364112577401</v>
          </cell>
          <cell r="BJ557">
            <v>54345.935402948096</v>
          </cell>
          <cell r="BK557">
            <v>54554.506693318785</v>
          </cell>
          <cell r="BL557">
            <v>54763.077983689473</v>
          </cell>
          <cell r="BM557">
            <v>54971.649274060168</v>
          </cell>
          <cell r="BN557">
            <v>55180.220564430856</v>
          </cell>
          <cell r="BO557">
            <v>55388.791854801551</v>
          </cell>
          <cell r="BP557">
            <v>55597.363145172239</v>
          </cell>
          <cell r="BQ557">
            <v>55805.934435542928</v>
          </cell>
        </row>
        <row r="558">
          <cell r="AK558">
            <v>0</v>
          </cell>
          <cell r="AL558">
            <v>0</v>
          </cell>
          <cell r="AM558">
            <v>0</v>
          </cell>
          <cell r="AN558">
            <v>0</v>
          </cell>
          <cell r="AO558">
            <v>0</v>
          </cell>
          <cell r="AP558">
            <v>0</v>
          </cell>
          <cell r="AQ558">
            <v>0</v>
          </cell>
          <cell r="AR558">
            <v>0</v>
          </cell>
          <cell r="AS558">
            <v>0</v>
          </cell>
          <cell r="AT558">
            <v>0</v>
          </cell>
          <cell r="AU558">
            <v>0</v>
          </cell>
          <cell r="AV558">
            <v>0</v>
          </cell>
          <cell r="AW558">
            <v>0</v>
          </cell>
          <cell r="AX558">
            <v>0</v>
          </cell>
          <cell r="AY558">
            <v>0</v>
          </cell>
          <cell r="AZ558">
            <v>0</v>
          </cell>
          <cell r="BA558">
            <v>0</v>
          </cell>
          <cell r="BB558">
            <v>0</v>
          </cell>
          <cell r="BC558">
            <v>0</v>
          </cell>
          <cell r="BD558">
            <v>0</v>
          </cell>
          <cell r="BE558">
            <v>0</v>
          </cell>
          <cell r="BF558">
            <v>0</v>
          </cell>
          <cell r="BG558">
            <v>0</v>
          </cell>
          <cell r="BH558">
            <v>0</v>
          </cell>
          <cell r="BI558">
            <v>0</v>
          </cell>
          <cell r="BJ558">
            <v>0</v>
          </cell>
          <cell r="BK558">
            <v>0</v>
          </cell>
          <cell r="BL558">
            <v>0</v>
          </cell>
          <cell r="BM558">
            <v>0</v>
          </cell>
          <cell r="BN558">
            <v>0</v>
          </cell>
          <cell r="BO558">
            <v>0</v>
          </cell>
          <cell r="BP558">
            <v>0</v>
          </cell>
          <cell r="BQ558">
            <v>0</v>
          </cell>
        </row>
        <row r="559">
          <cell r="AK559">
            <v>0</v>
          </cell>
          <cell r="AL559">
            <v>0</v>
          </cell>
          <cell r="AM559">
            <v>0</v>
          </cell>
          <cell r="AN559">
            <v>0</v>
          </cell>
          <cell r="AO559">
            <v>0</v>
          </cell>
          <cell r="AP559">
            <v>0</v>
          </cell>
          <cell r="AQ559">
            <v>0</v>
          </cell>
          <cell r="AR559">
            <v>0</v>
          </cell>
          <cell r="AS559">
            <v>0</v>
          </cell>
          <cell r="AT559">
            <v>0</v>
          </cell>
          <cell r="AU559">
            <v>0</v>
          </cell>
          <cell r="AV559">
            <v>0</v>
          </cell>
          <cell r="AW559">
            <v>0</v>
          </cell>
          <cell r="AX559">
            <v>0</v>
          </cell>
          <cell r="AY559">
            <v>0</v>
          </cell>
          <cell r="AZ559">
            <v>0</v>
          </cell>
          <cell r="BA559">
            <v>0</v>
          </cell>
          <cell r="BB559">
            <v>0</v>
          </cell>
          <cell r="BC559">
            <v>0</v>
          </cell>
          <cell r="BD559">
            <v>0</v>
          </cell>
          <cell r="BE559">
            <v>0</v>
          </cell>
          <cell r="BF559">
            <v>0</v>
          </cell>
          <cell r="BG559">
            <v>0</v>
          </cell>
          <cell r="BH559">
            <v>0</v>
          </cell>
          <cell r="BI559">
            <v>0</v>
          </cell>
          <cell r="BJ559">
            <v>0</v>
          </cell>
          <cell r="BK559">
            <v>0</v>
          </cell>
          <cell r="BL559">
            <v>0</v>
          </cell>
          <cell r="BM559">
            <v>0</v>
          </cell>
          <cell r="BN559">
            <v>0</v>
          </cell>
          <cell r="BO559">
            <v>0</v>
          </cell>
          <cell r="BP559">
            <v>0</v>
          </cell>
          <cell r="BQ559">
            <v>0</v>
          </cell>
        </row>
      </sheetData>
      <sheetData sheetId="9"/>
      <sheetData sheetId="10"/>
      <sheetData sheetId="11"/>
      <sheetData sheetId="12"/>
      <sheetData sheetId="13">
        <row r="11">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cell r="BC11">
            <v>0</v>
          </cell>
          <cell r="BD11">
            <v>0</v>
          </cell>
          <cell r="BE11">
            <v>0</v>
          </cell>
          <cell r="BF11">
            <v>0</v>
          </cell>
          <cell r="BG11">
            <v>0</v>
          </cell>
          <cell r="BH11">
            <v>0</v>
          </cell>
          <cell r="BI11">
            <v>0</v>
          </cell>
          <cell r="BJ11">
            <v>0</v>
          </cell>
          <cell r="BK11">
            <v>0</v>
          </cell>
          <cell r="BL11">
            <v>0</v>
          </cell>
          <cell r="BM11">
            <v>0</v>
          </cell>
          <cell r="BN11">
            <v>0</v>
          </cell>
          <cell r="BO11">
            <v>0</v>
          </cell>
        </row>
        <row r="16">
          <cell r="AI16">
            <v>-1057.8306876692382</v>
          </cell>
          <cell r="AJ16">
            <v>-1057.8306876692382</v>
          </cell>
          <cell r="AK16">
            <v>-1057.8306876692382</v>
          </cell>
          <cell r="AL16">
            <v>-1057.8306876692382</v>
          </cell>
          <cell r="AM16">
            <v>-1057.8306876692382</v>
          </cell>
          <cell r="AN16">
            <v>-1057.8306876692382</v>
          </cell>
          <cell r="AO16">
            <v>-1057.8306876692382</v>
          </cell>
          <cell r="AP16">
            <v>-1057.8306876692382</v>
          </cell>
          <cell r="AQ16">
            <v>-1057.8306876692382</v>
          </cell>
          <cell r="AR16">
            <v>-1057.8306876692382</v>
          </cell>
          <cell r="AS16">
            <v>-1057.8306876692382</v>
          </cell>
          <cell r="AT16">
            <v>-1057.8306876692382</v>
          </cell>
          <cell r="AU16">
            <v>-1057.8306876692382</v>
          </cell>
          <cell r="AV16">
            <v>-1057.8306876692382</v>
          </cell>
          <cell r="AW16">
            <v>-1057.8306876692382</v>
          </cell>
          <cell r="AX16">
            <v>-1057.8306876692382</v>
          </cell>
          <cell r="AY16">
            <v>-1057.8306876692382</v>
          </cell>
          <cell r="AZ16">
            <v>-1057.8306876692382</v>
          </cell>
          <cell r="BA16">
            <v>-1057.8306876692382</v>
          </cell>
          <cell r="BB16">
            <v>-1057.8306876692382</v>
          </cell>
          <cell r="BC16">
            <v>-1057.8306876692382</v>
          </cell>
          <cell r="BD16">
            <v>-1057.8306876692382</v>
          </cell>
          <cell r="BE16">
            <v>-1057.8306876692382</v>
          </cell>
          <cell r="BF16">
            <v>-1057.8306876692382</v>
          </cell>
          <cell r="BG16">
            <v>-1057.8306876692382</v>
          </cell>
          <cell r="BH16">
            <v>-1057.8306876692382</v>
          </cell>
          <cell r="BI16">
            <v>-1057.8306876692382</v>
          </cell>
          <cell r="BJ16">
            <v>-1057.8306876692382</v>
          </cell>
          <cell r="BK16">
            <v>-1057.8306876692382</v>
          </cell>
          <cell r="BL16">
            <v>-1057.8306876692382</v>
          </cell>
          <cell r="BM16">
            <v>-1057.8306876692382</v>
          </cell>
          <cell r="BN16">
            <v>-1057.8306876692382</v>
          </cell>
          <cell r="BO16">
            <v>-1057.8306876692382</v>
          </cell>
        </row>
        <row r="24">
          <cell r="AI24">
            <v>-3.6221243171082249</v>
          </cell>
          <cell r="AJ24">
            <v>-3.6400054323012712</v>
          </cell>
          <cell r="AK24">
            <v>-3.6578865474943192</v>
          </cell>
          <cell r="AL24">
            <v>-3.6757676626873668</v>
          </cell>
          <cell r="AM24">
            <v>-3.6936487778804148</v>
          </cell>
          <cell r="AN24">
            <v>-3.7115298930734615</v>
          </cell>
          <cell r="AO24">
            <v>-3.7294110082665095</v>
          </cell>
          <cell r="AP24">
            <v>-3.7472921234595562</v>
          </cell>
          <cell r="AQ24">
            <v>-3.7651732386526033</v>
          </cell>
          <cell r="AR24">
            <v>-3.7830543538456518</v>
          </cell>
          <cell r="AS24">
            <v>-3.8009354690386998</v>
          </cell>
          <cell r="AT24">
            <v>-3.818816584231747</v>
          </cell>
          <cell r="AU24">
            <v>-3.8366976994247937</v>
          </cell>
          <cell r="AV24">
            <v>-3.8545788146178408</v>
          </cell>
          <cell r="AW24">
            <v>-3.8724599298108884</v>
          </cell>
          <cell r="AX24">
            <v>-3.8903410450039364</v>
          </cell>
          <cell r="AY24">
            <v>-3.9082221601969835</v>
          </cell>
          <cell r="AZ24">
            <v>-3.9261032753900311</v>
          </cell>
          <cell r="BA24">
            <v>-3.9439843905830791</v>
          </cell>
          <cell r="BB24">
            <v>-3.9618655057761267</v>
          </cell>
          <cell r="BC24">
            <v>-3.9797466209691748</v>
          </cell>
          <cell r="BD24">
            <v>-3.9976277361622214</v>
          </cell>
          <cell r="BE24">
            <v>-4.0155088513552686</v>
          </cell>
          <cell r="BF24">
            <v>-4.0333899665483166</v>
          </cell>
          <cell r="BG24">
            <v>-4.0512710817413637</v>
          </cell>
          <cell r="BH24">
            <v>-4.0691521969344127</v>
          </cell>
          <cell r="BI24">
            <v>-4.0870333121274589</v>
          </cell>
          <cell r="BJ24">
            <v>-4.1049144273205069</v>
          </cell>
          <cell r="BK24">
            <v>-4.122795542513555</v>
          </cell>
          <cell r="BL24">
            <v>-4.1406766577066021</v>
          </cell>
          <cell r="BM24">
            <v>-4.158557772899651</v>
          </cell>
          <cell r="BN24">
            <v>-4.1764388880926973</v>
          </cell>
          <cell r="BO24">
            <v>-4.1943200032857444</v>
          </cell>
        </row>
        <row r="29">
          <cell r="AI29">
            <v>1240.8124268546533</v>
          </cell>
          <cell r="AJ29">
            <v>1244.8524091625366</v>
          </cell>
          <cell r="AK29">
            <v>1248.8923914704199</v>
          </cell>
          <cell r="AL29">
            <v>1252.9323737783034</v>
          </cell>
          <cell r="AM29">
            <v>1256.9723560861864</v>
          </cell>
          <cell r="AN29">
            <v>1261.0123383940697</v>
          </cell>
          <cell r="AO29">
            <v>1265.052320701953</v>
          </cell>
          <cell r="AP29">
            <v>1269.0923030098356</v>
          </cell>
          <cell r="AQ29">
            <v>1273.1322853177196</v>
          </cell>
          <cell r="AR29">
            <v>1277.1722676256031</v>
          </cell>
          <cell r="AS29">
            <v>1281.2122499334862</v>
          </cell>
          <cell r="AT29">
            <v>1285.2522322413693</v>
          </cell>
          <cell r="AU29">
            <v>1289.2922145492525</v>
          </cell>
          <cell r="AV29">
            <v>1293.3321968571361</v>
          </cell>
          <cell r="AW29">
            <v>1297.3721791650191</v>
          </cell>
          <cell r="AX29">
            <v>1301.4121614729024</v>
          </cell>
          <cell r="AY29">
            <v>1305.4521437807855</v>
          </cell>
          <cell r="AZ29">
            <v>1309.4921260886688</v>
          </cell>
          <cell r="BA29">
            <v>1313.5321083965523</v>
          </cell>
          <cell r="BB29">
            <v>1317.5720907044354</v>
          </cell>
          <cell r="BC29">
            <v>1321.6120730123191</v>
          </cell>
          <cell r="BD29">
            <v>1325.6520553202022</v>
          </cell>
          <cell r="BE29">
            <v>1329.6920376280857</v>
          </cell>
          <cell r="BF29">
            <v>1333.7320199359688</v>
          </cell>
          <cell r="BG29">
            <v>1337.7720022438518</v>
          </cell>
          <cell r="BH29">
            <v>1341.8119845517351</v>
          </cell>
          <cell r="BI29">
            <v>1345.8519668596182</v>
          </cell>
          <cell r="BJ29">
            <v>1349.8919491675019</v>
          </cell>
          <cell r="BK29">
            <v>1353.931931475385</v>
          </cell>
          <cell r="BL29">
            <v>1357.9719137832683</v>
          </cell>
          <cell r="BM29">
            <v>1362.0118960911516</v>
          </cell>
          <cell r="BN29">
            <v>1366.0518783990351</v>
          </cell>
          <cell r="BO29">
            <v>1370.0918607069184</v>
          </cell>
        </row>
        <row r="37">
          <cell r="AI37">
            <v>4846.6213946536764</v>
          </cell>
          <cell r="AJ37">
            <v>4846.6213946536764</v>
          </cell>
          <cell r="AK37">
            <v>4846.6213946536764</v>
          </cell>
          <cell r="AL37">
            <v>4846.6213946536764</v>
          </cell>
          <cell r="AM37">
            <v>4846.6213946536764</v>
          </cell>
          <cell r="AN37">
            <v>4846.6213946536764</v>
          </cell>
          <cell r="AO37">
            <v>4846.6213946536764</v>
          </cell>
          <cell r="AP37">
            <v>4846.6213946536764</v>
          </cell>
          <cell r="AQ37">
            <v>4846.6213946536764</v>
          </cell>
          <cell r="AR37">
            <v>4846.6213946536764</v>
          </cell>
          <cell r="AS37">
            <v>4846.6213946536764</v>
          </cell>
          <cell r="AT37">
            <v>4846.6213946536764</v>
          </cell>
          <cell r="AU37">
            <v>4846.6213946536764</v>
          </cell>
          <cell r="AV37">
            <v>4846.6213946536764</v>
          </cell>
          <cell r="AW37">
            <v>4846.6213946536764</v>
          </cell>
          <cell r="AX37">
            <v>4846.6213946536764</v>
          </cell>
          <cell r="AY37">
            <v>4846.6213946536764</v>
          </cell>
          <cell r="AZ37">
            <v>4846.6213946536764</v>
          </cell>
          <cell r="BA37">
            <v>4846.6213946536764</v>
          </cell>
          <cell r="BB37">
            <v>4846.6213946536764</v>
          </cell>
          <cell r="BC37">
            <v>4846.6213946536764</v>
          </cell>
          <cell r="BD37">
            <v>4846.6213946536764</v>
          </cell>
          <cell r="BE37">
            <v>4846.6213946536764</v>
          </cell>
          <cell r="BF37">
            <v>4846.6213946536764</v>
          </cell>
          <cell r="BG37">
            <v>4846.6213946536764</v>
          </cell>
          <cell r="BH37">
            <v>4846.6213946536764</v>
          </cell>
          <cell r="BI37">
            <v>4846.6213946536764</v>
          </cell>
          <cell r="BJ37">
            <v>4846.6213946536764</v>
          </cell>
          <cell r="BK37">
            <v>4846.6213946536764</v>
          </cell>
          <cell r="BL37">
            <v>4846.6213946536764</v>
          </cell>
          <cell r="BM37">
            <v>4846.6213946536764</v>
          </cell>
          <cell r="BN37">
            <v>4846.6213946536764</v>
          </cell>
          <cell r="BO37">
            <v>4846.6213946536764</v>
          </cell>
        </row>
        <row r="42">
          <cell r="AI42">
            <v>-16866.685781467972</v>
          </cell>
          <cell r="AJ42">
            <v>-16866.685781467972</v>
          </cell>
          <cell r="AK42">
            <v>-16866.685781467972</v>
          </cell>
          <cell r="AL42">
            <v>-16866.685781467972</v>
          </cell>
          <cell r="AM42">
            <v>-16866.685781467972</v>
          </cell>
          <cell r="AN42">
            <v>-16866.685781467972</v>
          </cell>
          <cell r="AO42">
            <v>-16866.685781467972</v>
          </cell>
          <cell r="AP42">
            <v>-16866.685781467972</v>
          </cell>
          <cell r="AQ42">
            <v>-16866.685781467972</v>
          </cell>
          <cell r="AR42">
            <v>-16866.685781467972</v>
          </cell>
          <cell r="AS42">
            <v>-16866.685781467972</v>
          </cell>
          <cell r="AT42">
            <v>-16866.685781467972</v>
          </cell>
          <cell r="AU42">
            <v>-16866.685781467972</v>
          </cell>
          <cell r="AV42">
            <v>-16866.685781467972</v>
          </cell>
          <cell r="AW42">
            <v>-16866.685781467972</v>
          </cell>
          <cell r="AX42">
            <v>-16866.685781467972</v>
          </cell>
          <cell r="AY42">
            <v>-16866.685781467972</v>
          </cell>
          <cell r="AZ42">
            <v>-16866.685781467972</v>
          </cell>
          <cell r="BA42">
            <v>-16866.685781467972</v>
          </cell>
          <cell r="BB42">
            <v>-16866.685781467972</v>
          </cell>
          <cell r="BC42">
            <v>-16866.685781467972</v>
          </cell>
          <cell r="BD42">
            <v>-16866.685781467972</v>
          </cell>
          <cell r="BE42">
            <v>-16866.685781467972</v>
          </cell>
          <cell r="BF42">
            <v>-16866.685781467972</v>
          </cell>
          <cell r="BG42">
            <v>-16866.685781467972</v>
          </cell>
          <cell r="BH42">
            <v>-16866.685781467972</v>
          </cell>
          <cell r="BI42">
            <v>-16866.685781467972</v>
          </cell>
          <cell r="BJ42">
            <v>-16866.685781467972</v>
          </cell>
          <cell r="BK42">
            <v>-16866.685781467972</v>
          </cell>
          <cell r="BL42">
            <v>-16866.685781467972</v>
          </cell>
          <cell r="BM42">
            <v>-16866.685781467972</v>
          </cell>
          <cell r="BN42">
            <v>-16866.685781467972</v>
          </cell>
          <cell r="BO42">
            <v>-16866.685781467972</v>
          </cell>
        </row>
        <row r="50">
          <cell r="G50">
            <v>2.7655459746661304</v>
          </cell>
        </row>
        <row r="55">
          <cell r="AI55">
            <v>251.29650558571467</v>
          </cell>
          <cell r="AJ55">
            <v>251.29650558571467</v>
          </cell>
          <cell r="AK55">
            <v>251.29650558571467</v>
          </cell>
          <cell r="AL55">
            <v>251.29650558571467</v>
          </cell>
          <cell r="AM55">
            <v>251.29650558571467</v>
          </cell>
          <cell r="AN55">
            <v>251.29650558571467</v>
          </cell>
          <cell r="AO55">
            <v>251.29650558571467</v>
          </cell>
          <cell r="AP55">
            <v>251.29650558571467</v>
          </cell>
          <cell r="AQ55">
            <v>251.29650558571467</v>
          </cell>
          <cell r="AR55">
            <v>251.29650558571467</v>
          </cell>
          <cell r="AS55">
            <v>251.29650558571467</v>
          </cell>
          <cell r="AT55">
            <v>251.29650558571467</v>
          </cell>
          <cell r="AU55">
            <v>251.29650558571467</v>
          </cell>
          <cell r="AV55">
            <v>251.29650558571467</v>
          </cell>
          <cell r="AW55">
            <v>251.29650558571467</v>
          </cell>
          <cell r="AX55">
            <v>251.29650558571467</v>
          </cell>
          <cell r="AY55">
            <v>251.29650558571467</v>
          </cell>
          <cell r="AZ55">
            <v>251.29650558571467</v>
          </cell>
          <cell r="BA55">
            <v>251.29650558571467</v>
          </cell>
          <cell r="BB55">
            <v>251.29650558571467</v>
          </cell>
          <cell r="BC55">
            <v>251.29650558571467</v>
          </cell>
          <cell r="BD55">
            <v>251.29650558571467</v>
          </cell>
          <cell r="BE55">
            <v>251.29650558571467</v>
          </cell>
          <cell r="BF55">
            <v>251.29650558571467</v>
          </cell>
          <cell r="BG55">
            <v>251.29650558571467</v>
          </cell>
          <cell r="BH55">
            <v>251.29650558571467</v>
          </cell>
          <cell r="BI55">
            <v>251.29650558571467</v>
          </cell>
          <cell r="BJ55">
            <v>251.29650558571467</v>
          </cell>
          <cell r="BK55">
            <v>251.29650558571467</v>
          </cell>
          <cell r="BL55">
            <v>251.29650558571467</v>
          </cell>
          <cell r="BM55">
            <v>251.29650558571467</v>
          </cell>
          <cell r="BN55">
            <v>251.29650558571467</v>
          </cell>
          <cell r="BO55">
            <v>251.29650558571467</v>
          </cell>
        </row>
        <row r="63">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cell r="AS63">
            <v>0</v>
          </cell>
          <cell r="AT63">
            <v>0</v>
          </cell>
          <cell r="AU63">
            <v>0</v>
          </cell>
          <cell r="AV63">
            <v>0</v>
          </cell>
          <cell r="AW63">
            <v>0</v>
          </cell>
          <cell r="AX63">
            <v>0</v>
          </cell>
          <cell r="AY63">
            <v>0</v>
          </cell>
          <cell r="AZ63">
            <v>0</v>
          </cell>
          <cell r="BA63">
            <v>0</v>
          </cell>
          <cell r="BB63">
            <v>0</v>
          </cell>
          <cell r="BC63">
            <v>0</v>
          </cell>
          <cell r="BD63">
            <v>0</v>
          </cell>
          <cell r="BE63">
            <v>0</v>
          </cell>
          <cell r="BF63">
            <v>0</v>
          </cell>
          <cell r="BG63">
            <v>0</v>
          </cell>
          <cell r="BH63">
            <v>0</v>
          </cell>
          <cell r="BI63">
            <v>0</v>
          </cell>
          <cell r="BJ63">
            <v>0</v>
          </cell>
          <cell r="BK63">
            <v>0</v>
          </cell>
          <cell r="BL63">
            <v>0</v>
          </cell>
          <cell r="BM63">
            <v>0</v>
          </cell>
          <cell r="BN63">
            <v>0</v>
          </cell>
          <cell r="BO63">
            <v>0</v>
          </cell>
        </row>
        <row r="68">
          <cell r="AI68">
            <v>10738.537356357998</v>
          </cell>
          <cell r="AJ68">
            <v>10738.537356357998</v>
          </cell>
          <cell r="AK68">
            <v>10738.537356357998</v>
          </cell>
          <cell r="AL68">
            <v>10738.537356357998</v>
          </cell>
          <cell r="AM68">
            <v>10738.537356357998</v>
          </cell>
          <cell r="AN68">
            <v>10738.537356357998</v>
          </cell>
          <cell r="AO68">
            <v>10738.537356357998</v>
          </cell>
          <cell r="AP68">
            <v>10738.537356357998</v>
          </cell>
          <cell r="AQ68">
            <v>10738.537356357998</v>
          </cell>
          <cell r="AR68">
            <v>10738.537356357998</v>
          </cell>
          <cell r="AS68">
            <v>10738.537356357998</v>
          </cell>
          <cell r="AT68">
            <v>10738.537356357998</v>
          </cell>
          <cell r="AU68">
            <v>10738.537356357998</v>
          </cell>
          <cell r="AV68">
            <v>10738.537356357998</v>
          </cell>
          <cell r="AW68">
            <v>10738.537356357998</v>
          </cell>
          <cell r="AX68">
            <v>10738.537356357998</v>
          </cell>
          <cell r="AY68">
            <v>10738.537356357998</v>
          </cell>
          <cell r="AZ68">
            <v>10738.537356357998</v>
          </cell>
          <cell r="BA68">
            <v>10738.537356357998</v>
          </cell>
          <cell r="BB68">
            <v>10738.537356357998</v>
          </cell>
          <cell r="BC68">
            <v>10738.537356357998</v>
          </cell>
          <cell r="BD68">
            <v>10738.537356357998</v>
          </cell>
          <cell r="BE68">
            <v>10738.537356357998</v>
          </cell>
          <cell r="BF68">
            <v>10738.537356357998</v>
          </cell>
          <cell r="BG68">
            <v>10738.537356357998</v>
          </cell>
          <cell r="BH68">
            <v>10738.537356357998</v>
          </cell>
          <cell r="BI68">
            <v>10738.537356357998</v>
          </cell>
          <cell r="BJ68">
            <v>10738.537356357998</v>
          </cell>
          <cell r="BK68">
            <v>10738.537356357998</v>
          </cell>
          <cell r="BL68">
            <v>10738.537356357998</v>
          </cell>
          <cell r="BM68">
            <v>10738.537356357998</v>
          </cell>
          <cell r="BN68">
            <v>10738.537356357998</v>
          </cell>
          <cell r="BO68">
            <v>10738.537356357998</v>
          </cell>
        </row>
      </sheetData>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Aether">
      <a:dk1>
        <a:sysClr val="windowText" lastClr="000000"/>
      </a:dk1>
      <a:lt1>
        <a:sysClr val="window" lastClr="FFFFFF"/>
      </a:lt1>
      <a:dk2>
        <a:srgbClr val="44546A"/>
      </a:dk2>
      <a:lt2>
        <a:srgbClr val="0096C8"/>
      </a:lt2>
      <a:accent1>
        <a:srgbClr val="0096C8"/>
      </a:accent1>
      <a:accent2>
        <a:srgbClr val="ED7D31"/>
      </a:accent2>
      <a:accent3>
        <a:srgbClr val="A5A5A5"/>
      </a:accent3>
      <a:accent4>
        <a:srgbClr val="1F3864"/>
      </a:accent4>
      <a:accent5>
        <a:srgbClr val="954F72"/>
      </a:accent5>
      <a:accent6>
        <a:srgbClr val="C55A11"/>
      </a:accent6>
      <a:hlink>
        <a:srgbClr val="0070C0"/>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D33"/>
  <sheetViews>
    <sheetView workbookViewId="0">
      <selection activeCell="D10" sqref="D10"/>
    </sheetView>
  </sheetViews>
  <sheetFormatPr defaultRowHeight="15" x14ac:dyDescent="0.25"/>
  <cols>
    <col min="1" max="1" width="24.28515625" customWidth="1"/>
    <col min="2" max="2" width="18" customWidth="1"/>
    <col min="3" max="3" width="20.42578125" customWidth="1"/>
    <col min="4" max="4" width="37.28515625" customWidth="1"/>
  </cols>
  <sheetData>
    <row r="1" spans="1:4" ht="18.75" x14ac:dyDescent="0.3">
      <c r="A1" s="1" t="s">
        <v>903</v>
      </c>
    </row>
    <row r="3" spans="1:4" ht="15.75" x14ac:dyDescent="0.25">
      <c r="A3" s="20" t="s">
        <v>782</v>
      </c>
      <c r="B3" s="20"/>
      <c r="C3" s="20"/>
      <c r="D3" s="20"/>
    </row>
    <row r="4" spans="1:4" x14ac:dyDescent="0.25">
      <c r="A4" s="43" t="s">
        <v>780</v>
      </c>
      <c r="B4" s="43" t="s">
        <v>783</v>
      </c>
      <c r="C4" s="43" t="s">
        <v>784</v>
      </c>
      <c r="D4" s="43" t="s">
        <v>287</v>
      </c>
    </row>
    <row r="5" spans="1:4" x14ac:dyDescent="0.25">
      <c r="A5" t="s">
        <v>781</v>
      </c>
      <c r="B5" t="s">
        <v>785</v>
      </c>
      <c r="C5" t="s">
        <v>787</v>
      </c>
      <c r="D5" s="14"/>
    </row>
    <row r="6" spans="1:4" ht="30" x14ac:dyDescent="0.25">
      <c r="A6" t="s">
        <v>800</v>
      </c>
      <c r="B6" t="s">
        <v>785</v>
      </c>
      <c r="C6" t="s">
        <v>829</v>
      </c>
      <c r="D6" s="14" t="s">
        <v>801</v>
      </c>
    </row>
    <row r="7" spans="1:4" ht="75" x14ac:dyDescent="0.25">
      <c r="A7" t="s">
        <v>900</v>
      </c>
      <c r="B7" t="s">
        <v>785</v>
      </c>
      <c r="C7" t="s">
        <v>901</v>
      </c>
      <c r="D7" s="14" t="s">
        <v>902</v>
      </c>
    </row>
    <row r="8" spans="1:4" x14ac:dyDescent="0.25">
      <c r="A8" t="s">
        <v>905</v>
      </c>
      <c r="B8" t="s">
        <v>785</v>
      </c>
      <c r="C8" t="s">
        <v>906</v>
      </c>
      <c r="D8" s="14" t="s">
        <v>907</v>
      </c>
    </row>
    <row r="13" spans="1:4" ht="15.75" x14ac:dyDescent="0.25">
      <c r="A13" s="20" t="s">
        <v>786</v>
      </c>
      <c r="B13" s="20"/>
      <c r="C13" s="20"/>
      <c r="D13" s="20"/>
    </row>
    <row r="14" spans="1:4" x14ac:dyDescent="0.25">
      <c r="A14" s="43" t="s">
        <v>780</v>
      </c>
      <c r="B14" s="95" t="s">
        <v>789</v>
      </c>
      <c r="C14" s="95"/>
      <c r="D14" s="43" t="s">
        <v>287</v>
      </c>
    </row>
    <row r="15" spans="1:4" ht="51" customHeight="1" x14ac:dyDescent="0.25">
      <c r="A15" s="59" t="s">
        <v>11</v>
      </c>
      <c r="B15" s="91" t="s">
        <v>790</v>
      </c>
      <c r="C15" s="91"/>
      <c r="D15" s="30"/>
    </row>
    <row r="16" spans="1:4" ht="135" x14ac:dyDescent="0.25">
      <c r="A16" s="60" t="s">
        <v>321</v>
      </c>
      <c r="B16" s="91" t="s">
        <v>791</v>
      </c>
      <c r="C16" s="91"/>
      <c r="D16" s="61" t="s">
        <v>792</v>
      </c>
    </row>
    <row r="17" spans="1:4" ht="45" customHeight="1" x14ac:dyDescent="0.25">
      <c r="A17" s="64" t="s">
        <v>883</v>
      </c>
      <c r="B17" s="91" t="s">
        <v>884</v>
      </c>
      <c r="C17" s="91"/>
      <c r="D17" s="61"/>
    </row>
    <row r="18" spans="1:4" x14ac:dyDescent="0.25">
      <c r="A18" s="62" t="s">
        <v>12</v>
      </c>
      <c r="B18" s="91" t="s">
        <v>821</v>
      </c>
      <c r="C18" s="91"/>
      <c r="D18" s="30"/>
    </row>
    <row r="19" spans="1:4" ht="75" x14ac:dyDescent="0.25">
      <c r="A19" s="63" t="s">
        <v>886</v>
      </c>
      <c r="B19" s="91" t="s">
        <v>885</v>
      </c>
      <c r="C19" s="91"/>
      <c r="D19" s="87" t="s">
        <v>822</v>
      </c>
    </row>
    <row r="20" spans="1:4" ht="90" x14ac:dyDescent="0.25">
      <c r="A20" s="65" t="s">
        <v>146</v>
      </c>
      <c r="B20" s="91" t="s">
        <v>823</v>
      </c>
      <c r="C20" s="91"/>
      <c r="D20" s="61" t="s">
        <v>904</v>
      </c>
    </row>
    <row r="21" spans="1:4" ht="63" customHeight="1" x14ac:dyDescent="0.25">
      <c r="A21" s="65" t="s">
        <v>283</v>
      </c>
      <c r="B21" s="91" t="s">
        <v>824</v>
      </c>
      <c r="C21" s="91"/>
      <c r="D21" s="61" t="s">
        <v>825</v>
      </c>
    </row>
    <row r="22" spans="1:4" ht="46.5" customHeight="1" x14ac:dyDescent="0.25">
      <c r="A22" s="65" t="s">
        <v>788</v>
      </c>
      <c r="B22" s="91" t="s">
        <v>826</v>
      </c>
      <c r="C22" s="91"/>
      <c r="D22" s="30"/>
    </row>
    <row r="23" spans="1:4" x14ac:dyDescent="0.25">
      <c r="A23" s="65" t="s">
        <v>887</v>
      </c>
      <c r="B23" s="91" t="s">
        <v>827</v>
      </c>
      <c r="C23" s="91"/>
      <c r="D23" s="30"/>
    </row>
    <row r="24" spans="1:4" x14ac:dyDescent="0.25">
      <c r="A24" s="66" t="s">
        <v>888</v>
      </c>
      <c r="B24" s="91" t="s">
        <v>828</v>
      </c>
      <c r="C24" s="91"/>
      <c r="D24" s="30"/>
    </row>
    <row r="27" spans="1:4" ht="15.75" x14ac:dyDescent="0.25">
      <c r="A27" s="20" t="s">
        <v>793</v>
      </c>
      <c r="B27" s="93" t="s">
        <v>287</v>
      </c>
      <c r="C27" s="93"/>
    </row>
    <row r="28" spans="1:4" ht="50.25" customHeight="1" x14ac:dyDescent="0.25">
      <c r="A28" s="67" t="s">
        <v>330</v>
      </c>
      <c r="B28" s="94" t="s">
        <v>798</v>
      </c>
      <c r="C28" s="94"/>
    </row>
    <row r="29" spans="1:4" x14ac:dyDescent="0.25">
      <c r="A29" s="68" t="s">
        <v>794</v>
      </c>
      <c r="B29" s="92"/>
      <c r="C29" s="92"/>
    </row>
    <row r="30" spans="1:4" x14ac:dyDescent="0.25">
      <c r="A30" s="69" t="s">
        <v>795</v>
      </c>
      <c r="B30" s="92" t="s">
        <v>797</v>
      </c>
      <c r="C30" s="92"/>
    </row>
    <row r="31" spans="1:4" x14ac:dyDescent="0.25">
      <c r="A31" s="70" t="s">
        <v>799</v>
      </c>
      <c r="B31" s="89"/>
      <c r="C31" s="90"/>
    </row>
    <row r="32" spans="1:4" x14ac:dyDescent="0.25">
      <c r="A32" s="71" t="s">
        <v>805</v>
      </c>
      <c r="B32" s="89"/>
      <c r="C32" s="90"/>
    </row>
    <row r="33" spans="1:3" x14ac:dyDescent="0.25">
      <c r="A33" s="72" t="s">
        <v>806</v>
      </c>
      <c r="B33" s="89"/>
      <c r="C33" s="90"/>
    </row>
  </sheetData>
  <mergeCells count="18">
    <mergeCell ref="B19:C19"/>
    <mergeCell ref="B17:C17"/>
    <mergeCell ref="B20:C20"/>
    <mergeCell ref="B21:C21"/>
    <mergeCell ref="B14:C14"/>
    <mergeCell ref="B15:C15"/>
    <mergeCell ref="B16:C16"/>
    <mergeCell ref="B18:C18"/>
    <mergeCell ref="B31:C31"/>
    <mergeCell ref="B32:C32"/>
    <mergeCell ref="B33:C33"/>
    <mergeCell ref="B22:C22"/>
    <mergeCell ref="B23:C23"/>
    <mergeCell ref="B24:C24"/>
    <mergeCell ref="B30:C30"/>
    <mergeCell ref="B27:C27"/>
    <mergeCell ref="B28:C28"/>
    <mergeCell ref="B29:C29"/>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O221"/>
  <sheetViews>
    <sheetView workbookViewId="0">
      <selection activeCell="I54" sqref="I54"/>
    </sheetView>
  </sheetViews>
  <sheetFormatPr defaultRowHeight="15" x14ac:dyDescent="0.25"/>
  <cols>
    <col min="1" max="1" width="19.42578125" customWidth="1"/>
    <col min="2" max="2" width="33.140625" customWidth="1"/>
    <col min="3" max="3" width="27.7109375" customWidth="1"/>
    <col min="4" max="4" width="27.5703125" customWidth="1"/>
    <col min="5" max="5" width="24.42578125" customWidth="1"/>
    <col min="6" max="6" width="9" customWidth="1"/>
    <col min="7" max="7" width="16.42578125" customWidth="1"/>
    <col min="8" max="8" width="9.85546875" customWidth="1"/>
  </cols>
  <sheetData>
    <row r="1" spans="1:41" ht="18.75" x14ac:dyDescent="0.3">
      <c r="A1" s="1" t="s">
        <v>147</v>
      </c>
    </row>
    <row r="3" spans="1:41" s="19" customFormat="1" ht="29.25" customHeight="1" x14ac:dyDescent="0.25">
      <c r="A3" s="17" t="s">
        <v>8</v>
      </c>
      <c r="B3" s="17" t="s">
        <v>318</v>
      </c>
      <c r="C3" s="17" t="s">
        <v>320</v>
      </c>
      <c r="D3" s="17" t="s">
        <v>153</v>
      </c>
      <c r="E3" s="17" t="s">
        <v>154</v>
      </c>
      <c r="F3" s="17" t="s">
        <v>9</v>
      </c>
      <c r="G3" s="17" t="s">
        <v>0</v>
      </c>
      <c r="H3" s="18" t="s">
        <v>853</v>
      </c>
      <c r="I3" s="18">
        <v>2018</v>
      </c>
      <c r="J3" s="18">
        <v>2019</v>
      </c>
      <c r="K3" s="18">
        <v>2020</v>
      </c>
      <c r="L3" s="18">
        <v>2021</v>
      </c>
      <c r="M3" s="18">
        <v>2022</v>
      </c>
      <c r="N3" s="18">
        <v>2023</v>
      </c>
      <c r="O3" s="18">
        <v>2024</v>
      </c>
      <c r="P3" s="18">
        <v>2025</v>
      </c>
      <c r="Q3" s="18">
        <v>2026</v>
      </c>
      <c r="R3" s="18">
        <v>2027</v>
      </c>
      <c r="S3" s="18">
        <v>2028</v>
      </c>
      <c r="T3" s="18">
        <v>2029</v>
      </c>
      <c r="U3" s="18">
        <v>2030</v>
      </c>
      <c r="V3" s="18">
        <v>2031</v>
      </c>
      <c r="W3" s="18">
        <v>2032</v>
      </c>
      <c r="X3" s="18">
        <v>2033</v>
      </c>
      <c r="Y3" s="18">
        <v>2034</v>
      </c>
      <c r="Z3" s="18">
        <v>2035</v>
      </c>
      <c r="AA3" s="18">
        <v>2036</v>
      </c>
      <c r="AB3" s="18">
        <v>2037</v>
      </c>
      <c r="AC3" s="18">
        <v>2038</v>
      </c>
      <c r="AD3" s="18">
        <v>2039</v>
      </c>
      <c r="AE3" s="18">
        <v>2040</v>
      </c>
      <c r="AF3" s="18">
        <v>2041</v>
      </c>
      <c r="AG3" s="18">
        <v>2042</v>
      </c>
      <c r="AH3" s="18">
        <v>2043</v>
      </c>
      <c r="AI3" s="18">
        <v>2044</v>
      </c>
      <c r="AJ3" s="18">
        <v>2045</v>
      </c>
      <c r="AK3" s="18">
        <v>2046</v>
      </c>
      <c r="AL3" s="18">
        <v>2047</v>
      </c>
      <c r="AM3" s="18">
        <v>2048</v>
      </c>
      <c r="AN3" s="18">
        <v>2049</v>
      </c>
      <c r="AO3" s="18">
        <v>2050</v>
      </c>
    </row>
    <row r="4" spans="1:41" x14ac:dyDescent="0.25">
      <c r="A4" t="str">
        <f>'IPCC Categories'!A5</f>
        <v>3A Livestock</v>
      </c>
      <c r="B4" t="str">
        <f>'IPCC Categories'!B5</f>
        <v>3A1 Enteric fermentation (CH4)</v>
      </c>
      <c r="C4" t="str">
        <f>'Activity data'!C5</f>
        <v>3A1ai Dairy cattle</v>
      </c>
      <c r="D4" t="str">
        <f>'Activity data'!D5</f>
        <v>TMR</v>
      </c>
      <c r="E4" t="str">
        <f>'IPCC Categories'!F32&amp;" EF"</f>
        <v>Enteric fermentation EF</v>
      </c>
      <c r="F4" t="s">
        <v>125</v>
      </c>
      <c r="G4" t="s">
        <v>148</v>
      </c>
      <c r="H4" s="27">
        <f>SUM('Aggregated EF'!H8:H10)</f>
        <v>122.43852137301079</v>
      </c>
    </row>
    <row r="5" spans="1:41" x14ac:dyDescent="0.25">
      <c r="A5" t="str">
        <f>A4</f>
        <v>3A Livestock</v>
      </c>
      <c r="B5" t="str">
        <f>B4</f>
        <v>3A1 Enteric fermentation (CH4)</v>
      </c>
      <c r="C5" t="str">
        <f>'Activity data'!C6</f>
        <v>3A1ai Dairy cattle</v>
      </c>
      <c r="D5" t="str">
        <f>'Activity data'!D6</f>
        <v>Pasture</v>
      </c>
      <c r="E5" t="str">
        <f t="shared" ref="E5:E17" si="0">E4</f>
        <v>Enteric fermentation EF</v>
      </c>
      <c r="F5" t="str">
        <f>F4</f>
        <v>CH4</v>
      </c>
      <c r="G5" t="str">
        <f>G4</f>
        <v>kg CH4/head/yr</v>
      </c>
      <c r="H5" s="27">
        <f>SUM('Aggregated EF'!H5:H7)</f>
        <v>118.18939556126456</v>
      </c>
    </row>
    <row r="6" spans="1:41" x14ac:dyDescent="0.25">
      <c r="A6" t="str">
        <f t="shared" ref="A6:A69" si="1">A5</f>
        <v>3A Livestock</v>
      </c>
      <c r="B6" t="str">
        <f t="shared" ref="B6:B17" si="2">B5</f>
        <v>3A1 Enteric fermentation (CH4)</v>
      </c>
      <c r="C6" t="str">
        <f>'Activity data'!C7</f>
        <v>3A1aii Other cattle</v>
      </c>
      <c r="D6" t="str">
        <f>'Activity data'!D7</f>
        <v>Non-lactating</v>
      </c>
      <c r="E6" t="str">
        <f t="shared" si="0"/>
        <v>Enteric fermentation EF</v>
      </c>
      <c r="F6" t="str">
        <f>F5</f>
        <v>CH4</v>
      </c>
      <c r="G6" t="str">
        <f>G5</f>
        <v>kg CH4/head/yr</v>
      </c>
      <c r="H6" s="27">
        <f>SUM('Aggregated EF'!H12:H21)</f>
        <v>43.047261887683739</v>
      </c>
    </row>
    <row r="7" spans="1:41" x14ac:dyDescent="0.25">
      <c r="A7" t="str">
        <f t="shared" si="1"/>
        <v>3A Livestock</v>
      </c>
      <c r="B7" t="str">
        <f t="shared" si="2"/>
        <v>3A1 Enteric fermentation (CH4)</v>
      </c>
      <c r="C7" t="str">
        <f>'Activity data'!C8</f>
        <v>3A1aii Other cattle</v>
      </c>
      <c r="D7" t="str">
        <f>'Activity data'!D8</f>
        <v>Commercial</v>
      </c>
      <c r="E7" t="str">
        <f>E5</f>
        <v>Enteric fermentation EF</v>
      </c>
      <c r="F7" t="str">
        <f>F5</f>
        <v>CH4</v>
      </c>
      <c r="G7" t="str">
        <f>G5</f>
        <v>kg CH4/head/yr</v>
      </c>
      <c r="H7" s="27">
        <f>SUM('Aggregated EF'!H22:H24,'Aggregated EF'!H26:H28)</f>
        <v>77.790815813890134</v>
      </c>
    </row>
    <row r="8" spans="1:41" x14ac:dyDescent="0.25">
      <c r="A8" t="str">
        <f t="shared" si="1"/>
        <v>3A Livestock</v>
      </c>
      <c r="B8" t="str">
        <f t="shared" si="2"/>
        <v>3A1 Enteric fermentation (CH4)</v>
      </c>
      <c r="C8" t="str">
        <f>'Activity data'!C9</f>
        <v>3A1aii Other cattle</v>
      </c>
      <c r="D8" t="str">
        <f>'Activity data'!D9</f>
        <v>Subsistence</v>
      </c>
      <c r="E8" t="str">
        <f t="shared" si="0"/>
        <v>Enteric fermentation EF</v>
      </c>
      <c r="F8" t="str">
        <f t="shared" ref="F8:F35" si="3">F7</f>
        <v>CH4</v>
      </c>
      <c r="G8" t="str">
        <f t="shared" ref="G8:G17" si="4">G7</f>
        <v>kg CH4/head/yr</v>
      </c>
      <c r="H8" s="27">
        <f>SUM('Aggregated EF'!H29:H34)</f>
        <v>61.771690572163472</v>
      </c>
    </row>
    <row r="9" spans="1:41" x14ac:dyDescent="0.25">
      <c r="A9" t="str">
        <f t="shared" si="1"/>
        <v>3A Livestock</v>
      </c>
      <c r="B9" t="str">
        <f t="shared" si="2"/>
        <v>3A1 Enteric fermentation (CH4)</v>
      </c>
      <c r="C9" t="str">
        <f>'Activity data'!C10</f>
        <v>3A1aii Other cattle</v>
      </c>
      <c r="D9" t="str">
        <f>'Activity data'!D10</f>
        <v>Feedlot</v>
      </c>
      <c r="E9" t="str">
        <f t="shared" si="0"/>
        <v>Enteric fermentation EF</v>
      </c>
      <c r="F9" t="str">
        <f t="shared" si="3"/>
        <v>CH4</v>
      </c>
      <c r="G9" t="str">
        <f t="shared" si="4"/>
        <v>kg CH4/head/yr</v>
      </c>
      <c r="H9" s="27">
        <f>'Aggregated EF'!H25</f>
        <v>58.9</v>
      </c>
    </row>
    <row r="10" spans="1:41" x14ac:dyDescent="0.25">
      <c r="A10" t="str">
        <f t="shared" si="1"/>
        <v>3A Livestock</v>
      </c>
      <c r="B10" t="str">
        <f t="shared" si="2"/>
        <v>3A1 Enteric fermentation (CH4)</v>
      </c>
      <c r="C10" t="str">
        <f>'Activity data'!C11</f>
        <v>3A1c Sheep</v>
      </c>
      <c r="D10" t="str">
        <f>'Activity data'!D11</f>
        <v>Commercial</v>
      </c>
      <c r="E10" t="str">
        <f t="shared" si="0"/>
        <v>Enteric fermentation EF</v>
      </c>
      <c r="F10" t="str">
        <f t="shared" si="3"/>
        <v>CH4</v>
      </c>
      <c r="G10" t="str">
        <f t="shared" si="4"/>
        <v>kg CH4/head/yr</v>
      </c>
      <c r="H10" s="27">
        <f>SUM('Aggregated EF'!H36:H59)</f>
        <v>6.9715683106127573</v>
      </c>
    </row>
    <row r="11" spans="1:41" x14ac:dyDescent="0.25">
      <c r="A11" t="str">
        <f t="shared" si="1"/>
        <v>3A Livestock</v>
      </c>
      <c r="B11" t="str">
        <f t="shared" si="2"/>
        <v>3A1 Enteric fermentation (CH4)</v>
      </c>
      <c r="C11" t="str">
        <f>'Activity data'!C12</f>
        <v>3A1c Sheep</v>
      </c>
      <c r="D11" t="str">
        <f>'Activity data'!D12</f>
        <v>Subsistence</v>
      </c>
      <c r="E11" t="str">
        <f t="shared" si="0"/>
        <v>Enteric fermentation EF</v>
      </c>
      <c r="F11" t="str">
        <f t="shared" si="3"/>
        <v>CH4</v>
      </c>
      <c r="G11" t="str">
        <f t="shared" si="4"/>
        <v>kg CH4/head/yr</v>
      </c>
      <c r="H11" s="27">
        <f>SUM('Aggregated EF'!H60:H83)</f>
        <v>5.0562757874656858</v>
      </c>
    </row>
    <row r="12" spans="1:41" x14ac:dyDescent="0.25">
      <c r="A12" t="str">
        <f t="shared" si="1"/>
        <v>3A Livestock</v>
      </c>
      <c r="B12" t="str">
        <f t="shared" si="2"/>
        <v>3A1 Enteric fermentation (CH4)</v>
      </c>
      <c r="C12" t="str">
        <f>'Activity data'!C13</f>
        <v>3A1d Goats</v>
      </c>
      <c r="D12" t="str">
        <f>'Activity data'!D13</f>
        <v>Commercial</v>
      </c>
      <c r="E12" t="str">
        <f t="shared" si="0"/>
        <v>Enteric fermentation EF</v>
      </c>
      <c r="F12" t="str">
        <f t="shared" si="3"/>
        <v>CH4</v>
      </c>
      <c r="G12" t="str">
        <f t="shared" si="4"/>
        <v>kg CH4/head/yr</v>
      </c>
      <c r="H12" s="27">
        <f>SUM('Aggregated EF'!H85:H102)</f>
        <v>7.3127480970496874</v>
      </c>
    </row>
    <row r="13" spans="1:41" x14ac:dyDescent="0.25">
      <c r="A13" t="str">
        <f t="shared" si="1"/>
        <v>3A Livestock</v>
      </c>
      <c r="B13" t="str">
        <f t="shared" si="2"/>
        <v>3A1 Enteric fermentation (CH4)</v>
      </c>
      <c r="C13" t="str">
        <f>'Activity data'!C14</f>
        <v>3A1d Goats</v>
      </c>
      <c r="D13" t="str">
        <f>'Activity data'!D14</f>
        <v>Subsistence</v>
      </c>
      <c r="E13" t="str">
        <f t="shared" si="0"/>
        <v>Enteric fermentation EF</v>
      </c>
      <c r="F13" t="str">
        <f t="shared" si="3"/>
        <v>CH4</v>
      </c>
      <c r="G13" t="str">
        <f t="shared" si="4"/>
        <v>kg CH4/head/yr</v>
      </c>
      <c r="H13" s="27">
        <f>SUM('Aggregated EF'!H103:H108)</f>
        <v>5.5750300000000008</v>
      </c>
    </row>
    <row r="14" spans="1:41" x14ac:dyDescent="0.25">
      <c r="A14" t="str">
        <f t="shared" si="1"/>
        <v>3A Livestock</v>
      </c>
      <c r="B14" t="str">
        <f t="shared" si="2"/>
        <v>3A1 Enteric fermentation (CH4)</v>
      </c>
      <c r="C14" t="str">
        <f>'Activity data'!C15</f>
        <v>3A1f Horses</v>
      </c>
      <c r="D14" t="str">
        <f>'Activity data'!D15</f>
        <v>Horses</v>
      </c>
      <c r="E14" t="str">
        <f t="shared" si="0"/>
        <v>Enteric fermentation EF</v>
      </c>
      <c r="F14" t="str">
        <f t="shared" si="3"/>
        <v>CH4</v>
      </c>
      <c r="G14" t="str">
        <f t="shared" si="4"/>
        <v>kg CH4/head/yr</v>
      </c>
      <c r="H14" s="27">
        <f>'Aggregated EF'!H110</f>
        <v>18</v>
      </c>
    </row>
    <row r="15" spans="1:41" x14ac:dyDescent="0.25">
      <c r="A15" t="str">
        <f t="shared" si="1"/>
        <v>3A Livestock</v>
      </c>
      <c r="B15" t="str">
        <f t="shared" si="2"/>
        <v>3A1 Enteric fermentation (CH4)</v>
      </c>
      <c r="C15" t="str">
        <f>'Activity data'!C16</f>
        <v>3A1g Mules &amp; asses</v>
      </c>
      <c r="D15" t="str">
        <f>'Activity data'!D16</f>
        <v>Mules &amp; Asses</v>
      </c>
      <c r="E15" t="str">
        <f t="shared" si="0"/>
        <v>Enteric fermentation EF</v>
      </c>
      <c r="F15" t="str">
        <f t="shared" si="3"/>
        <v>CH4</v>
      </c>
      <c r="G15" t="str">
        <f t="shared" si="4"/>
        <v>kg CH4/head/yr</v>
      </c>
      <c r="H15" s="27">
        <f>'Aggregated EF'!H112</f>
        <v>10</v>
      </c>
    </row>
    <row r="16" spans="1:41" x14ac:dyDescent="0.25">
      <c r="A16" t="str">
        <f t="shared" si="1"/>
        <v>3A Livestock</v>
      </c>
      <c r="B16" t="str">
        <f t="shared" si="2"/>
        <v>3A1 Enteric fermentation (CH4)</v>
      </c>
      <c r="C16" t="str">
        <f>'Activity data'!C17</f>
        <v>3A1h Swine</v>
      </c>
      <c r="D16" t="str">
        <f>'Activity data'!D17</f>
        <v>Commercial</v>
      </c>
      <c r="E16" t="str">
        <f t="shared" si="0"/>
        <v>Enteric fermentation EF</v>
      </c>
      <c r="F16" t="str">
        <f t="shared" si="3"/>
        <v>CH4</v>
      </c>
      <c r="G16" t="str">
        <f t="shared" si="4"/>
        <v>kg CH4/head/yr</v>
      </c>
      <c r="H16" s="27">
        <f>SUM('Aggregated EF'!H114:H123)</f>
        <v>1.1111400000000002</v>
      </c>
    </row>
    <row r="17" spans="1:8" x14ac:dyDescent="0.25">
      <c r="A17" t="str">
        <f t="shared" si="1"/>
        <v>3A Livestock</v>
      </c>
      <c r="B17" t="str">
        <f t="shared" si="2"/>
        <v>3A1 Enteric fermentation (CH4)</v>
      </c>
      <c r="C17" t="str">
        <f>'Activity data'!C18</f>
        <v>3A1h Swine</v>
      </c>
      <c r="D17" t="str">
        <f>'Activity data'!D18</f>
        <v>Subsistence</v>
      </c>
      <c r="E17" t="str">
        <f t="shared" si="0"/>
        <v>Enteric fermentation EF</v>
      </c>
      <c r="F17" t="str">
        <f t="shared" si="3"/>
        <v>CH4</v>
      </c>
      <c r="G17" t="str">
        <f t="shared" si="4"/>
        <v>kg CH4/head/yr</v>
      </c>
      <c r="H17" s="27">
        <f>SUM('Aggregated EF'!H124:H133)</f>
        <v>1.1290500000000001</v>
      </c>
    </row>
    <row r="18" spans="1:8" x14ac:dyDescent="0.25">
      <c r="A18" t="str">
        <f t="shared" si="1"/>
        <v>3A Livestock</v>
      </c>
      <c r="B18" t="str">
        <f>'IPCC Categories'!B12</f>
        <v>3A2 Manure management (CH4)</v>
      </c>
      <c r="C18" t="str">
        <f>'Activity data'!C5</f>
        <v>3A1ai Dairy cattle</v>
      </c>
      <c r="D18" t="str">
        <f>'Activity data'!D5</f>
        <v>TMR</v>
      </c>
      <c r="E18" t="str">
        <f>'IPCC Categories'!F33&amp;" EF"</f>
        <v>Manure management EF</v>
      </c>
      <c r="F18" t="str">
        <f t="shared" si="3"/>
        <v>CH4</v>
      </c>
      <c r="G18" t="s">
        <v>148</v>
      </c>
      <c r="H18" s="27">
        <f>SUM('Aggregated EF'!N8:N10)</f>
        <v>12.458616998501393</v>
      </c>
    </row>
    <row r="19" spans="1:8" x14ac:dyDescent="0.25">
      <c r="A19" t="str">
        <f t="shared" si="1"/>
        <v>3A Livestock</v>
      </c>
      <c r="B19" t="str">
        <f>B18</f>
        <v>3A2 Manure management (CH4)</v>
      </c>
      <c r="C19" t="str">
        <f>'Activity data'!C6</f>
        <v>3A1ai Dairy cattle</v>
      </c>
      <c r="D19" t="str">
        <f>'Activity data'!D6</f>
        <v>Pasture</v>
      </c>
      <c r="E19" t="str">
        <f>E18</f>
        <v>Manure management EF</v>
      </c>
      <c r="F19" t="str">
        <f t="shared" si="3"/>
        <v>CH4</v>
      </c>
      <c r="G19" t="s">
        <v>148</v>
      </c>
      <c r="H19" s="27">
        <f>SUM('Aggregated EF'!N5:N7)</f>
        <v>4.2839434810533081</v>
      </c>
    </row>
    <row r="20" spans="1:8" x14ac:dyDescent="0.25">
      <c r="A20" t="str">
        <f t="shared" si="1"/>
        <v>3A Livestock</v>
      </c>
      <c r="B20" t="str">
        <f t="shared" ref="B20:B35" si="5">B19</f>
        <v>3A2 Manure management (CH4)</v>
      </c>
      <c r="C20" t="str">
        <f>'Activity data'!C7</f>
        <v>3A1aii Other cattle</v>
      </c>
      <c r="D20" t="str">
        <f>'Activity data'!D7</f>
        <v>Non-lactating</v>
      </c>
      <c r="E20" t="str">
        <f>E19</f>
        <v>Manure management EF</v>
      </c>
      <c r="F20" t="str">
        <f t="shared" si="3"/>
        <v>CH4</v>
      </c>
      <c r="G20" t="s">
        <v>148</v>
      </c>
      <c r="H20" s="27">
        <f>SUM('Aggregated EF'!N12:N21)</f>
        <v>0.71275396941061553</v>
      </c>
    </row>
    <row r="21" spans="1:8" x14ac:dyDescent="0.25">
      <c r="A21" t="str">
        <f t="shared" si="1"/>
        <v>3A Livestock</v>
      </c>
      <c r="B21" t="str">
        <f t="shared" si="5"/>
        <v>3A2 Manure management (CH4)</v>
      </c>
      <c r="C21" t="str">
        <f>'Activity data'!C8</f>
        <v>3A1aii Other cattle</v>
      </c>
      <c r="D21" t="str">
        <f>'Activity data'!D8</f>
        <v>Commercial</v>
      </c>
      <c r="E21" t="str">
        <f>E19</f>
        <v>Manure management EF</v>
      </c>
      <c r="F21" t="str">
        <f>F19</f>
        <v>CH4</v>
      </c>
      <c r="G21" t="s">
        <v>148</v>
      </c>
      <c r="H21" s="27">
        <f>SUM('Aggregated EF'!N22:N24,'Aggregated EF'!N26:N28)</f>
        <v>1.5931745829252119E-2</v>
      </c>
    </row>
    <row r="22" spans="1:8" x14ac:dyDescent="0.25">
      <c r="A22" t="str">
        <f t="shared" si="1"/>
        <v>3A Livestock</v>
      </c>
      <c r="B22" t="str">
        <f t="shared" si="5"/>
        <v>3A2 Manure management (CH4)</v>
      </c>
      <c r="C22" t="str">
        <f>'Activity data'!C9</f>
        <v>3A1aii Other cattle</v>
      </c>
      <c r="D22" t="str">
        <f>'Activity data'!D9</f>
        <v>Subsistence</v>
      </c>
      <c r="E22" t="str">
        <f t="shared" ref="E22:E56" si="6">E21</f>
        <v>Manure management EF</v>
      </c>
      <c r="F22" t="str">
        <f t="shared" si="3"/>
        <v>CH4</v>
      </c>
      <c r="G22" t="s">
        <v>148</v>
      </c>
      <c r="H22" s="27">
        <f>SUM('Aggregated EF'!N29:N34)</f>
        <v>1.3196902890530698E-2</v>
      </c>
    </row>
    <row r="23" spans="1:8" x14ac:dyDescent="0.25">
      <c r="A23" t="str">
        <f t="shared" si="1"/>
        <v>3A Livestock</v>
      </c>
      <c r="B23" t="str">
        <f t="shared" si="5"/>
        <v>3A2 Manure management (CH4)</v>
      </c>
      <c r="C23" t="str">
        <f>'Activity data'!C10</f>
        <v>3A1aii Other cattle</v>
      </c>
      <c r="D23" t="str">
        <f>'Activity data'!D10</f>
        <v>Feedlot</v>
      </c>
      <c r="E23" t="str">
        <f t="shared" si="6"/>
        <v>Manure management EF</v>
      </c>
      <c r="F23" t="str">
        <f t="shared" si="3"/>
        <v>CH4</v>
      </c>
      <c r="G23" t="s">
        <v>148</v>
      </c>
      <c r="H23" s="27">
        <f>'Aggregated EF'!N25</f>
        <v>0.87</v>
      </c>
    </row>
    <row r="24" spans="1:8" x14ac:dyDescent="0.25">
      <c r="A24" t="str">
        <f t="shared" si="1"/>
        <v>3A Livestock</v>
      </c>
      <c r="B24" t="str">
        <f t="shared" si="5"/>
        <v>3A2 Manure management (CH4)</v>
      </c>
      <c r="C24" t="str">
        <f>'Activity data'!C11</f>
        <v>3A1c Sheep</v>
      </c>
      <c r="D24" t="str">
        <f>'Activity data'!D11</f>
        <v>Commercial</v>
      </c>
      <c r="E24" t="str">
        <f t="shared" si="6"/>
        <v>Manure management EF</v>
      </c>
      <c r="F24" t="str">
        <f t="shared" si="3"/>
        <v>CH4</v>
      </c>
      <c r="G24" t="s">
        <v>148</v>
      </c>
      <c r="H24" s="27">
        <f>SUM('Aggregated EF'!N36:N59)</f>
        <v>1.8957461499092729E-3</v>
      </c>
    </row>
    <row r="25" spans="1:8" x14ac:dyDescent="0.25">
      <c r="A25" t="str">
        <f t="shared" si="1"/>
        <v>3A Livestock</v>
      </c>
      <c r="B25" t="str">
        <f t="shared" si="5"/>
        <v>3A2 Manure management (CH4)</v>
      </c>
      <c r="C25" t="str">
        <f>'Activity data'!C12</f>
        <v>3A1c Sheep</v>
      </c>
      <c r="D25" t="str">
        <f>'Activity data'!D12</f>
        <v>Subsistence</v>
      </c>
      <c r="E25" t="str">
        <f t="shared" si="6"/>
        <v>Manure management EF</v>
      </c>
      <c r="F25" t="str">
        <f t="shared" si="3"/>
        <v>CH4</v>
      </c>
      <c r="G25" t="s">
        <v>148</v>
      </c>
      <c r="H25" s="27">
        <f>SUM('Aggregated EF'!N60:N83)</f>
        <v>1.4489063415995907E-3</v>
      </c>
    </row>
    <row r="26" spans="1:8" x14ac:dyDescent="0.25">
      <c r="A26" t="str">
        <f t="shared" si="1"/>
        <v>3A Livestock</v>
      </c>
      <c r="B26" t="str">
        <f t="shared" si="5"/>
        <v>3A2 Manure management (CH4)</v>
      </c>
      <c r="C26" t="str">
        <f>'Activity data'!C13</f>
        <v>3A1d Goats</v>
      </c>
      <c r="D26" t="str">
        <f>'Activity data'!D13</f>
        <v>Commercial</v>
      </c>
      <c r="E26" t="str">
        <f t="shared" si="6"/>
        <v>Manure management EF</v>
      </c>
      <c r="F26" t="str">
        <f t="shared" si="3"/>
        <v>CH4</v>
      </c>
      <c r="G26" t="s">
        <v>148</v>
      </c>
      <c r="H26" s="27">
        <f>SUM('Aggregated EF'!N85:N102)</f>
        <v>7.6349095476515513E-3</v>
      </c>
    </row>
    <row r="27" spans="1:8" x14ac:dyDescent="0.25">
      <c r="A27" t="str">
        <f t="shared" si="1"/>
        <v>3A Livestock</v>
      </c>
      <c r="B27" t="str">
        <f t="shared" si="5"/>
        <v>3A2 Manure management (CH4)</v>
      </c>
      <c r="C27" t="str">
        <f>'Activity data'!C14</f>
        <v>3A1d Goats</v>
      </c>
      <c r="D27" t="str">
        <f>'Activity data'!D14</f>
        <v>Subsistence</v>
      </c>
      <c r="E27" t="str">
        <f t="shared" si="6"/>
        <v>Manure management EF</v>
      </c>
      <c r="F27" t="str">
        <f t="shared" si="3"/>
        <v>CH4</v>
      </c>
      <c r="G27" t="s">
        <v>148</v>
      </c>
      <c r="H27" s="27">
        <f>SUM('Aggregated EF'!N103:N108)</f>
        <v>6.6239999999999988E-3</v>
      </c>
    </row>
    <row r="28" spans="1:8" x14ac:dyDescent="0.25">
      <c r="A28" t="str">
        <f t="shared" si="1"/>
        <v>3A Livestock</v>
      </c>
      <c r="B28" t="str">
        <f t="shared" si="5"/>
        <v>3A2 Manure management (CH4)</v>
      </c>
      <c r="C28" t="str">
        <f>'Activity data'!C15</f>
        <v>3A1f Horses</v>
      </c>
      <c r="D28" t="str">
        <f>'Activity data'!D15</f>
        <v>Horses</v>
      </c>
      <c r="E28" t="str">
        <f t="shared" si="6"/>
        <v>Manure management EF</v>
      </c>
      <c r="F28" t="str">
        <f t="shared" si="3"/>
        <v>CH4</v>
      </c>
      <c r="G28" t="s">
        <v>148</v>
      </c>
      <c r="H28" s="27">
        <f>'Aggregated EF'!N110</f>
        <v>1.34E-2</v>
      </c>
    </row>
    <row r="29" spans="1:8" x14ac:dyDescent="0.25">
      <c r="A29" t="str">
        <f t="shared" si="1"/>
        <v>3A Livestock</v>
      </c>
      <c r="B29" t="str">
        <f t="shared" si="5"/>
        <v>3A2 Manure management (CH4)</v>
      </c>
      <c r="C29" t="str">
        <f>'Activity data'!C16</f>
        <v>3A1g Mules &amp; asses</v>
      </c>
      <c r="D29" t="str">
        <f>'Activity data'!D16</f>
        <v>Mules &amp; Asses</v>
      </c>
      <c r="E29" t="str">
        <f t="shared" si="6"/>
        <v>Manure management EF</v>
      </c>
      <c r="F29" t="str">
        <f t="shared" si="3"/>
        <v>CH4</v>
      </c>
      <c r="G29" t="s">
        <v>148</v>
      </c>
      <c r="H29" s="27">
        <f>'Aggregated EF'!N112</f>
        <v>4.4999999999999997E-3</v>
      </c>
    </row>
    <row r="30" spans="1:8" x14ac:dyDescent="0.25">
      <c r="A30" t="str">
        <f t="shared" si="1"/>
        <v>3A Livestock</v>
      </c>
      <c r="B30" t="str">
        <f t="shared" si="5"/>
        <v>3A2 Manure management (CH4)</v>
      </c>
      <c r="C30" t="str">
        <f>'Activity data'!C17</f>
        <v>3A1h Swine</v>
      </c>
      <c r="D30" t="str">
        <f>'Activity data'!D17</f>
        <v>Commercial</v>
      </c>
      <c r="E30" t="str">
        <f t="shared" si="6"/>
        <v>Manure management EF</v>
      </c>
      <c r="F30" t="str">
        <f t="shared" si="3"/>
        <v>CH4</v>
      </c>
      <c r="G30" t="s">
        <v>148</v>
      </c>
      <c r="H30" s="27">
        <f>SUM('Aggregated EF'!N114:N123)</f>
        <v>14.057009999999998</v>
      </c>
    </row>
    <row r="31" spans="1:8" x14ac:dyDescent="0.25">
      <c r="A31" t="str">
        <f t="shared" si="1"/>
        <v>3A Livestock</v>
      </c>
      <c r="B31" t="str">
        <f t="shared" si="5"/>
        <v>3A2 Manure management (CH4)</v>
      </c>
      <c r="C31" t="str">
        <f>'Activity data'!C18</f>
        <v>3A1h Swine</v>
      </c>
      <c r="D31" t="str">
        <f>'Activity data'!D18</f>
        <v>Subsistence</v>
      </c>
      <c r="E31" t="str">
        <f t="shared" si="6"/>
        <v>Manure management EF</v>
      </c>
      <c r="F31" t="str">
        <f t="shared" si="3"/>
        <v>CH4</v>
      </c>
      <c r="G31" t="s">
        <v>148</v>
      </c>
      <c r="H31" s="27">
        <f>SUM('Aggregated EF'!N124:N133)</f>
        <v>0.34509999999999996</v>
      </c>
    </row>
    <row r="32" spans="1:8" x14ac:dyDescent="0.25">
      <c r="A32" t="str">
        <f t="shared" si="1"/>
        <v>3A Livestock</v>
      </c>
      <c r="B32" t="str">
        <f t="shared" si="5"/>
        <v>3A2 Manure management (CH4)</v>
      </c>
      <c r="C32" t="str">
        <f>'Activity data'!C19</f>
        <v>3A2i Poultry</v>
      </c>
      <c r="D32" t="str">
        <f>'Activity data'!D19</f>
        <v>Commercial layers</v>
      </c>
      <c r="E32" t="str">
        <f t="shared" si="6"/>
        <v>Manure management EF</v>
      </c>
      <c r="F32" t="str">
        <f t="shared" si="3"/>
        <v>CH4</v>
      </c>
      <c r="G32" t="s">
        <v>148</v>
      </c>
      <c r="H32" s="27">
        <f>'Aggregated EF'!N136</f>
        <v>2.35E-2</v>
      </c>
    </row>
    <row r="33" spans="1:8" x14ac:dyDescent="0.25">
      <c r="A33" t="str">
        <f t="shared" si="1"/>
        <v>3A Livestock</v>
      </c>
      <c r="B33" t="str">
        <f t="shared" si="5"/>
        <v>3A2 Manure management (CH4)</v>
      </c>
      <c r="C33" t="str">
        <f>'Activity data'!C20</f>
        <v>3A2i Poultry</v>
      </c>
      <c r="D33" t="str">
        <f>'Activity data'!D20</f>
        <v>Commercial broilers</v>
      </c>
      <c r="E33" t="str">
        <f t="shared" si="6"/>
        <v>Manure management EF</v>
      </c>
      <c r="F33" t="str">
        <f t="shared" si="3"/>
        <v>CH4</v>
      </c>
      <c r="G33" t="s">
        <v>148</v>
      </c>
      <c r="H33" s="27">
        <f>'Aggregated EF'!N135</f>
        <v>2.35E-2</v>
      </c>
    </row>
    <row r="34" spans="1:8" x14ac:dyDescent="0.25">
      <c r="A34" t="str">
        <f t="shared" si="1"/>
        <v>3A Livestock</v>
      </c>
      <c r="B34" t="str">
        <f t="shared" si="5"/>
        <v>3A2 Manure management (CH4)</v>
      </c>
      <c r="C34" t="str">
        <f>'Activity data'!C21</f>
        <v>3A2i Poultry</v>
      </c>
      <c r="D34" t="str">
        <f>'Activity data'!D21</f>
        <v>Subsistence layers</v>
      </c>
      <c r="E34" t="str">
        <f t="shared" si="6"/>
        <v>Manure management EF</v>
      </c>
      <c r="F34" t="str">
        <f t="shared" si="3"/>
        <v>CH4</v>
      </c>
      <c r="G34" t="s">
        <v>148</v>
      </c>
      <c r="H34" s="27">
        <f>'Aggregated EF'!N138</f>
        <v>2.35E-2</v>
      </c>
    </row>
    <row r="35" spans="1:8" x14ac:dyDescent="0.25">
      <c r="A35" t="str">
        <f t="shared" si="1"/>
        <v>3A Livestock</v>
      </c>
      <c r="B35" t="str">
        <f t="shared" si="5"/>
        <v>3A2 Manure management (CH4)</v>
      </c>
      <c r="C35" t="str">
        <f>'Activity data'!C22</f>
        <v>3A2i Poultry</v>
      </c>
      <c r="D35" t="str">
        <f>'Activity data'!D22</f>
        <v>Subsistence broilers</v>
      </c>
      <c r="E35" t="str">
        <f t="shared" si="6"/>
        <v>Manure management EF</v>
      </c>
      <c r="F35" t="str">
        <f t="shared" si="3"/>
        <v>CH4</v>
      </c>
      <c r="G35" t="s">
        <v>148</v>
      </c>
      <c r="H35" s="27">
        <f>'Aggregated EF'!N137</f>
        <v>2.35E-2</v>
      </c>
    </row>
    <row r="36" spans="1:8" x14ac:dyDescent="0.25">
      <c r="A36" t="str">
        <f t="shared" si="1"/>
        <v>3A Livestock</v>
      </c>
      <c r="B36" t="str">
        <f>'IPCC Categories'!B20</f>
        <v>3A2 Manure management (N2O)</v>
      </c>
      <c r="C36" t="str">
        <f>C18</f>
        <v>3A1ai Dairy cattle</v>
      </c>
      <c r="D36" t="str">
        <f t="shared" ref="D36:E37" si="7">D18</f>
        <v>TMR</v>
      </c>
      <c r="E36" t="str">
        <f t="shared" si="7"/>
        <v>Manure management EF</v>
      </c>
      <c r="F36" t="s">
        <v>143</v>
      </c>
      <c r="G36" t="s">
        <v>316</v>
      </c>
      <c r="H36" s="27">
        <f>SUM('Aggregated EF'!T8:T10)</f>
        <v>128.28236394776278</v>
      </c>
    </row>
    <row r="37" spans="1:8" x14ac:dyDescent="0.25">
      <c r="A37" t="str">
        <f t="shared" si="1"/>
        <v>3A Livestock</v>
      </c>
      <c r="B37" t="str">
        <f>B36</f>
        <v>3A2 Manure management (N2O)</v>
      </c>
      <c r="C37" t="str">
        <f>C19</f>
        <v>3A1ai Dairy cattle</v>
      </c>
      <c r="D37" t="str">
        <f t="shared" si="7"/>
        <v>Pasture</v>
      </c>
      <c r="E37" t="str">
        <f t="shared" si="7"/>
        <v>Manure management EF</v>
      </c>
      <c r="F37" t="str">
        <f>F36</f>
        <v>N2O</v>
      </c>
      <c r="G37" t="str">
        <f>G36</f>
        <v>kg N/head/yr</v>
      </c>
      <c r="H37" s="27">
        <f>SUM('Aggregated EF'!T5:T7)</f>
        <v>116.88195504174696</v>
      </c>
    </row>
    <row r="38" spans="1:8" x14ac:dyDescent="0.25">
      <c r="A38" t="str">
        <f t="shared" si="1"/>
        <v>3A Livestock</v>
      </c>
      <c r="B38" t="str">
        <f t="shared" ref="B38:B71" si="8">B37</f>
        <v>3A2 Manure management (N2O)</v>
      </c>
      <c r="C38" t="str">
        <f t="shared" ref="C38:E38" si="9">C20</f>
        <v>3A1aii Other cattle</v>
      </c>
      <c r="D38" t="str">
        <f t="shared" si="9"/>
        <v>Non-lactating</v>
      </c>
      <c r="E38" t="str">
        <f t="shared" si="9"/>
        <v>Manure management EF</v>
      </c>
      <c r="F38" t="str">
        <f t="shared" ref="F38:F53" si="10">F37</f>
        <v>N2O</v>
      </c>
      <c r="G38" t="str">
        <f t="shared" ref="G38:G53" si="11">G37</f>
        <v>kg N/head/yr</v>
      </c>
      <c r="H38" s="27">
        <f>SUM('Aggregated EF'!T12:T21)</f>
        <v>40.496928454397946</v>
      </c>
    </row>
    <row r="39" spans="1:8" x14ac:dyDescent="0.25">
      <c r="A39" t="str">
        <f t="shared" si="1"/>
        <v>3A Livestock</v>
      </c>
      <c r="B39" t="str">
        <f t="shared" si="8"/>
        <v>3A2 Manure management (N2O)</v>
      </c>
      <c r="C39" t="str">
        <f t="shared" ref="C39:E39" si="12">C21</f>
        <v>3A1aii Other cattle</v>
      </c>
      <c r="D39" t="str">
        <f t="shared" si="12"/>
        <v>Commercial</v>
      </c>
      <c r="E39" t="str">
        <f t="shared" si="12"/>
        <v>Manure management EF</v>
      </c>
      <c r="F39" t="str">
        <f t="shared" si="10"/>
        <v>N2O</v>
      </c>
      <c r="G39" t="str">
        <f t="shared" si="11"/>
        <v>kg N/head/yr</v>
      </c>
      <c r="H39" s="27">
        <f>SUM('Aggregated EF'!T22:T24,'Aggregated EF'!T26:T28)</f>
        <v>86.354881619987609</v>
      </c>
    </row>
    <row r="40" spans="1:8" x14ac:dyDescent="0.25">
      <c r="A40" t="str">
        <f t="shared" si="1"/>
        <v>3A Livestock</v>
      </c>
      <c r="B40" t="str">
        <f t="shared" si="8"/>
        <v>3A2 Manure management (N2O)</v>
      </c>
      <c r="C40" t="str">
        <f t="shared" ref="C40:E40" si="13">C22</f>
        <v>3A1aii Other cattle</v>
      </c>
      <c r="D40" t="str">
        <f t="shared" si="13"/>
        <v>Subsistence</v>
      </c>
      <c r="E40" t="str">
        <f t="shared" si="13"/>
        <v>Manure management EF</v>
      </c>
      <c r="F40" t="str">
        <f t="shared" si="10"/>
        <v>N2O</v>
      </c>
      <c r="G40" t="str">
        <f t="shared" si="11"/>
        <v>kg N/head/yr</v>
      </c>
      <c r="H40" s="27">
        <f>SUM('Aggregated EF'!T29:T34)</f>
        <v>64.633710943402036</v>
      </c>
    </row>
    <row r="41" spans="1:8" x14ac:dyDescent="0.25">
      <c r="A41" t="str">
        <f t="shared" si="1"/>
        <v>3A Livestock</v>
      </c>
      <c r="B41" t="str">
        <f t="shared" si="8"/>
        <v>3A2 Manure management (N2O)</v>
      </c>
      <c r="C41" t="str">
        <f t="shared" ref="C41:E41" si="14">C23</f>
        <v>3A1aii Other cattle</v>
      </c>
      <c r="D41" t="str">
        <f t="shared" si="14"/>
        <v>Feedlot</v>
      </c>
      <c r="E41" t="str">
        <f t="shared" si="14"/>
        <v>Manure management EF</v>
      </c>
      <c r="F41" t="str">
        <f t="shared" si="10"/>
        <v>N2O</v>
      </c>
      <c r="G41" t="str">
        <f t="shared" si="11"/>
        <v>kg N/head/yr</v>
      </c>
      <c r="H41" s="27">
        <f>'Aggregated EF'!T25</f>
        <v>65.765699999999995</v>
      </c>
    </row>
    <row r="42" spans="1:8" x14ac:dyDescent="0.25">
      <c r="A42" t="str">
        <f t="shared" si="1"/>
        <v>3A Livestock</v>
      </c>
      <c r="B42" t="str">
        <f t="shared" si="8"/>
        <v>3A2 Manure management (N2O)</v>
      </c>
      <c r="C42" t="str">
        <f t="shared" ref="C42:E42" si="15">C24</f>
        <v>3A1c Sheep</v>
      </c>
      <c r="D42" t="str">
        <f t="shared" si="15"/>
        <v>Commercial</v>
      </c>
      <c r="E42" t="str">
        <f t="shared" si="15"/>
        <v>Manure management EF</v>
      </c>
      <c r="F42" t="str">
        <f t="shared" si="10"/>
        <v>N2O</v>
      </c>
      <c r="G42" t="str">
        <f t="shared" si="11"/>
        <v>kg N/head/yr</v>
      </c>
      <c r="H42" s="27">
        <f>SUM('Aggregated EF'!T36:T59)</f>
        <v>19.60551595998232</v>
      </c>
    </row>
    <row r="43" spans="1:8" x14ac:dyDescent="0.25">
      <c r="A43" t="str">
        <f t="shared" si="1"/>
        <v>3A Livestock</v>
      </c>
      <c r="B43" t="str">
        <f t="shared" si="8"/>
        <v>3A2 Manure management (N2O)</v>
      </c>
      <c r="C43" t="str">
        <f t="shared" ref="C43:E43" si="16">C25</f>
        <v>3A1c Sheep</v>
      </c>
      <c r="D43" t="str">
        <f t="shared" si="16"/>
        <v>Subsistence</v>
      </c>
      <c r="E43" t="str">
        <f t="shared" si="16"/>
        <v>Manure management EF</v>
      </c>
      <c r="F43" t="str">
        <f t="shared" si="10"/>
        <v>N2O</v>
      </c>
      <c r="G43" t="str">
        <f t="shared" si="11"/>
        <v>kg N/head/yr</v>
      </c>
      <c r="H43" s="27">
        <f>SUM('Aggregated EF'!T60:T83)</f>
        <v>15.591414113527657</v>
      </c>
    </row>
    <row r="44" spans="1:8" x14ac:dyDescent="0.25">
      <c r="A44" t="str">
        <f t="shared" si="1"/>
        <v>3A Livestock</v>
      </c>
      <c r="B44" t="str">
        <f t="shared" si="8"/>
        <v>3A2 Manure management (N2O)</v>
      </c>
      <c r="C44" t="str">
        <f t="shared" ref="C44:E44" si="17">C26</f>
        <v>3A1d Goats</v>
      </c>
      <c r="D44" t="str">
        <f t="shared" si="17"/>
        <v>Commercial</v>
      </c>
      <c r="E44" t="str">
        <f t="shared" si="17"/>
        <v>Manure management EF</v>
      </c>
      <c r="F44" t="str">
        <f t="shared" si="10"/>
        <v>N2O</v>
      </c>
      <c r="G44" t="str">
        <f t="shared" si="11"/>
        <v>kg N/head/yr</v>
      </c>
      <c r="H44" s="27">
        <f>SUM('Aggregated EF'!T85:T102)</f>
        <v>22.287353637058541</v>
      </c>
    </row>
    <row r="45" spans="1:8" x14ac:dyDescent="0.25">
      <c r="A45" t="str">
        <f t="shared" si="1"/>
        <v>3A Livestock</v>
      </c>
      <c r="B45" t="str">
        <f t="shared" si="8"/>
        <v>3A2 Manure management (N2O)</v>
      </c>
      <c r="C45" t="str">
        <f t="shared" ref="C45:E45" si="18">C27</f>
        <v>3A1d Goats</v>
      </c>
      <c r="D45" t="str">
        <f t="shared" si="18"/>
        <v>Subsistence</v>
      </c>
      <c r="E45" t="str">
        <f t="shared" si="18"/>
        <v>Manure management EF</v>
      </c>
      <c r="F45" t="str">
        <f t="shared" si="10"/>
        <v>N2O</v>
      </c>
      <c r="G45" t="str">
        <f t="shared" si="11"/>
        <v>kg N/head/yr</v>
      </c>
      <c r="H45" s="27">
        <f>SUM('Aggregated EF'!T103:T108)</f>
        <v>20.227322529999995</v>
      </c>
    </row>
    <row r="46" spans="1:8" x14ac:dyDescent="0.25">
      <c r="A46" t="str">
        <f t="shared" si="1"/>
        <v>3A Livestock</v>
      </c>
      <c r="B46" t="str">
        <f t="shared" si="8"/>
        <v>3A2 Manure management (N2O)</v>
      </c>
      <c r="C46" t="str">
        <f t="shared" ref="C46:E46" si="19">C28</f>
        <v>3A1f Horses</v>
      </c>
      <c r="D46" t="str">
        <f t="shared" si="19"/>
        <v>Horses</v>
      </c>
      <c r="E46" t="str">
        <f t="shared" si="19"/>
        <v>Manure management EF</v>
      </c>
      <c r="F46" t="str">
        <f t="shared" si="10"/>
        <v>N2O</v>
      </c>
      <c r="G46" t="str">
        <f t="shared" si="11"/>
        <v>kg N/head/yr</v>
      </c>
      <c r="H46" s="27">
        <f>'Aggregated EF'!T110</f>
        <v>39.5</v>
      </c>
    </row>
    <row r="47" spans="1:8" x14ac:dyDescent="0.25">
      <c r="A47" t="str">
        <f t="shared" si="1"/>
        <v>3A Livestock</v>
      </c>
      <c r="B47" t="str">
        <f t="shared" si="8"/>
        <v>3A2 Manure management (N2O)</v>
      </c>
      <c r="C47" t="str">
        <f t="shared" ref="C47:E47" si="20">C29</f>
        <v>3A1g Mules &amp; asses</v>
      </c>
      <c r="D47" t="str">
        <f t="shared" si="20"/>
        <v>Mules &amp; Asses</v>
      </c>
      <c r="E47" t="str">
        <f t="shared" si="20"/>
        <v>Manure management EF</v>
      </c>
      <c r="F47" t="str">
        <f t="shared" si="10"/>
        <v>N2O</v>
      </c>
      <c r="G47" t="str">
        <f t="shared" si="11"/>
        <v>kg N/head/yr</v>
      </c>
      <c r="H47" s="27">
        <f>'Aggregated EF'!T112</f>
        <v>13.2</v>
      </c>
    </row>
    <row r="48" spans="1:8" x14ac:dyDescent="0.25">
      <c r="A48" t="str">
        <f t="shared" si="1"/>
        <v>3A Livestock</v>
      </c>
      <c r="B48" t="str">
        <f t="shared" si="8"/>
        <v>3A2 Manure management (N2O)</v>
      </c>
      <c r="C48" t="str">
        <f t="shared" ref="C48:E48" si="21">C30</f>
        <v>3A1h Swine</v>
      </c>
      <c r="D48" t="str">
        <f t="shared" si="21"/>
        <v>Commercial</v>
      </c>
      <c r="E48" t="str">
        <f t="shared" si="21"/>
        <v>Manure management EF</v>
      </c>
      <c r="F48" t="str">
        <f t="shared" si="10"/>
        <v>N2O</v>
      </c>
      <c r="G48" t="str">
        <f t="shared" si="11"/>
        <v>kg N/head/yr</v>
      </c>
      <c r="H48" s="27">
        <f>SUM('Aggregated EF'!T114:T123)</f>
        <v>13.769600000000001</v>
      </c>
    </row>
    <row r="49" spans="1:41" x14ac:dyDescent="0.25">
      <c r="A49" t="str">
        <f t="shared" si="1"/>
        <v>3A Livestock</v>
      </c>
      <c r="B49" t="str">
        <f t="shared" si="8"/>
        <v>3A2 Manure management (N2O)</v>
      </c>
      <c r="C49" t="str">
        <f t="shared" ref="C49:E49" si="22">C31</f>
        <v>3A1h Swine</v>
      </c>
      <c r="D49" t="str">
        <f t="shared" si="22"/>
        <v>Subsistence</v>
      </c>
      <c r="E49" t="str">
        <f t="shared" si="22"/>
        <v>Manure management EF</v>
      </c>
      <c r="F49" t="str">
        <f t="shared" si="10"/>
        <v>N2O</v>
      </c>
      <c r="G49" t="str">
        <f t="shared" si="11"/>
        <v>kg N/head/yr</v>
      </c>
      <c r="H49" s="27">
        <f>SUM('Aggregated EF'!T124:T133)</f>
        <v>15.091520000000001</v>
      </c>
    </row>
    <row r="50" spans="1:41" x14ac:dyDescent="0.25">
      <c r="A50" t="str">
        <f t="shared" si="1"/>
        <v>3A Livestock</v>
      </c>
      <c r="B50" t="str">
        <f t="shared" si="8"/>
        <v>3A2 Manure management (N2O)</v>
      </c>
      <c r="C50" t="str">
        <f t="shared" ref="C50:E50" si="23">C32</f>
        <v>3A2i Poultry</v>
      </c>
      <c r="D50" t="str">
        <f t="shared" si="23"/>
        <v>Commercial layers</v>
      </c>
      <c r="E50" t="str">
        <f t="shared" si="23"/>
        <v>Manure management EF</v>
      </c>
      <c r="F50" t="str">
        <f t="shared" si="10"/>
        <v>N2O</v>
      </c>
      <c r="G50" t="str">
        <f t="shared" si="11"/>
        <v>kg N/head/yr</v>
      </c>
      <c r="H50" s="27">
        <f>'Aggregated EF'!T136</f>
        <v>0.6</v>
      </c>
    </row>
    <row r="51" spans="1:41" x14ac:dyDescent="0.25">
      <c r="A51" t="str">
        <f t="shared" si="1"/>
        <v>3A Livestock</v>
      </c>
      <c r="B51" t="str">
        <f t="shared" si="8"/>
        <v>3A2 Manure management (N2O)</v>
      </c>
      <c r="C51" t="str">
        <f t="shared" ref="C51:E51" si="24">C33</f>
        <v>3A2i Poultry</v>
      </c>
      <c r="D51" t="str">
        <f t="shared" si="24"/>
        <v>Commercial broilers</v>
      </c>
      <c r="E51" t="str">
        <f t="shared" si="24"/>
        <v>Manure management EF</v>
      </c>
      <c r="F51" t="str">
        <f t="shared" si="10"/>
        <v>N2O</v>
      </c>
      <c r="G51" t="str">
        <f t="shared" si="11"/>
        <v>kg N/head/yr</v>
      </c>
      <c r="H51" s="27">
        <f>'Aggregated EF'!T135</f>
        <v>0.7</v>
      </c>
    </row>
    <row r="52" spans="1:41" x14ac:dyDescent="0.25">
      <c r="A52" t="str">
        <f t="shared" si="1"/>
        <v>3A Livestock</v>
      </c>
      <c r="B52" t="str">
        <f t="shared" si="8"/>
        <v>3A2 Manure management (N2O)</v>
      </c>
      <c r="C52" t="str">
        <f t="shared" ref="C52:E52" si="25">C34</f>
        <v>3A2i Poultry</v>
      </c>
      <c r="D52" t="str">
        <f t="shared" si="25"/>
        <v>Subsistence layers</v>
      </c>
      <c r="E52" t="str">
        <f t="shared" si="25"/>
        <v>Manure management EF</v>
      </c>
      <c r="F52" t="str">
        <f t="shared" si="10"/>
        <v>N2O</v>
      </c>
      <c r="G52" t="str">
        <f t="shared" si="11"/>
        <v>kg N/head/yr</v>
      </c>
      <c r="H52" s="27">
        <f>'Aggregated EF'!T138</f>
        <v>0.6</v>
      </c>
    </row>
    <row r="53" spans="1:41" x14ac:dyDescent="0.25">
      <c r="A53" t="str">
        <f t="shared" si="1"/>
        <v>3A Livestock</v>
      </c>
      <c r="B53" t="str">
        <f t="shared" si="8"/>
        <v>3A2 Manure management (N2O)</v>
      </c>
      <c r="C53" t="str">
        <f t="shared" ref="C53:E53" si="26">C35</f>
        <v>3A2i Poultry</v>
      </c>
      <c r="D53" t="str">
        <f t="shared" si="26"/>
        <v>Subsistence broilers</v>
      </c>
      <c r="E53" t="str">
        <f t="shared" si="26"/>
        <v>Manure management EF</v>
      </c>
      <c r="F53" t="str">
        <f t="shared" si="10"/>
        <v>N2O</v>
      </c>
      <c r="G53" t="str">
        <f t="shared" si="11"/>
        <v>kg N/head/yr</v>
      </c>
      <c r="H53" s="27">
        <f>'Aggregated EF'!T137</f>
        <v>0.7</v>
      </c>
    </row>
    <row r="54" spans="1:41" x14ac:dyDescent="0.25">
      <c r="A54" t="str">
        <f t="shared" si="1"/>
        <v>3A Livestock</v>
      </c>
      <c r="B54" t="str">
        <f t="shared" si="8"/>
        <v>3A2 Manure management (N2O)</v>
      </c>
      <c r="C54" t="str">
        <f>'Activity data'!C5</f>
        <v>3A1ai Dairy cattle</v>
      </c>
      <c r="D54" t="str">
        <f>'Activity data'!D5</f>
        <v>TMR</v>
      </c>
      <c r="E54" t="str">
        <f>E35</f>
        <v>Manure management EF</v>
      </c>
      <c r="F54" t="s">
        <v>143</v>
      </c>
      <c r="G54" s="12" t="s">
        <v>149</v>
      </c>
      <c r="H54" s="27">
        <f>(('Mitigation drivers'!C12*LagoonN2O)+('Mitigation drivers'!C13*LiquidN2O)+('Mitigation drivers'!C14*DrylotN2O)+('Mitigation drivers'!C15*SolidStorageN2O)+('Mitigation drivers'!C16*DailyspreadN2O)+('Mitigation drivers'!C17*CompostN2O)+('Mitigation drivers'!C18*ManwithbedN2O)+('Mitigation drivers'!C19*PMwithoutlitterN2O)+('Mitigation drivers'!C20*PMwithlitterN2O)+('Mitigation drivers'!C22*DigesterN2OEF))/100</f>
        <v>5.0000000000000001E-4</v>
      </c>
      <c r="I54" s="27">
        <f>(('Mitigation drivers'!D12*LagoonN2O)+('Mitigation drivers'!D13*LiquidN2O)+('Mitigation drivers'!D14*DrylotN2O)+('Mitigation drivers'!D15*SolidStorageN2O)+('Mitigation drivers'!D16*DailyspreadN2O)+('Mitigation drivers'!D17*CompostN2O)+('Mitigation drivers'!D18*ManwithbedN2O)+('Mitigation drivers'!D19*PMwithoutlitterN2O)+('Mitigation drivers'!D20*PMwithlitterN2O)+('Mitigation drivers'!D22*DigesterN2OEF))/100</f>
        <v>5.0000000000000001E-4</v>
      </c>
      <c r="J54" s="27">
        <f>(('Mitigation drivers'!E12*LagoonN2O)+('Mitigation drivers'!E13*LiquidN2O)+('Mitigation drivers'!E14*DrylotN2O)+('Mitigation drivers'!E15*SolidStorageN2O)+('Mitigation drivers'!E16*DailyspreadN2O)+('Mitigation drivers'!E17*CompostN2O)+('Mitigation drivers'!E18*ManwithbedN2O)+('Mitigation drivers'!E19*PMwithoutlitterN2O)+('Mitigation drivers'!E20*PMwithlitterN2O)+('Mitigation drivers'!E22*DigesterN2OEF))/100</f>
        <v>5.0000000000000001E-4</v>
      </c>
      <c r="K54" s="27">
        <f>(('Mitigation drivers'!F12*LagoonN2O)+('Mitigation drivers'!F13*LiquidN2O)+('Mitigation drivers'!F14*DrylotN2O)+('Mitigation drivers'!F15*SolidStorageN2O)+('Mitigation drivers'!F16*DailyspreadN2O)+('Mitigation drivers'!F17*CompostN2O)+('Mitigation drivers'!F18*ManwithbedN2O)+('Mitigation drivers'!F19*PMwithoutlitterN2O)+('Mitigation drivers'!F20*PMwithlitterN2O)+('Mitigation drivers'!F22*DigesterN2OEF))/100</f>
        <v>5.0000000000000001E-4</v>
      </c>
      <c r="L54" s="27">
        <f>(('Mitigation drivers'!G12*LagoonN2O)+('Mitigation drivers'!G13*LiquidN2O)+('Mitigation drivers'!G14*DrylotN2O)+('Mitigation drivers'!G15*SolidStorageN2O)+('Mitigation drivers'!G16*DailyspreadN2O)+('Mitigation drivers'!G17*CompostN2O)+('Mitigation drivers'!G18*ManwithbedN2O)+('Mitigation drivers'!G19*PMwithoutlitterN2O)+('Mitigation drivers'!G20*PMwithlitterN2O)+('Mitigation drivers'!G22*DigesterN2OEF))/100</f>
        <v>5.0000000000000001E-4</v>
      </c>
      <c r="M54" s="27">
        <f>(('Mitigation drivers'!H12*LagoonN2O)+('Mitigation drivers'!H13*LiquidN2O)+('Mitigation drivers'!H14*DrylotN2O)+('Mitigation drivers'!H15*SolidStorageN2O)+('Mitigation drivers'!H16*DailyspreadN2O)+('Mitigation drivers'!H17*CompostN2O)+('Mitigation drivers'!H18*ManwithbedN2O)+('Mitigation drivers'!H19*PMwithoutlitterN2O)+('Mitigation drivers'!H20*PMwithlitterN2O)+('Mitigation drivers'!H22*DigesterN2OEF))/100</f>
        <v>5.0000000000000001E-4</v>
      </c>
      <c r="N54" s="27">
        <f>(('Mitigation drivers'!I12*LagoonN2O)+('Mitigation drivers'!I13*LiquidN2O)+('Mitigation drivers'!I14*DrylotN2O)+('Mitigation drivers'!I15*SolidStorageN2O)+('Mitigation drivers'!I16*DailyspreadN2O)+('Mitigation drivers'!I17*CompostN2O)+('Mitigation drivers'!I18*ManwithbedN2O)+('Mitigation drivers'!I19*PMwithoutlitterN2O)+('Mitigation drivers'!I20*PMwithlitterN2O)+('Mitigation drivers'!I22*DigesterN2OEF))/100</f>
        <v>5.0000000000000001E-4</v>
      </c>
      <c r="O54" s="27">
        <f>(('Mitigation drivers'!J12*LagoonN2O)+('Mitigation drivers'!J13*LiquidN2O)+('Mitigation drivers'!J14*DrylotN2O)+('Mitigation drivers'!J15*SolidStorageN2O)+('Mitigation drivers'!J16*DailyspreadN2O)+('Mitigation drivers'!J17*CompostN2O)+('Mitigation drivers'!J18*ManwithbedN2O)+('Mitigation drivers'!J19*PMwithoutlitterN2O)+('Mitigation drivers'!J20*PMwithlitterN2O)+('Mitigation drivers'!J22*DigesterN2OEF))/100</f>
        <v>5.0000000000000001E-4</v>
      </c>
      <c r="P54" s="27">
        <f>(('Mitigation drivers'!K12*LagoonN2O)+('Mitigation drivers'!K13*LiquidN2O)+('Mitigation drivers'!K14*DrylotN2O)+('Mitigation drivers'!K15*SolidStorageN2O)+('Mitigation drivers'!K16*DailyspreadN2O)+('Mitigation drivers'!K17*CompostN2O)+('Mitigation drivers'!K18*ManwithbedN2O)+('Mitigation drivers'!K19*PMwithoutlitterN2O)+('Mitigation drivers'!K20*PMwithlitterN2O)+('Mitigation drivers'!K22*DigesterN2OEF))/100</f>
        <v>5.0000000000000001E-4</v>
      </c>
      <c r="Q54" s="27">
        <f>(('Mitigation drivers'!L12*LagoonN2O)+('Mitigation drivers'!L13*LiquidN2O)+('Mitigation drivers'!L14*DrylotN2O)+('Mitigation drivers'!L15*SolidStorageN2O)+('Mitigation drivers'!L16*DailyspreadN2O)+('Mitigation drivers'!L17*CompostN2O)+('Mitigation drivers'!L18*ManwithbedN2O)+('Mitigation drivers'!L19*PMwithoutlitterN2O)+('Mitigation drivers'!L20*PMwithlitterN2O)+('Mitigation drivers'!L22*DigesterN2OEF))/100</f>
        <v>5.0000000000000001E-4</v>
      </c>
      <c r="R54" s="27">
        <f>(('Mitigation drivers'!M12*LagoonN2O)+('Mitigation drivers'!M13*LiquidN2O)+('Mitigation drivers'!M14*DrylotN2O)+('Mitigation drivers'!M15*SolidStorageN2O)+('Mitigation drivers'!M16*DailyspreadN2O)+('Mitigation drivers'!M17*CompostN2O)+('Mitigation drivers'!M18*ManwithbedN2O)+('Mitigation drivers'!M19*PMwithoutlitterN2O)+('Mitigation drivers'!M20*PMwithlitterN2O)+('Mitigation drivers'!M22*DigesterN2OEF))/100</f>
        <v>5.0000000000000001E-4</v>
      </c>
      <c r="S54" s="27">
        <f>(('Mitigation drivers'!N12*LagoonN2O)+('Mitigation drivers'!N13*LiquidN2O)+('Mitigation drivers'!N14*DrylotN2O)+('Mitigation drivers'!N15*SolidStorageN2O)+('Mitigation drivers'!N16*DailyspreadN2O)+('Mitigation drivers'!N17*CompostN2O)+('Mitigation drivers'!N18*ManwithbedN2O)+('Mitigation drivers'!N19*PMwithoutlitterN2O)+('Mitigation drivers'!N20*PMwithlitterN2O)+('Mitigation drivers'!N22*DigesterN2OEF))/100</f>
        <v>5.0000000000000001E-4</v>
      </c>
      <c r="T54" s="27">
        <f>(('Mitigation drivers'!O12*LagoonN2O)+('Mitigation drivers'!O13*LiquidN2O)+('Mitigation drivers'!O14*DrylotN2O)+('Mitigation drivers'!O15*SolidStorageN2O)+('Mitigation drivers'!O16*DailyspreadN2O)+('Mitigation drivers'!O17*CompostN2O)+('Mitigation drivers'!O18*ManwithbedN2O)+('Mitigation drivers'!O19*PMwithoutlitterN2O)+('Mitigation drivers'!O20*PMwithlitterN2O)+('Mitigation drivers'!O22*DigesterN2OEF))/100</f>
        <v>5.0000000000000001E-4</v>
      </c>
      <c r="U54" s="27">
        <f>(('Mitigation drivers'!P12*LagoonN2O)+('Mitigation drivers'!P13*LiquidN2O)+('Mitigation drivers'!P14*DrylotN2O)+('Mitigation drivers'!P15*SolidStorageN2O)+('Mitigation drivers'!P16*DailyspreadN2O)+('Mitigation drivers'!P17*CompostN2O)+('Mitigation drivers'!P18*ManwithbedN2O)+('Mitigation drivers'!P19*PMwithoutlitterN2O)+('Mitigation drivers'!P20*PMwithlitterN2O)+('Mitigation drivers'!P22*DigesterN2OEF))/100</f>
        <v>5.0000000000000001E-4</v>
      </c>
      <c r="V54" s="27">
        <f>(('Mitigation drivers'!Q12*LagoonN2O)+('Mitigation drivers'!Q13*LiquidN2O)+('Mitigation drivers'!Q14*DrylotN2O)+('Mitigation drivers'!Q15*SolidStorageN2O)+('Mitigation drivers'!Q16*DailyspreadN2O)+('Mitigation drivers'!Q17*CompostN2O)+('Mitigation drivers'!Q18*ManwithbedN2O)+('Mitigation drivers'!Q19*PMwithoutlitterN2O)+('Mitigation drivers'!Q20*PMwithlitterN2O)+('Mitigation drivers'!Q22*DigesterN2OEF))/100</f>
        <v>5.0000000000000001E-4</v>
      </c>
      <c r="W54" s="27">
        <f>(('Mitigation drivers'!R12*LagoonN2O)+('Mitigation drivers'!R13*LiquidN2O)+('Mitigation drivers'!R14*DrylotN2O)+('Mitigation drivers'!R15*SolidStorageN2O)+('Mitigation drivers'!R16*DailyspreadN2O)+('Mitigation drivers'!R17*CompostN2O)+('Mitigation drivers'!R18*ManwithbedN2O)+('Mitigation drivers'!R19*PMwithoutlitterN2O)+('Mitigation drivers'!R20*PMwithlitterN2O)+('Mitigation drivers'!R22*DigesterN2OEF))/100</f>
        <v>5.0000000000000001E-4</v>
      </c>
      <c r="X54" s="27">
        <f>(('Mitigation drivers'!S12*LagoonN2O)+('Mitigation drivers'!S13*LiquidN2O)+('Mitigation drivers'!S14*DrylotN2O)+('Mitigation drivers'!S15*SolidStorageN2O)+('Mitigation drivers'!S16*DailyspreadN2O)+('Mitigation drivers'!S17*CompostN2O)+('Mitigation drivers'!S18*ManwithbedN2O)+('Mitigation drivers'!S19*PMwithoutlitterN2O)+('Mitigation drivers'!S20*PMwithlitterN2O)+('Mitigation drivers'!S22*DigesterN2OEF))/100</f>
        <v>5.0000000000000001E-4</v>
      </c>
      <c r="Y54" s="27">
        <f>(('Mitigation drivers'!T12*LagoonN2O)+('Mitigation drivers'!T13*LiquidN2O)+('Mitigation drivers'!T14*DrylotN2O)+('Mitigation drivers'!T15*SolidStorageN2O)+('Mitigation drivers'!T16*DailyspreadN2O)+('Mitigation drivers'!T17*CompostN2O)+('Mitigation drivers'!T18*ManwithbedN2O)+('Mitigation drivers'!T19*PMwithoutlitterN2O)+('Mitigation drivers'!T20*PMwithlitterN2O)+('Mitigation drivers'!T22*DigesterN2OEF))/100</f>
        <v>5.0000000000000001E-4</v>
      </c>
      <c r="Z54" s="27">
        <f>(('Mitigation drivers'!U12*LagoonN2O)+('Mitigation drivers'!U13*LiquidN2O)+('Mitigation drivers'!U14*DrylotN2O)+('Mitigation drivers'!U15*SolidStorageN2O)+('Mitigation drivers'!U16*DailyspreadN2O)+('Mitigation drivers'!U17*CompostN2O)+('Mitigation drivers'!U18*ManwithbedN2O)+('Mitigation drivers'!U19*PMwithoutlitterN2O)+('Mitigation drivers'!U20*PMwithlitterN2O)+('Mitigation drivers'!U22*DigesterN2OEF))/100</f>
        <v>5.0000000000000001E-4</v>
      </c>
      <c r="AA54" s="27">
        <f>(('Mitigation drivers'!V12*LagoonN2O)+('Mitigation drivers'!V13*LiquidN2O)+('Mitigation drivers'!V14*DrylotN2O)+('Mitigation drivers'!V15*SolidStorageN2O)+('Mitigation drivers'!V16*DailyspreadN2O)+('Mitigation drivers'!V17*CompostN2O)+('Mitigation drivers'!V18*ManwithbedN2O)+('Mitigation drivers'!V19*PMwithoutlitterN2O)+('Mitigation drivers'!V20*PMwithlitterN2O)+('Mitigation drivers'!V22*DigesterN2OEF))/100</f>
        <v>5.0000000000000001E-4</v>
      </c>
      <c r="AB54" s="27">
        <f>(('Mitigation drivers'!W12*LagoonN2O)+('Mitigation drivers'!W13*LiquidN2O)+('Mitigation drivers'!W14*DrylotN2O)+('Mitigation drivers'!W15*SolidStorageN2O)+('Mitigation drivers'!W16*DailyspreadN2O)+('Mitigation drivers'!W17*CompostN2O)+('Mitigation drivers'!W18*ManwithbedN2O)+('Mitigation drivers'!W19*PMwithoutlitterN2O)+('Mitigation drivers'!W20*PMwithlitterN2O)+('Mitigation drivers'!W22*DigesterN2OEF))/100</f>
        <v>5.0000000000000001E-4</v>
      </c>
      <c r="AC54" s="27">
        <f>(('Mitigation drivers'!X12*LagoonN2O)+('Mitigation drivers'!X13*LiquidN2O)+('Mitigation drivers'!X14*DrylotN2O)+('Mitigation drivers'!X15*SolidStorageN2O)+('Mitigation drivers'!X16*DailyspreadN2O)+('Mitigation drivers'!X17*CompostN2O)+('Mitigation drivers'!X18*ManwithbedN2O)+('Mitigation drivers'!X19*PMwithoutlitterN2O)+('Mitigation drivers'!X20*PMwithlitterN2O)+('Mitigation drivers'!X22*DigesterN2OEF))/100</f>
        <v>5.0000000000000001E-4</v>
      </c>
      <c r="AD54" s="27">
        <f>(('Mitigation drivers'!Y12*LagoonN2O)+('Mitigation drivers'!Y13*LiquidN2O)+('Mitigation drivers'!Y14*DrylotN2O)+('Mitigation drivers'!Y15*SolidStorageN2O)+('Mitigation drivers'!Y16*DailyspreadN2O)+('Mitigation drivers'!Y17*CompostN2O)+('Mitigation drivers'!Y18*ManwithbedN2O)+('Mitigation drivers'!Y19*PMwithoutlitterN2O)+('Mitigation drivers'!Y20*PMwithlitterN2O)+('Mitigation drivers'!Y22*DigesterN2OEF))/100</f>
        <v>5.0000000000000001E-4</v>
      </c>
      <c r="AE54" s="27">
        <f>(('Mitigation drivers'!Z12*LagoonN2O)+('Mitigation drivers'!Z13*LiquidN2O)+('Mitigation drivers'!Z14*DrylotN2O)+('Mitigation drivers'!Z15*SolidStorageN2O)+('Mitigation drivers'!Z16*DailyspreadN2O)+('Mitigation drivers'!Z17*CompostN2O)+('Mitigation drivers'!Z18*ManwithbedN2O)+('Mitigation drivers'!Z19*PMwithoutlitterN2O)+('Mitigation drivers'!Z20*PMwithlitterN2O)+('Mitigation drivers'!Z22*DigesterN2OEF))/100</f>
        <v>5.0000000000000001E-4</v>
      </c>
      <c r="AF54" s="27">
        <f>(('Mitigation drivers'!AA12*LagoonN2O)+('Mitigation drivers'!AA13*LiquidN2O)+('Mitigation drivers'!AA14*DrylotN2O)+('Mitigation drivers'!AA15*SolidStorageN2O)+('Mitigation drivers'!AA16*DailyspreadN2O)+('Mitigation drivers'!AA17*CompostN2O)+('Mitigation drivers'!AA18*ManwithbedN2O)+('Mitigation drivers'!AA19*PMwithoutlitterN2O)+('Mitigation drivers'!AA20*PMwithlitterN2O)+('Mitigation drivers'!AA22*DigesterN2OEF))/100</f>
        <v>5.0000000000000001E-4</v>
      </c>
      <c r="AG54" s="27">
        <f>(('Mitigation drivers'!AB12*LagoonN2O)+('Mitigation drivers'!AB13*LiquidN2O)+('Mitigation drivers'!AB14*DrylotN2O)+('Mitigation drivers'!AB15*SolidStorageN2O)+('Mitigation drivers'!AB16*DailyspreadN2O)+('Mitigation drivers'!AB17*CompostN2O)+('Mitigation drivers'!AB18*ManwithbedN2O)+('Mitigation drivers'!AB19*PMwithoutlitterN2O)+('Mitigation drivers'!AB20*PMwithlitterN2O)+('Mitigation drivers'!AB22*DigesterN2OEF))/100</f>
        <v>5.0000000000000001E-4</v>
      </c>
      <c r="AH54" s="27">
        <f>(('Mitigation drivers'!AC12*LagoonN2O)+('Mitigation drivers'!AC13*LiquidN2O)+('Mitigation drivers'!AC14*DrylotN2O)+('Mitigation drivers'!AC15*SolidStorageN2O)+('Mitigation drivers'!AC16*DailyspreadN2O)+('Mitigation drivers'!AC17*CompostN2O)+('Mitigation drivers'!AC18*ManwithbedN2O)+('Mitigation drivers'!AC19*PMwithoutlitterN2O)+('Mitigation drivers'!AC20*PMwithlitterN2O)+('Mitigation drivers'!AC22*DigesterN2OEF))/100</f>
        <v>5.0000000000000001E-4</v>
      </c>
      <c r="AI54" s="27">
        <f>(('Mitigation drivers'!AD12*LagoonN2O)+('Mitigation drivers'!AD13*LiquidN2O)+('Mitigation drivers'!AD14*DrylotN2O)+('Mitigation drivers'!AD15*SolidStorageN2O)+('Mitigation drivers'!AD16*DailyspreadN2O)+('Mitigation drivers'!AD17*CompostN2O)+('Mitigation drivers'!AD18*ManwithbedN2O)+('Mitigation drivers'!AD19*PMwithoutlitterN2O)+('Mitigation drivers'!AD20*PMwithlitterN2O)+('Mitigation drivers'!AD22*DigesterN2OEF))/100</f>
        <v>5.0000000000000001E-4</v>
      </c>
      <c r="AJ54" s="27">
        <f>(('Mitigation drivers'!AE12*LagoonN2O)+('Mitigation drivers'!AE13*LiquidN2O)+('Mitigation drivers'!AE14*DrylotN2O)+('Mitigation drivers'!AE15*SolidStorageN2O)+('Mitigation drivers'!AE16*DailyspreadN2O)+('Mitigation drivers'!AE17*CompostN2O)+('Mitigation drivers'!AE18*ManwithbedN2O)+('Mitigation drivers'!AE19*PMwithoutlitterN2O)+('Mitigation drivers'!AE20*PMwithlitterN2O)+('Mitigation drivers'!AE22*DigesterN2OEF))/100</f>
        <v>5.0000000000000001E-4</v>
      </c>
      <c r="AK54" s="27">
        <f>(('Mitigation drivers'!AF12*LagoonN2O)+('Mitigation drivers'!AF13*LiquidN2O)+('Mitigation drivers'!AF14*DrylotN2O)+('Mitigation drivers'!AF15*SolidStorageN2O)+('Mitigation drivers'!AF16*DailyspreadN2O)+('Mitigation drivers'!AF17*CompostN2O)+('Mitigation drivers'!AF18*ManwithbedN2O)+('Mitigation drivers'!AF19*PMwithoutlitterN2O)+('Mitigation drivers'!AF20*PMwithlitterN2O)+('Mitigation drivers'!AF22*DigesterN2OEF))/100</f>
        <v>5.0000000000000001E-4</v>
      </c>
      <c r="AL54" s="27">
        <f>(('Mitigation drivers'!AG12*LagoonN2O)+('Mitigation drivers'!AG13*LiquidN2O)+('Mitigation drivers'!AG14*DrylotN2O)+('Mitigation drivers'!AG15*SolidStorageN2O)+('Mitigation drivers'!AG16*DailyspreadN2O)+('Mitigation drivers'!AG17*CompostN2O)+('Mitigation drivers'!AG18*ManwithbedN2O)+('Mitigation drivers'!AG19*PMwithoutlitterN2O)+('Mitigation drivers'!AG20*PMwithlitterN2O)+('Mitigation drivers'!AG22*DigesterN2OEF))/100</f>
        <v>5.0000000000000001E-4</v>
      </c>
      <c r="AM54" s="27">
        <f>(('Mitigation drivers'!AH12*LagoonN2O)+('Mitigation drivers'!AH13*LiquidN2O)+('Mitigation drivers'!AH14*DrylotN2O)+('Mitigation drivers'!AH15*SolidStorageN2O)+('Mitigation drivers'!AH16*DailyspreadN2O)+('Mitigation drivers'!AH17*CompostN2O)+('Mitigation drivers'!AH18*ManwithbedN2O)+('Mitigation drivers'!AH19*PMwithoutlitterN2O)+('Mitigation drivers'!AH20*PMwithlitterN2O)+('Mitigation drivers'!AH22*DigesterN2OEF))/100</f>
        <v>5.0000000000000001E-4</v>
      </c>
      <c r="AN54" s="27">
        <f>(('Mitigation drivers'!AI12*LagoonN2O)+('Mitigation drivers'!AI13*LiquidN2O)+('Mitigation drivers'!AI14*DrylotN2O)+('Mitigation drivers'!AI15*SolidStorageN2O)+('Mitigation drivers'!AI16*DailyspreadN2O)+('Mitigation drivers'!AI17*CompostN2O)+('Mitigation drivers'!AI18*ManwithbedN2O)+('Mitigation drivers'!AI19*PMwithoutlitterN2O)+('Mitigation drivers'!AI20*PMwithlitterN2O)+('Mitigation drivers'!AI22*DigesterN2OEF))/100</f>
        <v>5.0000000000000001E-4</v>
      </c>
      <c r="AO54" s="27">
        <f>(('Mitigation drivers'!AJ12*LagoonN2O)+('Mitigation drivers'!AJ13*LiquidN2O)+('Mitigation drivers'!AJ14*DrylotN2O)+('Mitigation drivers'!AJ15*SolidStorageN2O)+('Mitigation drivers'!AJ16*DailyspreadN2O)+('Mitigation drivers'!AJ17*CompostN2O)+('Mitigation drivers'!AJ18*ManwithbedN2O)+('Mitigation drivers'!AJ19*PMwithoutlitterN2O)+('Mitigation drivers'!AJ20*PMwithlitterN2O)+('Mitigation drivers'!AJ22*DigesterN2OEF))/100</f>
        <v>5.0000000000000001E-4</v>
      </c>
    </row>
    <row r="55" spans="1:41" x14ac:dyDescent="0.25">
      <c r="A55" t="str">
        <f t="shared" si="1"/>
        <v>3A Livestock</v>
      </c>
      <c r="B55" t="str">
        <f t="shared" si="8"/>
        <v>3A2 Manure management (N2O)</v>
      </c>
      <c r="C55" t="str">
        <f>'Activity data'!C6</f>
        <v>3A1ai Dairy cattle</v>
      </c>
      <c r="D55" t="str">
        <f>'Activity data'!D6</f>
        <v>Pasture</v>
      </c>
      <c r="E55" t="str">
        <f t="shared" si="6"/>
        <v>Manure management EF</v>
      </c>
      <c r="F55" t="str">
        <f>F54</f>
        <v>N2O</v>
      </c>
      <c r="G55" t="str">
        <f>G54</f>
        <v>kg N2O-N/kg Nex</v>
      </c>
      <c r="H55" s="27">
        <f>(('Mitigation drivers'!C24*LagoonN2O)+('Mitigation drivers'!C25*LiquidN2O)+('Mitigation drivers'!C26*DrylotN2O)+('Mitigation drivers'!C27*SolidStorageN2O)+('Mitigation drivers'!C28*DailyspreadN2O)+('Mitigation drivers'!C29*CompostN2O)+('Mitigation drivers'!C30*ManwithbedN2O)+('Mitigation drivers'!C31*PMwithoutlitterN2O)+('Mitigation drivers'!C32*PMwithlitterN2O)+('Mitigation drivers'!C34*DigesterN2OEF))/100</f>
        <v>2.9000000000000002E-3</v>
      </c>
      <c r="I55" s="27">
        <f>(('Mitigation drivers'!D24*LagoonN2O)+('Mitigation drivers'!D25*LiquidN2O)+('Mitigation drivers'!D26*DrylotN2O)+('Mitigation drivers'!D27*SolidStorageN2O)+('Mitigation drivers'!D28*DailyspreadN2O)+('Mitigation drivers'!D29*CompostN2O)+('Mitigation drivers'!D30*ManwithbedN2O)+('Mitigation drivers'!D31*PMwithoutlitterN2O)+('Mitigation drivers'!D32*PMwithlitterN2O)+('Mitigation drivers'!D34*DigesterN2OEF))/100</f>
        <v>2.9000000000000002E-3</v>
      </c>
      <c r="J55" s="27">
        <f>(('Mitigation drivers'!E24*LagoonN2O)+('Mitigation drivers'!E25*LiquidN2O)+('Mitigation drivers'!E26*DrylotN2O)+('Mitigation drivers'!E27*SolidStorageN2O)+('Mitigation drivers'!E28*DailyspreadN2O)+('Mitigation drivers'!E29*CompostN2O)+('Mitigation drivers'!E30*ManwithbedN2O)+('Mitigation drivers'!E31*PMwithoutlitterN2O)+('Mitigation drivers'!E32*PMwithlitterN2O)+('Mitigation drivers'!E34*DigesterN2OEF))/100</f>
        <v>2.9000000000000002E-3</v>
      </c>
      <c r="K55" s="27">
        <f>(('Mitigation drivers'!F24*LagoonN2O)+('Mitigation drivers'!F25*LiquidN2O)+('Mitigation drivers'!F26*DrylotN2O)+('Mitigation drivers'!F27*SolidStorageN2O)+('Mitigation drivers'!F28*DailyspreadN2O)+('Mitigation drivers'!F29*CompostN2O)+('Mitigation drivers'!F30*ManwithbedN2O)+('Mitigation drivers'!F31*PMwithoutlitterN2O)+('Mitigation drivers'!F32*PMwithlitterN2O)+('Mitigation drivers'!F34*DigesterN2OEF))/100</f>
        <v>2.9000000000000002E-3</v>
      </c>
      <c r="L55" s="27">
        <f>(('Mitigation drivers'!G24*LagoonN2O)+('Mitigation drivers'!G25*LiquidN2O)+('Mitigation drivers'!G26*DrylotN2O)+('Mitigation drivers'!G27*SolidStorageN2O)+('Mitigation drivers'!G28*DailyspreadN2O)+('Mitigation drivers'!G29*CompostN2O)+('Mitigation drivers'!G30*ManwithbedN2O)+('Mitigation drivers'!G31*PMwithoutlitterN2O)+('Mitigation drivers'!G32*PMwithlitterN2O)+('Mitigation drivers'!G34*DigesterN2OEF))/100</f>
        <v>2.9000000000000002E-3</v>
      </c>
      <c r="M55" s="27">
        <f>(('Mitigation drivers'!H24*LagoonN2O)+('Mitigation drivers'!H25*LiquidN2O)+('Mitigation drivers'!H26*DrylotN2O)+('Mitigation drivers'!H27*SolidStorageN2O)+('Mitigation drivers'!H28*DailyspreadN2O)+('Mitigation drivers'!H29*CompostN2O)+('Mitigation drivers'!H30*ManwithbedN2O)+('Mitigation drivers'!H31*PMwithoutlitterN2O)+('Mitigation drivers'!H32*PMwithlitterN2O)+('Mitigation drivers'!H34*DigesterN2OEF))/100</f>
        <v>2.9000000000000002E-3</v>
      </c>
      <c r="N55" s="27">
        <f>(('Mitigation drivers'!I24*LagoonN2O)+('Mitigation drivers'!I25*LiquidN2O)+('Mitigation drivers'!I26*DrylotN2O)+('Mitigation drivers'!I27*SolidStorageN2O)+('Mitigation drivers'!I28*DailyspreadN2O)+('Mitigation drivers'!I29*CompostN2O)+('Mitigation drivers'!I30*ManwithbedN2O)+('Mitigation drivers'!I31*PMwithoutlitterN2O)+('Mitigation drivers'!I32*PMwithlitterN2O)+('Mitigation drivers'!I34*DigesterN2OEF))/100</f>
        <v>2.9000000000000002E-3</v>
      </c>
      <c r="O55" s="27">
        <f>(('Mitigation drivers'!J24*LagoonN2O)+('Mitigation drivers'!J25*LiquidN2O)+('Mitigation drivers'!J26*DrylotN2O)+('Mitigation drivers'!J27*SolidStorageN2O)+('Mitigation drivers'!J28*DailyspreadN2O)+('Mitigation drivers'!J29*CompostN2O)+('Mitigation drivers'!J30*ManwithbedN2O)+('Mitigation drivers'!J31*PMwithoutlitterN2O)+('Mitigation drivers'!J32*PMwithlitterN2O)+('Mitigation drivers'!J34*DigesterN2OEF))/100</f>
        <v>2.9000000000000002E-3</v>
      </c>
      <c r="P55" s="27">
        <f>(('Mitigation drivers'!K24*LagoonN2O)+('Mitigation drivers'!K25*LiquidN2O)+('Mitigation drivers'!K26*DrylotN2O)+('Mitigation drivers'!K27*SolidStorageN2O)+('Mitigation drivers'!K28*DailyspreadN2O)+('Mitigation drivers'!K29*CompostN2O)+('Mitigation drivers'!K30*ManwithbedN2O)+('Mitigation drivers'!K31*PMwithoutlitterN2O)+('Mitigation drivers'!K32*PMwithlitterN2O)+('Mitigation drivers'!K34*DigesterN2OEF))/100</f>
        <v>2.9000000000000002E-3</v>
      </c>
      <c r="Q55" s="27">
        <f>(('Mitigation drivers'!L24*LagoonN2O)+('Mitigation drivers'!L25*LiquidN2O)+('Mitigation drivers'!L26*DrylotN2O)+('Mitigation drivers'!L27*SolidStorageN2O)+('Mitigation drivers'!L28*DailyspreadN2O)+('Mitigation drivers'!L29*CompostN2O)+('Mitigation drivers'!L30*ManwithbedN2O)+('Mitigation drivers'!L31*PMwithoutlitterN2O)+('Mitigation drivers'!L32*PMwithlitterN2O)+('Mitigation drivers'!L34*DigesterN2OEF))/100</f>
        <v>2.9000000000000002E-3</v>
      </c>
      <c r="R55" s="27">
        <f>(('Mitigation drivers'!M24*LagoonN2O)+('Mitigation drivers'!M25*LiquidN2O)+('Mitigation drivers'!M26*DrylotN2O)+('Mitigation drivers'!M27*SolidStorageN2O)+('Mitigation drivers'!M28*DailyspreadN2O)+('Mitigation drivers'!M29*CompostN2O)+('Mitigation drivers'!M30*ManwithbedN2O)+('Mitigation drivers'!M31*PMwithoutlitterN2O)+('Mitigation drivers'!M32*PMwithlitterN2O)+('Mitigation drivers'!M34*DigesterN2OEF))/100</f>
        <v>2.9000000000000002E-3</v>
      </c>
      <c r="S55" s="27">
        <f>(('Mitigation drivers'!N24*LagoonN2O)+('Mitigation drivers'!N25*LiquidN2O)+('Mitigation drivers'!N26*DrylotN2O)+('Mitigation drivers'!N27*SolidStorageN2O)+('Mitigation drivers'!N28*DailyspreadN2O)+('Mitigation drivers'!N29*CompostN2O)+('Mitigation drivers'!N30*ManwithbedN2O)+('Mitigation drivers'!N31*PMwithoutlitterN2O)+('Mitigation drivers'!N32*PMwithlitterN2O)+('Mitigation drivers'!N34*DigesterN2OEF))/100</f>
        <v>2.9000000000000002E-3</v>
      </c>
      <c r="T55" s="27">
        <f>(('Mitigation drivers'!O24*LagoonN2O)+('Mitigation drivers'!O25*LiquidN2O)+('Mitigation drivers'!O26*DrylotN2O)+('Mitigation drivers'!O27*SolidStorageN2O)+('Mitigation drivers'!O28*DailyspreadN2O)+('Mitigation drivers'!O29*CompostN2O)+('Mitigation drivers'!O30*ManwithbedN2O)+('Mitigation drivers'!O31*PMwithoutlitterN2O)+('Mitigation drivers'!O32*PMwithlitterN2O)+('Mitigation drivers'!O34*DigesterN2OEF))/100</f>
        <v>2.9000000000000002E-3</v>
      </c>
      <c r="U55" s="27">
        <f>(('Mitigation drivers'!P24*LagoonN2O)+('Mitigation drivers'!P25*LiquidN2O)+('Mitigation drivers'!P26*DrylotN2O)+('Mitigation drivers'!P27*SolidStorageN2O)+('Mitigation drivers'!P28*DailyspreadN2O)+('Mitigation drivers'!P29*CompostN2O)+('Mitigation drivers'!P30*ManwithbedN2O)+('Mitigation drivers'!P31*PMwithoutlitterN2O)+('Mitigation drivers'!P32*PMwithlitterN2O)+('Mitigation drivers'!P34*DigesterN2OEF))/100</f>
        <v>2.9000000000000002E-3</v>
      </c>
      <c r="V55" s="27">
        <f>(('Mitigation drivers'!Q24*LagoonN2O)+('Mitigation drivers'!Q25*LiquidN2O)+('Mitigation drivers'!Q26*DrylotN2O)+('Mitigation drivers'!Q27*SolidStorageN2O)+('Mitigation drivers'!Q28*DailyspreadN2O)+('Mitigation drivers'!Q29*CompostN2O)+('Mitigation drivers'!Q30*ManwithbedN2O)+('Mitigation drivers'!Q31*PMwithoutlitterN2O)+('Mitigation drivers'!Q32*PMwithlitterN2O)+('Mitigation drivers'!Q34*DigesterN2OEF))/100</f>
        <v>2.9000000000000002E-3</v>
      </c>
      <c r="W55" s="27">
        <f>(('Mitigation drivers'!R24*LagoonN2O)+('Mitigation drivers'!R25*LiquidN2O)+('Mitigation drivers'!R26*DrylotN2O)+('Mitigation drivers'!R27*SolidStorageN2O)+('Mitigation drivers'!R28*DailyspreadN2O)+('Mitigation drivers'!R29*CompostN2O)+('Mitigation drivers'!R30*ManwithbedN2O)+('Mitigation drivers'!R31*PMwithoutlitterN2O)+('Mitigation drivers'!R32*PMwithlitterN2O)+('Mitigation drivers'!R34*DigesterN2OEF))/100</f>
        <v>2.9000000000000002E-3</v>
      </c>
      <c r="X55" s="27">
        <f>(('Mitigation drivers'!S24*LagoonN2O)+('Mitigation drivers'!S25*LiquidN2O)+('Mitigation drivers'!S26*DrylotN2O)+('Mitigation drivers'!S27*SolidStorageN2O)+('Mitigation drivers'!S28*DailyspreadN2O)+('Mitigation drivers'!S29*CompostN2O)+('Mitigation drivers'!S30*ManwithbedN2O)+('Mitigation drivers'!S31*PMwithoutlitterN2O)+('Mitigation drivers'!S32*PMwithlitterN2O)+('Mitigation drivers'!S34*DigesterN2OEF))/100</f>
        <v>2.9000000000000002E-3</v>
      </c>
      <c r="Y55" s="27">
        <f>(('Mitigation drivers'!T24*LagoonN2O)+('Mitigation drivers'!T25*LiquidN2O)+('Mitigation drivers'!T26*DrylotN2O)+('Mitigation drivers'!T27*SolidStorageN2O)+('Mitigation drivers'!T28*DailyspreadN2O)+('Mitigation drivers'!T29*CompostN2O)+('Mitigation drivers'!T30*ManwithbedN2O)+('Mitigation drivers'!T31*PMwithoutlitterN2O)+('Mitigation drivers'!T32*PMwithlitterN2O)+('Mitigation drivers'!T34*DigesterN2OEF))/100</f>
        <v>2.9000000000000002E-3</v>
      </c>
      <c r="Z55" s="27">
        <f>(('Mitigation drivers'!U24*LagoonN2O)+('Mitigation drivers'!U25*LiquidN2O)+('Mitigation drivers'!U26*DrylotN2O)+('Mitigation drivers'!U27*SolidStorageN2O)+('Mitigation drivers'!U28*DailyspreadN2O)+('Mitigation drivers'!U29*CompostN2O)+('Mitigation drivers'!U30*ManwithbedN2O)+('Mitigation drivers'!U31*PMwithoutlitterN2O)+('Mitigation drivers'!U32*PMwithlitterN2O)+('Mitigation drivers'!U34*DigesterN2OEF))/100</f>
        <v>2.9000000000000002E-3</v>
      </c>
      <c r="AA55" s="27">
        <f>(('Mitigation drivers'!V24*LagoonN2O)+('Mitigation drivers'!V25*LiquidN2O)+('Mitigation drivers'!V26*DrylotN2O)+('Mitigation drivers'!V27*SolidStorageN2O)+('Mitigation drivers'!V28*DailyspreadN2O)+('Mitigation drivers'!V29*CompostN2O)+('Mitigation drivers'!V30*ManwithbedN2O)+('Mitigation drivers'!V31*PMwithoutlitterN2O)+('Mitigation drivers'!V32*PMwithlitterN2O)+('Mitigation drivers'!V34*DigesterN2OEF))/100</f>
        <v>2.9000000000000002E-3</v>
      </c>
      <c r="AB55" s="27">
        <f>(('Mitigation drivers'!W24*LagoonN2O)+('Mitigation drivers'!W25*LiquidN2O)+('Mitigation drivers'!W26*DrylotN2O)+('Mitigation drivers'!W27*SolidStorageN2O)+('Mitigation drivers'!W28*DailyspreadN2O)+('Mitigation drivers'!W29*CompostN2O)+('Mitigation drivers'!W30*ManwithbedN2O)+('Mitigation drivers'!W31*PMwithoutlitterN2O)+('Mitigation drivers'!W32*PMwithlitterN2O)+('Mitigation drivers'!W34*DigesterN2OEF))/100</f>
        <v>2.9000000000000002E-3</v>
      </c>
      <c r="AC55" s="27">
        <f>(('Mitigation drivers'!X24*LagoonN2O)+('Mitigation drivers'!X25*LiquidN2O)+('Mitigation drivers'!X26*DrylotN2O)+('Mitigation drivers'!X27*SolidStorageN2O)+('Mitigation drivers'!X28*DailyspreadN2O)+('Mitigation drivers'!X29*CompostN2O)+('Mitigation drivers'!X30*ManwithbedN2O)+('Mitigation drivers'!X31*PMwithoutlitterN2O)+('Mitigation drivers'!X32*PMwithlitterN2O)+('Mitigation drivers'!X34*DigesterN2OEF))/100</f>
        <v>2.9000000000000002E-3</v>
      </c>
      <c r="AD55" s="27">
        <f>(('Mitigation drivers'!Y24*LagoonN2O)+('Mitigation drivers'!Y25*LiquidN2O)+('Mitigation drivers'!Y26*DrylotN2O)+('Mitigation drivers'!Y27*SolidStorageN2O)+('Mitigation drivers'!Y28*DailyspreadN2O)+('Mitigation drivers'!Y29*CompostN2O)+('Mitigation drivers'!Y30*ManwithbedN2O)+('Mitigation drivers'!Y31*PMwithoutlitterN2O)+('Mitigation drivers'!Y32*PMwithlitterN2O)+('Mitigation drivers'!Y34*DigesterN2OEF))/100</f>
        <v>2.9000000000000002E-3</v>
      </c>
      <c r="AE55" s="27">
        <f>(('Mitigation drivers'!Z24*LagoonN2O)+('Mitigation drivers'!Z25*LiquidN2O)+('Mitigation drivers'!Z26*DrylotN2O)+('Mitigation drivers'!Z27*SolidStorageN2O)+('Mitigation drivers'!Z28*DailyspreadN2O)+('Mitigation drivers'!Z29*CompostN2O)+('Mitigation drivers'!Z30*ManwithbedN2O)+('Mitigation drivers'!Z31*PMwithoutlitterN2O)+('Mitigation drivers'!Z32*PMwithlitterN2O)+('Mitigation drivers'!Z34*DigesterN2OEF))/100</f>
        <v>2.9000000000000002E-3</v>
      </c>
      <c r="AF55" s="27">
        <f>(('Mitigation drivers'!AA24*LagoonN2O)+('Mitigation drivers'!AA25*LiquidN2O)+('Mitigation drivers'!AA26*DrylotN2O)+('Mitigation drivers'!AA27*SolidStorageN2O)+('Mitigation drivers'!AA28*DailyspreadN2O)+('Mitigation drivers'!AA29*CompostN2O)+('Mitigation drivers'!AA30*ManwithbedN2O)+('Mitigation drivers'!AA31*PMwithoutlitterN2O)+('Mitigation drivers'!AA32*PMwithlitterN2O)+('Mitigation drivers'!AA34*DigesterN2OEF))/100</f>
        <v>2.9000000000000002E-3</v>
      </c>
      <c r="AG55" s="27">
        <f>(('Mitigation drivers'!AB24*LagoonN2O)+('Mitigation drivers'!AB25*LiquidN2O)+('Mitigation drivers'!AB26*DrylotN2O)+('Mitigation drivers'!AB27*SolidStorageN2O)+('Mitigation drivers'!AB28*DailyspreadN2O)+('Mitigation drivers'!AB29*CompostN2O)+('Mitigation drivers'!AB30*ManwithbedN2O)+('Mitigation drivers'!AB31*PMwithoutlitterN2O)+('Mitigation drivers'!AB32*PMwithlitterN2O)+('Mitigation drivers'!AB34*DigesterN2OEF))/100</f>
        <v>2.9000000000000002E-3</v>
      </c>
      <c r="AH55" s="27">
        <f>(('Mitigation drivers'!AC24*LagoonN2O)+('Mitigation drivers'!AC25*LiquidN2O)+('Mitigation drivers'!AC26*DrylotN2O)+('Mitigation drivers'!AC27*SolidStorageN2O)+('Mitigation drivers'!AC28*DailyspreadN2O)+('Mitigation drivers'!AC29*CompostN2O)+('Mitigation drivers'!AC30*ManwithbedN2O)+('Mitigation drivers'!AC31*PMwithoutlitterN2O)+('Mitigation drivers'!AC32*PMwithlitterN2O)+('Mitigation drivers'!AC34*DigesterN2OEF))/100</f>
        <v>2.9000000000000002E-3</v>
      </c>
      <c r="AI55" s="27">
        <f>(('Mitigation drivers'!AD24*LagoonN2O)+('Mitigation drivers'!AD25*LiquidN2O)+('Mitigation drivers'!AD26*DrylotN2O)+('Mitigation drivers'!AD27*SolidStorageN2O)+('Mitigation drivers'!AD28*DailyspreadN2O)+('Mitigation drivers'!AD29*CompostN2O)+('Mitigation drivers'!AD30*ManwithbedN2O)+('Mitigation drivers'!AD31*PMwithoutlitterN2O)+('Mitigation drivers'!AD32*PMwithlitterN2O)+('Mitigation drivers'!AD34*DigesterN2OEF))/100</f>
        <v>2.9000000000000002E-3</v>
      </c>
      <c r="AJ55" s="27">
        <f>(('Mitigation drivers'!AE24*LagoonN2O)+('Mitigation drivers'!AE25*LiquidN2O)+('Mitigation drivers'!AE26*DrylotN2O)+('Mitigation drivers'!AE27*SolidStorageN2O)+('Mitigation drivers'!AE28*DailyspreadN2O)+('Mitigation drivers'!AE29*CompostN2O)+('Mitigation drivers'!AE30*ManwithbedN2O)+('Mitigation drivers'!AE31*PMwithoutlitterN2O)+('Mitigation drivers'!AE32*PMwithlitterN2O)+('Mitigation drivers'!AE34*DigesterN2OEF))/100</f>
        <v>2.9000000000000002E-3</v>
      </c>
      <c r="AK55" s="27">
        <f>(('Mitigation drivers'!AF24*LagoonN2O)+('Mitigation drivers'!AF25*LiquidN2O)+('Mitigation drivers'!AF26*DrylotN2O)+('Mitigation drivers'!AF27*SolidStorageN2O)+('Mitigation drivers'!AF28*DailyspreadN2O)+('Mitigation drivers'!AF29*CompostN2O)+('Mitigation drivers'!AF30*ManwithbedN2O)+('Mitigation drivers'!AF31*PMwithoutlitterN2O)+('Mitigation drivers'!AF32*PMwithlitterN2O)+('Mitigation drivers'!AF34*DigesterN2OEF))/100</f>
        <v>2.9000000000000002E-3</v>
      </c>
      <c r="AL55" s="27">
        <f>(('Mitigation drivers'!AG24*LagoonN2O)+('Mitigation drivers'!AG25*LiquidN2O)+('Mitigation drivers'!AG26*DrylotN2O)+('Mitigation drivers'!AG27*SolidStorageN2O)+('Mitigation drivers'!AG28*DailyspreadN2O)+('Mitigation drivers'!AG29*CompostN2O)+('Mitigation drivers'!AG30*ManwithbedN2O)+('Mitigation drivers'!AG31*PMwithoutlitterN2O)+('Mitigation drivers'!AG32*PMwithlitterN2O)+('Mitigation drivers'!AG34*DigesterN2OEF))/100</f>
        <v>2.9000000000000002E-3</v>
      </c>
      <c r="AM55" s="27">
        <f>(('Mitigation drivers'!AH24*LagoonN2O)+('Mitigation drivers'!AH25*LiquidN2O)+('Mitigation drivers'!AH26*DrylotN2O)+('Mitigation drivers'!AH27*SolidStorageN2O)+('Mitigation drivers'!AH28*DailyspreadN2O)+('Mitigation drivers'!AH29*CompostN2O)+('Mitigation drivers'!AH30*ManwithbedN2O)+('Mitigation drivers'!AH31*PMwithoutlitterN2O)+('Mitigation drivers'!AH32*PMwithlitterN2O)+('Mitigation drivers'!AH34*DigesterN2OEF))/100</f>
        <v>2.9000000000000002E-3</v>
      </c>
      <c r="AN55" s="27">
        <f>(('Mitigation drivers'!AI24*LagoonN2O)+('Mitigation drivers'!AI25*LiquidN2O)+('Mitigation drivers'!AI26*DrylotN2O)+('Mitigation drivers'!AI27*SolidStorageN2O)+('Mitigation drivers'!AI28*DailyspreadN2O)+('Mitigation drivers'!AI29*CompostN2O)+('Mitigation drivers'!AI30*ManwithbedN2O)+('Mitigation drivers'!AI31*PMwithoutlitterN2O)+('Mitigation drivers'!AI32*PMwithlitterN2O)+('Mitigation drivers'!AI34*DigesterN2OEF))/100</f>
        <v>2.9000000000000002E-3</v>
      </c>
      <c r="AO55" s="27">
        <f>(('Mitigation drivers'!AJ24*LagoonN2O)+('Mitigation drivers'!AJ25*LiquidN2O)+('Mitigation drivers'!AJ26*DrylotN2O)+('Mitigation drivers'!AJ27*SolidStorageN2O)+('Mitigation drivers'!AJ28*DailyspreadN2O)+('Mitigation drivers'!AJ29*CompostN2O)+('Mitigation drivers'!AJ30*ManwithbedN2O)+('Mitigation drivers'!AJ31*PMwithoutlitterN2O)+('Mitigation drivers'!AJ32*PMwithlitterN2O)+('Mitigation drivers'!AJ34*DigesterN2OEF))/100</f>
        <v>2.9000000000000002E-3</v>
      </c>
    </row>
    <row r="56" spans="1:41" x14ac:dyDescent="0.25">
      <c r="A56" t="str">
        <f t="shared" si="1"/>
        <v>3A Livestock</v>
      </c>
      <c r="B56" t="str">
        <f t="shared" si="8"/>
        <v>3A2 Manure management (N2O)</v>
      </c>
      <c r="C56" t="str">
        <f>'Activity data'!C7</f>
        <v>3A1aii Other cattle</v>
      </c>
      <c r="D56" t="str">
        <f>'Activity data'!D7</f>
        <v>Non-lactating</v>
      </c>
      <c r="E56" t="str">
        <f t="shared" si="6"/>
        <v>Manure management EF</v>
      </c>
      <c r="F56" t="str">
        <f>F55</f>
        <v>N2O</v>
      </c>
      <c r="G56" t="str">
        <f>G55</f>
        <v>kg N2O-N/kg Nex</v>
      </c>
      <c r="H56" s="27">
        <f>(('Mitigation drivers'!C36*LagoonN2O)+('Mitigation drivers'!C37*LiquidN2O)+('Mitigation drivers'!C38*DrylotN2O)+('Mitigation drivers'!C39*SolidStorageN2O)+('Mitigation drivers'!C40*DailyspreadN2O)+('Mitigation drivers'!C41*CompostN2O)+('Mitigation drivers'!C42*ManwithbedN2O)+('Mitigation drivers'!C43*PMwithoutlitterN2O)+('Mitigation drivers'!C44*PMwithlitterN2O)+('Mitigation drivers'!C46*DigesterN2OEF))/100</f>
        <v>2.9999999999999997E-4</v>
      </c>
      <c r="I56" s="27">
        <f>(('Mitigation drivers'!D36*LagoonN2O)+('Mitigation drivers'!D37*LiquidN2O)+('Mitigation drivers'!D38*DrylotN2O)+('Mitigation drivers'!D39*SolidStorageN2O)+('Mitigation drivers'!D40*DailyspreadN2O)+('Mitigation drivers'!D41*CompostN2O)+('Mitigation drivers'!D42*ManwithbedN2O)+('Mitigation drivers'!D43*PMwithoutlitterN2O)+('Mitigation drivers'!D44*PMwithlitterN2O)+('Mitigation drivers'!D46*DigesterN2OEF))/100</f>
        <v>2.9999999999999997E-4</v>
      </c>
      <c r="J56" s="27">
        <f>(('Mitigation drivers'!E36*LagoonN2O)+('Mitigation drivers'!E37*LiquidN2O)+('Mitigation drivers'!E38*DrylotN2O)+('Mitigation drivers'!E39*SolidStorageN2O)+('Mitigation drivers'!E40*DailyspreadN2O)+('Mitigation drivers'!E41*CompostN2O)+('Mitigation drivers'!E42*ManwithbedN2O)+('Mitigation drivers'!E43*PMwithoutlitterN2O)+('Mitigation drivers'!E44*PMwithlitterN2O)+('Mitigation drivers'!E46*DigesterN2OEF))/100</f>
        <v>2.9999999999999997E-4</v>
      </c>
      <c r="K56" s="27">
        <f>(('Mitigation drivers'!F36*LagoonN2O)+('Mitigation drivers'!F37*LiquidN2O)+('Mitigation drivers'!F38*DrylotN2O)+('Mitigation drivers'!F39*SolidStorageN2O)+('Mitigation drivers'!F40*DailyspreadN2O)+('Mitigation drivers'!F41*CompostN2O)+('Mitigation drivers'!F42*ManwithbedN2O)+('Mitigation drivers'!F43*PMwithoutlitterN2O)+('Mitigation drivers'!F44*PMwithlitterN2O)+('Mitigation drivers'!F46*DigesterN2OEF))/100</f>
        <v>2.9999999999999997E-4</v>
      </c>
      <c r="L56" s="27">
        <f>(('Mitigation drivers'!G36*LagoonN2O)+('Mitigation drivers'!G37*LiquidN2O)+('Mitigation drivers'!G38*DrylotN2O)+('Mitigation drivers'!G39*SolidStorageN2O)+('Mitigation drivers'!G40*DailyspreadN2O)+('Mitigation drivers'!G41*CompostN2O)+('Mitigation drivers'!G42*ManwithbedN2O)+('Mitigation drivers'!G43*PMwithoutlitterN2O)+('Mitigation drivers'!G44*PMwithlitterN2O)+('Mitigation drivers'!G46*DigesterN2OEF))/100</f>
        <v>2.9999999999999997E-4</v>
      </c>
      <c r="M56" s="27">
        <f>(('Mitigation drivers'!H36*LagoonN2O)+('Mitigation drivers'!H37*LiquidN2O)+('Mitigation drivers'!H38*DrylotN2O)+('Mitigation drivers'!H39*SolidStorageN2O)+('Mitigation drivers'!H40*DailyspreadN2O)+('Mitigation drivers'!H41*CompostN2O)+('Mitigation drivers'!H42*ManwithbedN2O)+('Mitigation drivers'!H43*PMwithoutlitterN2O)+('Mitigation drivers'!H44*PMwithlitterN2O)+('Mitigation drivers'!H46*DigesterN2OEF))/100</f>
        <v>2.9999999999999997E-4</v>
      </c>
      <c r="N56" s="27">
        <f>(('Mitigation drivers'!I36*LagoonN2O)+('Mitigation drivers'!I37*LiquidN2O)+('Mitigation drivers'!I38*DrylotN2O)+('Mitigation drivers'!I39*SolidStorageN2O)+('Mitigation drivers'!I40*DailyspreadN2O)+('Mitigation drivers'!I41*CompostN2O)+('Mitigation drivers'!I42*ManwithbedN2O)+('Mitigation drivers'!I43*PMwithoutlitterN2O)+('Mitigation drivers'!I44*PMwithlitterN2O)+('Mitigation drivers'!I46*DigesterN2OEF))/100</f>
        <v>2.9999999999999997E-4</v>
      </c>
      <c r="O56" s="27">
        <f>(('Mitigation drivers'!J36*LagoonN2O)+('Mitigation drivers'!J37*LiquidN2O)+('Mitigation drivers'!J38*DrylotN2O)+('Mitigation drivers'!J39*SolidStorageN2O)+('Mitigation drivers'!J40*DailyspreadN2O)+('Mitigation drivers'!J41*CompostN2O)+('Mitigation drivers'!J42*ManwithbedN2O)+('Mitigation drivers'!J43*PMwithoutlitterN2O)+('Mitigation drivers'!J44*PMwithlitterN2O)+('Mitigation drivers'!J46*DigesterN2OEF))/100</f>
        <v>2.9999999999999997E-4</v>
      </c>
      <c r="P56" s="27">
        <f>(('Mitigation drivers'!K36*LagoonN2O)+('Mitigation drivers'!K37*LiquidN2O)+('Mitigation drivers'!K38*DrylotN2O)+('Mitigation drivers'!K39*SolidStorageN2O)+('Mitigation drivers'!K40*DailyspreadN2O)+('Mitigation drivers'!K41*CompostN2O)+('Mitigation drivers'!K42*ManwithbedN2O)+('Mitigation drivers'!K43*PMwithoutlitterN2O)+('Mitigation drivers'!K44*PMwithlitterN2O)+('Mitigation drivers'!K46*DigesterN2OEF))/100</f>
        <v>2.9999999999999997E-4</v>
      </c>
      <c r="Q56" s="27">
        <f>(('Mitigation drivers'!L36*LagoonN2O)+('Mitigation drivers'!L37*LiquidN2O)+('Mitigation drivers'!L38*DrylotN2O)+('Mitigation drivers'!L39*SolidStorageN2O)+('Mitigation drivers'!L40*DailyspreadN2O)+('Mitigation drivers'!L41*CompostN2O)+('Mitigation drivers'!L42*ManwithbedN2O)+('Mitigation drivers'!L43*PMwithoutlitterN2O)+('Mitigation drivers'!L44*PMwithlitterN2O)+('Mitigation drivers'!L46*DigesterN2OEF))/100</f>
        <v>2.9999999999999997E-4</v>
      </c>
      <c r="R56" s="27">
        <f>(('Mitigation drivers'!M36*LagoonN2O)+('Mitigation drivers'!M37*LiquidN2O)+('Mitigation drivers'!M38*DrylotN2O)+('Mitigation drivers'!M39*SolidStorageN2O)+('Mitigation drivers'!M40*DailyspreadN2O)+('Mitigation drivers'!M41*CompostN2O)+('Mitigation drivers'!M42*ManwithbedN2O)+('Mitigation drivers'!M43*PMwithoutlitterN2O)+('Mitigation drivers'!M44*PMwithlitterN2O)+('Mitigation drivers'!M46*DigesterN2OEF))/100</f>
        <v>2.9999999999999997E-4</v>
      </c>
      <c r="S56" s="27">
        <f>(('Mitigation drivers'!N36*LagoonN2O)+('Mitigation drivers'!N37*LiquidN2O)+('Mitigation drivers'!N38*DrylotN2O)+('Mitigation drivers'!N39*SolidStorageN2O)+('Mitigation drivers'!N40*DailyspreadN2O)+('Mitigation drivers'!N41*CompostN2O)+('Mitigation drivers'!N42*ManwithbedN2O)+('Mitigation drivers'!N43*PMwithoutlitterN2O)+('Mitigation drivers'!N44*PMwithlitterN2O)+('Mitigation drivers'!N46*DigesterN2OEF))/100</f>
        <v>2.9999999999999997E-4</v>
      </c>
      <c r="T56" s="27">
        <f>(('Mitigation drivers'!O36*LagoonN2O)+('Mitigation drivers'!O37*LiquidN2O)+('Mitigation drivers'!O38*DrylotN2O)+('Mitigation drivers'!O39*SolidStorageN2O)+('Mitigation drivers'!O40*DailyspreadN2O)+('Mitigation drivers'!O41*CompostN2O)+('Mitigation drivers'!O42*ManwithbedN2O)+('Mitigation drivers'!O43*PMwithoutlitterN2O)+('Mitigation drivers'!O44*PMwithlitterN2O)+('Mitigation drivers'!O46*DigesterN2OEF))/100</f>
        <v>2.9999999999999997E-4</v>
      </c>
      <c r="U56" s="27">
        <f>(('Mitigation drivers'!P36*LagoonN2O)+('Mitigation drivers'!P37*LiquidN2O)+('Mitigation drivers'!P38*DrylotN2O)+('Mitigation drivers'!P39*SolidStorageN2O)+('Mitigation drivers'!P40*DailyspreadN2O)+('Mitigation drivers'!P41*CompostN2O)+('Mitigation drivers'!P42*ManwithbedN2O)+('Mitigation drivers'!P43*PMwithoutlitterN2O)+('Mitigation drivers'!P44*PMwithlitterN2O)+('Mitigation drivers'!P46*DigesterN2OEF))/100</f>
        <v>2.9999999999999997E-4</v>
      </c>
      <c r="V56" s="27">
        <f>(('Mitigation drivers'!Q36*LagoonN2O)+('Mitigation drivers'!Q37*LiquidN2O)+('Mitigation drivers'!Q38*DrylotN2O)+('Mitigation drivers'!Q39*SolidStorageN2O)+('Mitigation drivers'!Q40*DailyspreadN2O)+('Mitigation drivers'!Q41*CompostN2O)+('Mitigation drivers'!Q42*ManwithbedN2O)+('Mitigation drivers'!Q43*PMwithoutlitterN2O)+('Mitigation drivers'!Q44*PMwithlitterN2O)+('Mitigation drivers'!Q46*DigesterN2OEF))/100</f>
        <v>2.9999999999999997E-4</v>
      </c>
      <c r="W56" s="27">
        <f>(('Mitigation drivers'!R36*LagoonN2O)+('Mitigation drivers'!R37*LiquidN2O)+('Mitigation drivers'!R38*DrylotN2O)+('Mitigation drivers'!R39*SolidStorageN2O)+('Mitigation drivers'!R40*DailyspreadN2O)+('Mitigation drivers'!R41*CompostN2O)+('Mitigation drivers'!R42*ManwithbedN2O)+('Mitigation drivers'!R43*PMwithoutlitterN2O)+('Mitigation drivers'!R44*PMwithlitterN2O)+('Mitigation drivers'!R46*DigesterN2OEF))/100</f>
        <v>2.9999999999999997E-4</v>
      </c>
      <c r="X56" s="27">
        <f>(('Mitigation drivers'!S36*LagoonN2O)+('Mitigation drivers'!S37*LiquidN2O)+('Mitigation drivers'!S38*DrylotN2O)+('Mitigation drivers'!S39*SolidStorageN2O)+('Mitigation drivers'!S40*DailyspreadN2O)+('Mitigation drivers'!S41*CompostN2O)+('Mitigation drivers'!S42*ManwithbedN2O)+('Mitigation drivers'!S43*PMwithoutlitterN2O)+('Mitigation drivers'!S44*PMwithlitterN2O)+('Mitigation drivers'!S46*DigesterN2OEF))/100</f>
        <v>2.9999999999999997E-4</v>
      </c>
      <c r="Y56" s="27">
        <f>(('Mitigation drivers'!T36*LagoonN2O)+('Mitigation drivers'!T37*LiquidN2O)+('Mitigation drivers'!T38*DrylotN2O)+('Mitigation drivers'!T39*SolidStorageN2O)+('Mitigation drivers'!T40*DailyspreadN2O)+('Mitigation drivers'!T41*CompostN2O)+('Mitigation drivers'!T42*ManwithbedN2O)+('Mitigation drivers'!T43*PMwithoutlitterN2O)+('Mitigation drivers'!T44*PMwithlitterN2O)+('Mitigation drivers'!T46*DigesterN2OEF))/100</f>
        <v>2.9999999999999997E-4</v>
      </c>
      <c r="Z56" s="27">
        <f>(('Mitigation drivers'!U36*LagoonN2O)+('Mitigation drivers'!U37*LiquidN2O)+('Mitigation drivers'!U38*DrylotN2O)+('Mitigation drivers'!U39*SolidStorageN2O)+('Mitigation drivers'!U40*DailyspreadN2O)+('Mitigation drivers'!U41*CompostN2O)+('Mitigation drivers'!U42*ManwithbedN2O)+('Mitigation drivers'!U43*PMwithoutlitterN2O)+('Mitigation drivers'!U44*PMwithlitterN2O)+('Mitigation drivers'!U46*DigesterN2OEF))/100</f>
        <v>2.9999999999999997E-4</v>
      </c>
      <c r="AA56" s="27">
        <f>(('Mitigation drivers'!V36*LagoonN2O)+('Mitigation drivers'!V37*LiquidN2O)+('Mitigation drivers'!V38*DrylotN2O)+('Mitigation drivers'!V39*SolidStorageN2O)+('Mitigation drivers'!V40*DailyspreadN2O)+('Mitigation drivers'!V41*CompostN2O)+('Mitigation drivers'!V42*ManwithbedN2O)+('Mitigation drivers'!V43*PMwithoutlitterN2O)+('Mitigation drivers'!V44*PMwithlitterN2O)+('Mitigation drivers'!V46*DigesterN2OEF))/100</f>
        <v>2.9999999999999997E-4</v>
      </c>
      <c r="AB56" s="27">
        <f>(('Mitigation drivers'!W36*LagoonN2O)+('Mitigation drivers'!W37*LiquidN2O)+('Mitigation drivers'!W38*DrylotN2O)+('Mitigation drivers'!W39*SolidStorageN2O)+('Mitigation drivers'!W40*DailyspreadN2O)+('Mitigation drivers'!W41*CompostN2O)+('Mitigation drivers'!W42*ManwithbedN2O)+('Mitigation drivers'!W43*PMwithoutlitterN2O)+('Mitigation drivers'!W44*PMwithlitterN2O)+('Mitigation drivers'!W46*DigesterN2OEF))/100</f>
        <v>2.9999999999999997E-4</v>
      </c>
      <c r="AC56" s="27">
        <f>(('Mitigation drivers'!X36*LagoonN2O)+('Mitigation drivers'!X37*LiquidN2O)+('Mitigation drivers'!X38*DrylotN2O)+('Mitigation drivers'!X39*SolidStorageN2O)+('Mitigation drivers'!X40*DailyspreadN2O)+('Mitigation drivers'!X41*CompostN2O)+('Mitigation drivers'!X42*ManwithbedN2O)+('Mitigation drivers'!X43*PMwithoutlitterN2O)+('Mitigation drivers'!X44*PMwithlitterN2O)+('Mitigation drivers'!X46*DigesterN2OEF))/100</f>
        <v>2.9999999999999997E-4</v>
      </c>
      <c r="AD56" s="27">
        <f>(('Mitigation drivers'!Y36*LagoonN2O)+('Mitigation drivers'!Y37*LiquidN2O)+('Mitigation drivers'!Y38*DrylotN2O)+('Mitigation drivers'!Y39*SolidStorageN2O)+('Mitigation drivers'!Y40*DailyspreadN2O)+('Mitigation drivers'!Y41*CompostN2O)+('Mitigation drivers'!Y42*ManwithbedN2O)+('Mitigation drivers'!Y43*PMwithoutlitterN2O)+('Mitigation drivers'!Y44*PMwithlitterN2O)+('Mitigation drivers'!Y46*DigesterN2OEF))/100</f>
        <v>2.9999999999999997E-4</v>
      </c>
      <c r="AE56" s="27">
        <f>(('Mitigation drivers'!Z36*LagoonN2O)+('Mitigation drivers'!Z37*LiquidN2O)+('Mitigation drivers'!Z38*DrylotN2O)+('Mitigation drivers'!Z39*SolidStorageN2O)+('Mitigation drivers'!Z40*DailyspreadN2O)+('Mitigation drivers'!Z41*CompostN2O)+('Mitigation drivers'!Z42*ManwithbedN2O)+('Mitigation drivers'!Z43*PMwithoutlitterN2O)+('Mitigation drivers'!Z44*PMwithlitterN2O)+('Mitigation drivers'!Z46*DigesterN2OEF))/100</f>
        <v>2.9999999999999997E-4</v>
      </c>
      <c r="AF56" s="27">
        <f>(('Mitigation drivers'!AA36*LagoonN2O)+('Mitigation drivers'!AA37*LiquidN2O)+('Mitigation drivers'!AA38*DrylotN2O)+('Mitigation drivers'!AA39*SolidStorageN2O)+('Mitigation drivers'!AA40*DailyspreadN2O)+('Mitigation drivers'!AA41*CompostN2O)+('Mitigation drivers'!AA42*ManwithbedN2O)+('Mitigation drivers'!AA43*PMwithoutlitterN2O)+('Mitigation drivers'!AA44*PMwithlitterN2O)+('Mitigation drivers'!AA46*DigesterN2OEF))/100</f>
        <v>2.9999999999999997E-4</v>
      </c>
      <c r="AG56" s="27">
        <f>(('Mitigation drivers'!AB36*LagoonN2O)+('Mitigation drivers'!AB37*LiquidN2O)+('Mitigation drivers'!AB38*DrylotN2O)+('Mitigation drivers'!AB39*SolidStorageN2O)+('Mitigation drivers'!AB40*DailyspreadN2O)+('Mitigation drivers'!AB41*CompostN2O)+('Mitigation drivers'!AB42*ManwithbedN2O)+('Mitigation drivers'!AB43*PMwithoutlitterN2O)+('Mitigation drivers'!AB44*PMwithlitterN2O)+('Mitigation drivers'!AB46*DigesterN2OEF))/100</f>
        <v>2.9999999999999997E-4</v>
      </c>
      <c r="AH56" s="27">
        <f>(('Mitigation drivers'!AC36*LagoonN2O)+('Mitigation drivers'!AC37*LiquidN2O)+('Mitigation drivers'!AC38*DrylotN2O)+('Mitigation drivers'!AC39*SolidStorageN2O)+('Mitigation drivers'!AC40*DailyspreadN2O)+('Mitigation drivers'!AC41*CompostN2O)+('Mitigation drivers'!AC42*ManwithbedN2O)+('Mitigation drivers'!AC43*PMwithoutlitterN2O)+('Mitigation drivers'!AC44*PMwithlitterN2O)+('Mitigation drivers'!AC46*DigesterN2OEF))/100</f>
        <v>2.9999999999999997E-4</v>
      </c>
      <c r="AI56" s="27">
        <f>(('Mitigation drivers'!AD36*LagoonN2O)+('Mitigation drivers'!AD37*LiquidN2O)+('Mitigation drivers'!AD38*DrylotN2O)+('Mitigation drivers'!AD39*SolidStorageN2O)+('Mitigation drivers'!AD40*DailyspreadN2O)+('Mitigation drivers'!AD41*CompostN2O)+('Mitigation drivers'!AD42*ManwithbedN2O)+('Mitigation drivers'!AD43*PMwithoutlitterN2O)+('Mitigation drivers'!AD44*PMwithlitterN2O)+('Mitigation drivers'!AD46*DigesterN2OEF))/100</f>
        <v>2.9999999999999997E-4</v>
      </c>
      <c r="AJ56" s="27">
        <f>(('Mitigation drivers'!AE36*LagoonN2O)+('Mitigation drivers'!AE37*LiquidN2O)+('Mitigation drivers'!AE38*DrylotN2O)+('Mitigation drivers'!AE39*SolidStorageN2O)+('Mitigation drivers'!AE40*DailyspreadN2O)+('Mitigation drivers'!AE41*CompostN2O)+('Mitigation drivers'!AE42*ManwithbedN2O)+('Mitigation drivers'!AE43*PMwithoutlitterN2O)+('Mitigation drivers'!AE44*PMwithlitterN2O)+('Mitigation drivers'!AE46*DigesterN2OEF))/100</f>
        <v>2.9999999999999997E-4</v>
      </c>
      <c r="AK56" s="27">
        <f>(('Mitigation drivers'!AF36*LagoonN2O)+('Mitigation drivers'!AF37*LiquidN2O)+('Mitigation drivers'!AF38*DrylotN2O)+('Mitigation drivers'!AF39*SolidStorageN2O)+('Mitigation drivers'!AF40*DailyspreadN2O)+('Mitigation drivers'!AF41*CompostN2O)+('Mitigation drivers'!AF42*ManwithbedN2O)+('Mitigation drivers'!AF43*PMwithoutlitterN2O)+('Mitigation drivers'!AF44*PMwithlitterN2O)+('Mitigation drivers'!AF46*DigesterN2OEF))/100</f>
        <v>2.9999999999999997E-4</v>
      </c>
      <c r="AL56" s="27">
        <f>(('Mitigation drivers'!AG36*LagoonN2O)+('Mitigation drivers'!AG37*LiquidN2O)+('Mitigation drivers'!AG38*DrylotN2O)+('Mitigation drivers'!AG39*SolidStorageN2O)+('Mitigation drivers'!AG40*DailyspreadN2O)+('Mitigation drivers'!AG41*CompostN2O)+('Mitigation drivers'!AG42*ManwithbedN2O)+('Mitigation drivers'!AG43*PMwithoutlitterN2O)+('Mitigation drivers'!AG44*PMwithlitterN2O)+('Mitigation drivers'!AG46*DigesterN2OEF))/100</f>
        <v>2.9999999999999997E-4</v>
      </c>
      <c r="AM56" s="27">
        <f>(('Mitigation drivers'!AH36*LagoonN2O)+('Mitigation drivers'!AH37*LiquidN2O)+('Mitigation drivers'!AH38*DrylotN2O)+('Mitigation drivers'!AH39*SolidStorageN2O)+('Mitigation drivers'!AH40*DailyspreadN2O)+('Mitigation drivers'!AH41*CompostN2O)+('Mitigation drivers'!AH42*ManwithbedN2O)+('Mitigation drivers'!AH43*PMwithoutlitterN2O)+('Mitigation drivers'!AH44*PMwithlitterN2O)+('Mitigation drivers'!AH46*DigesterN2OEF))/100</f>
        <v>2.9999999999999997E-4</v>
      </c>
      <c r="AN56" s="27">
        <f>(('Mitigation drivers'!AI36*LagoonN2O)+('Mitigation drivers'!AI37*LiquidN2O)+('Mitigation drivers'!AI38*DrylotN2O)+('Mitigation drivers'!AI39*SolidStorageN2O)+('Mitigation drivers'!AI40*DailyspreadN2O)+('Mitigation drivers'!AI41*CompostN2O)+('Mitigation drivers'!AI42*ManwithbedN2O)+('Mitigation drivers'!AI43*PMwithoutlitterN2O)+('Mitigation drivers'!AI44*PMwithlitterN2O)+('Mitigation drivers'!AI46*DigesterN2OEF))/100</f>
        <v>2.9999999999999997E-4</v>
      </c>
      <c r="AO56" s="27">
        <f>(('Mitigation drivers'!AJ36*LagoonN2O)+('Mitigation drivers'!AJ37*LiquidN2O)+('Mitigation drivers'!AJ38*DrylotN2O)+('Mitigation drivers'!AJ39*SolidStorageN2O)+('Mitigation drivers'!AJ40*DailyspreadN2O)+('Mitigation drivers'!AJ41*CompostN2O)+('Mitigation drivers'!AJ42*ManwithbedN2O)+('Mitigation drivers'!AJ43*PMwithoutlitterN2O)+('Mitigation drivers'!AJ44*PMwithlitterN2O)+('Mitigation drivers'!AJ46*DigesterN2OEF))/100</f>
        <v>2.9999999999999997E-4</v>
      </c>
    </row>
    <row r="57" spans="1:41" x14ac:dyDescent="0.25">
      <c r="A57" t="str">
        <f t="shared" si="1"/>
        <v>3A Livestock</v>
      </c>
      <c r="B57" t="str">
        <f t="shared" si="8"/>
        <v>3A2 Manure management (N2O)</v>
      </c>
      <c r="C57" t="str">
        <f>'Activity data'!C8</f>
        <v>3A1aii Other cattle</v>
      </c>
      <c r="D57" t="str">
        <f>'Activity data'!D8</f>
        <v>Commercial</v>
      </c>
      <c r="E57" t="str">
        <f>E55</f>
        <v>Manure management EF</v>
      </c>
      <c r="F57" t="str">
        <f>F55</f>
        <v>N2O</v>
      </c>
      <c r="G57" t="str">
        <f>G55</f>
        <v>kg N2O-N/kg Nex</v>
      </c>
      <c r="H57" s="27">
        <f>(('Mitigation drivers'!C49*LagoonN2O)+('Mitigation drivers'!C50*LiquidN2O)+('Mitigation drivers'!C51*DrylotN2O)+('Mitigation drivers'!C52*SolidStorageN2O)+('Mitigation drivers'!C53*DailyspreadN2O)+('Mitigation drivers'!C54*CompostN2O)+('Mitigation drivers'!C55*ManwithbedN2O)+('Mitigation drivers'!C56*PMwithoutlitterN2O)+('Mitigation drivers'!C57*PMwithlitterN2O)+('Mitigation drivers'!C59*DigesterN2OEF))/100</f>
        <v>6.4999999999999997E-4</v>
      </c>
      <c r="I57" s="27">
        <f>(('Mitigation drivers'!D49*LagoonN2O)+('Mitigation drivers'!D50*LiquidN2O)+('Mitigation drivers'!D51*DrylotN2O)+('Mitigation drivers'!D52*SolidStorageN2O)+('Mitigation drivers'!D53*DailyspreadN2O)+('Mitigation drivers'!D54*CompostN2O)+('Mitigation drivers'!D55*ManwithbedN2O)+('Mitigation drivers'!D56*PMwithoutlitterN2O)+('Mitigation drivers'!D57*PMwithlitterN2O)+('Mitigation drivers'!D59*DigesterN2OEF))/100</f>
        <v>6.4999999999999997E-4</v>
      </c>
      <c r="J57" s="27">
        <f>(('Mitigation drivers'!E49*LagoonN2O)+('Mitigation drivers'!E50*LiquidN2O)+('Mitigation drivers'!E51*DrylotN2O)+('Mitigation drivers'!E52*SolidStorageN2O)+('Mitigation drivers'!E53*DailyspreadN2O)+('Mitigation drivers'!E54*CompostN2O)+('Mitigation drivers'!E55*ManwithbedN2O)+('Mitigation drivers'!E56*PMwithoutlitterN2O)+('Mitigation drivers'!E57*PMwithlitterN2O)+('Mitigation drivers'!E59*DigesterN2OEF))/100</f>
        <v>6.4999999999999997E-4</v>
      </c>
      <c r="K57" s="27">
        <f>(('Mitigation drivers'!F49*LagoonN2O)+('Mitigation drivers'!F50*LiquidN2O)+('Mitigation drivers'!F51*DrylotN2O)+('Mitigation drivers'!F52*SolidStorageN2O)+('Mitigation drivers'!F53*DailyspreadN2O)+('Mitigation drivers'!F54*CompostN2O)+('Mitigation drivers'!F55*ManwithbedN2O)+('Mitigation drivers'!F56*PMwithoutlitterN2O)+('Mitigation drivers'!F57*PMwithlitterN2O)+('Mitigation drivers'!F59*DigesterN2OEF))/100</f>
        <v>6.4999999999999997E-4</v>
      </c>
      <c r="L57" s="27">
        <f>(('Mitigation drivers'!G49*LagoonN2O)+('Mitigation drivers'!G50*LiquidN2O)+('Mitigation drivers'!G51*DrylotN2O)+('Mitigation drivers'!G52*SolidStorageN2O)+('Mitigation drivers'!G53*DailyspreadN2O)+('Mitigation drivers'!G54*CompostN2O)+('Mitigation drivers'!G55*ManwithbedN2O)+('Mitigation drivers'!G56*PMwithoutlitterN2O)+('Mitigation drivers'!G57*PMwithlitterN2O)+('Mitigation drivers'!G59*DigesterN2OEF))/100</f>
        <v>6.4999999999999997E-4</v>
      </c>
      <c r="M57" s="27">
        <f>(('Mitigation drivers'!H49*LagoonN2O)+('Mitigation drivers'!H50*LiquidN2O)+('Mitigation drivers'!H51*DrylotN2O)+('Mitigation drivers'!H52*SolidStorageN2O)+('Mitigation drivers'!H53*DailyspreadN2O)+('Mitigation drivers'!H54*CompostN2O)+('Mitigation drivers'!H55*ManwithbedN2O)+('Mitigation drivers'!H56*PMwithoutlitterN2O)+('Mitigation drivers'!H57*PMwithlitterN2O)+('Mitigation drivers'!H59*DigesterN2OEF))/100</f>
        <v>6.4999999999999997E-4</v>
      </c>
      <c r="N57" s="27">
        <f>(('Mitigation drivers'!I49*LagoonN2O)+('Mitigation drivers'!I50*LiquidN2O)+('Mitigation drivers'!I51*DrylotN2O)+('Mitigation drivers'!I52*SolidStorageN2O)+('Mitigation drivers'!I53*DailyspreadN2O)+('Mitigation drivers'!I54*CompostN2O)+('Mitigation drivers'!I55*ManwithbedN2O)+('Mitigation drivers'!I56*PMwithoutlitterN2O)+('Mitigation drivers'!I57*PMwithlitterN2O)+('Mitigation drivers'!I59*DigesterN2OEF))/100</f>
        <v>6.4999999999999997E-4</v>
      </c>
      <c r="O57" s="27">
        <f>(('Mitigation drivers'!J49*LagoonN2O)+('Mitigation drivers'!J50*LiquidN2O)+('Mitigation drivers'!J51*DrylotN2O)+('Mitigation drivers'!J52*SolidStorageN2O)+('Mitigation drivers'!J53*DailyspreadN2O)+('Mitigation drivers'!J54*CompostN2O)+('Mitigation drivers'!J55*ManwithbedN2O)+('Mitigation drivers'!J56*PMwithoutlitterN2O)+('Mitigation drivers'!J57*PMwithlitterN2O)+('Mitigation drivers'!J59*DigesterN2OEF))/100</f>
        <v>6.4999999999999997E-4</v>
      </c>
      <c r="P57" s="27">
        <f>(('Mitigation drivers'!K49*LagoonN2O)+('Mitigation drivers'!K50*LiquidN2O)+('Mitigation drivers'!K51*DrylotN2O)+('Mitigation drivers'!K52*SolidStorageN2O)+('Mitigation drivers'!K53*DailyspreadN2O)+('Mitigation drivers'!K54*CompostN2O)+('Mitigation drivers'!K55*ManwithbedN2O)+('Mitigation drivers'!K56*PMwithoutlitterN2O)+('Mitigation drivers'!K57*PMwithlitterN2O)+('Mitigation drivers'!K59*DigesterN2OEF))/100</f>
        <v>6.4999999999999997E-4</v>
      </c>
      <c r="Q57" s="27">
        <f>(('Mitigation drivers'!L49*LagoonN2O)+('Mitigation drivers'!L50*LiquidN2O)+('Mitigation drivers'!L51*DrylotN2O)+('Mitigation drivers'!L52*SolidStorageN2O)+('Mitigation drivers'!L53*DailyspreadN2O)+('Mitigation drivers'!L54*CompostN2O)+('Mitigation drivers'!L55*ManwithbedN2O)+('Mitigation drivers'!L56*PMwithoutlitterN2O)+('Mitigation drivers'!L57*PMwithlitterN2O)+('Mitigation drivers'!L59*DigesterN2OEF))/100</f>
        <v>6.4999999999999997E-4</v>
      </c>
      <c r="R57" s="27">
        <f>(('Mitigation drivers'!M49*LagoonN2O)+('Mitigation drivers'!M50*LiquidN2O)+('Mitigation drivers'!M51*DrylotN2O)+('Mitigation drivers'!M52*SolidStorageN2O)+('Mitigation drivers'!M53*DailyspreadN2O)+('Mitigation drivers'!M54*CompostN2O)+('Mitigation drivers'!M55*ManwithbedN2O)+('Mitigation drivers'!M56*PMwithoutlitterN2O)+('Mitigation drivers'!M57*PMwithlitterN2O)+('Mitigation drivers'!M59*DigesterN2OEF))/100</f>
        <v>6.4999999999999997E-4</v>
      </c>
      <c r="S57" s="27">
        <f>(('Mitigation drivers'!N49*LagoonN2O)+('Mitigation drivers'!N50*LiquidN2O)+('Mitigation drivers'!N51*DrylotN2O)+('Mitigation drivers'!N52*SolidStorageN2O)+('Mitigation drivers'!N53*DailyspreadN2O)+('Mitigation drivers'!N54*CompostN2O)+('Mitigation drivers'!N55*ManwithbedN2O)+('Mitigation drivers'!N56*PMwithoutlitterN2O)+('Mitigation drivers'!N57*PMwithlitterN2O)+('Mitigation drivers'!N59*DigesterN2OEF))/100</f>
        <v>6.4999999999999997E-4</v>
      </c>
      <c r="T57" s="27">
        <f>(('Mitigation drivers'!O49*LagoonN2O)+('Mitigation drivers'!O50*LiquidN2O)+('Mitigation drivers'!O51*DrylotN2O)+('Mitigation drivers'!O52*SolidStorageN2O)+('Mitigation drivers'!O53*DailyspreadN2O)+('Mitigation drivers'!O54*CompostN2O)+('Mitigation drivers'!O55*ManwithbedN2O)+('Mitigation drivers'!O56*PMwithoutlitterN2O)+('Mitigation drivers'!O57*PMwithlitterN2O)+('Mitigation drivers'!O59*DigesterN2OEF))/100</f>
        <v>6.4999999999999997E-4</v>
      </c>
      <c r="U57" s="27">
        <f>(('Mitigation drivers'!P49*LagoonN2O)+('Mitigation drivers'!P50*LiquidN2O)+('Mitigation drivers'!P51*DrylotN2O)+('Mitigation drivers'!P52*SolidStorageN2O)+('Mitigation drivers'!P53*DailyspreadN2O)+('Mitigation drivers'!P54*CompostN2O)+('Mitigation drivers'!P55*ManwithbedN2O)+('Mitigation drivers'!P56*PMwithoutlitterN2O)+('Mitigation drivers'!P57*PMwithlitterN2O)+('Mitigation drivers'!P59*DigesterN2OEF))/100</f>
        <v>6.4999999999999997E-4</v>
      </c>
      <c r="V57" s="27">
        <f>(('Mitigation drivers'!Q49*LagoonN2O)+('Mitigation drivers'!Q50*LiquidN2O)+('Mitigation drivers'!Q51*DrylotN2O)+('Mitigation drivers'!Q52*SolidStorageN2O)+('Mitigation drivers'!Q53*DailyspreadN2O)+('Mitigation drivers'!Q54*CompostN2O)+('Mitigation drivers'!Q55*ManwithbedN2O)+('Mitigation drivers'!Q56*PMwithoutlitterN2O)+('Mitigation drivers'!Q57*PMwithlitterN2O)+('Mitigation drivers'!Q59*DigesterN2OEF))/100</f>
        <v>6.4999999999999997E-4</v>
      </c>
      <c r="W57" s="27">
        <f>(('Mitigation drivers'!R49*LagoonN2O)+('Mitigation drivers'!R50*LiquidN2O)+('Mitigation drivers'!R51*DrylotN2O)+('Mitigation drivers'!R52*SolidStorageN2O)+('Mitigation drivers'!R53*DailyspreadN2O)+('Mitigation drivers'!R54*CompostN2O)+('Mitigation drivers'!R55*ManwithbedN2O)+('Mitigation drivers'!R56*PMwithoutlitterN2O)+('Mitigation drivers'!R57*PMwithlitterN2O)+('Mitigation drivers'!R59*DigesterN2OEF))/100</f>
        <v>6.4999999999999997E-4</v>
      </c>
      <c r="X57" s="27">
        <f>(('Mitigation drivers'!S49*LagoonN2O)+('Mitigation drivers'!S50*LiquidN2O)+('Mitigation drivers'!S51*DrylotN2O)+('Mitigation drivers'!S52*SolidStorageN2O)+('Mitigation drivers'!S53*DailyspreadN2O)+('Mitigation drivers'!S54*CompostN2O)+('Mitigation drivers'!S55*ManwithbedN2O)+('Mitigation drivers'!S56*PMwithoutlitterN2O)+('Mitigation drivers'!S57*PMwithlitterN2O)+('Mitigation drivers'!S59*DigesterN2OEF))/100</f>
        <v>6.4999999999999997E-4</v>
      </c>
      <c r="Y57" s="27">
        <f>(('Mitigation drivers'!T49*LagoonN2O)+('Mitigation drivers'!T50*LiquidN2O)+('Mitigation drivers'!T51*DrylotN2O)+('Mitigation drivers'!T52*SolidStorageN2O)+('Mitigation drivers'!T53*DailyspreadN2O)+('Mitigation drivers'!T54*CompostN2O)+('Mitigation drivers'!T55*ManwithbedN2O)+('Mitigation drivers'!T56*PMwithoutlitterN2O)+('Mitigation drivers'!T57*PMwithlitterN2O)+('Mitigation drivers'!T59*DigesterN2OEF))/100</f>
        <v>6.4999999999999997E-4</v>
      </c>
      <c r="Z57" s="27">
        <f>(('Mitigation drivers'!U49*LagoonN2O)+('Mitigation drivers'!U50*LiquidN2O)+('Mitigation drivers'!U51*DrylotN2O)+('Mitigation drivers'!U52*SolidStorageN2O)+('Mitigation drivers'!U53*DailyspreadN2O)+('Mitigation drivers'!U54*CompostN2O)+('Mitigation drivers'!U55*ManwithbedN2O)+('Mitigation drivers'!U56*PMwithoutlitterN2O)+('Mitigation drivers'!U57*PMwithlitterN2O)+('Mitigation drivers'!U59*DigesterN2OEF))/100</f>
        <v>6.4999999999999997E-4</v>
      </c>
      <c r="AA57" s="27">
        <f>(('Mitigation drivers'!V49*LagoonN2O)+('Mitigation drivers'!V50*LiquidN2O)+('Mitigation drivers'!V51*DrylotN2O)+('Mitigation drivers'!V52*SolidStorageN2O)+('Mitigation drivers'!V53*DailyspreadN2O)+('Mitigation drivers'!V54*CompostN2O)+('Mitigation drivers'!V55*ManwithbedN2O)+('Mitigation drivers'!V56*PMwithoutlitterN2O)+('Mitigation drivers'!V57*PMwithlitterN2O)+('Mitigation drivers'!V59*DigesterN2OEF))/100</f>
        <v>6.4999999999999997E-4</v>
      </c>
      <c r="AB57" s="27">
        <f>(('Mitigation drivers'!W49*LagoonN2O)+('Mitigation drivers'!W50*LiquidN2O)+('Mitigation drivers'!W51*DrylotN2O)+('Mitigation drivers'!W52*SolidStorageN2O)+('Mitigation drivers'!W53*DailyspreadN2O)+('Mitigation drivers'!W54*CompostN2O)+('Mitigation drivers'!W55*ManwithbedN2O)+('Mitigation drivers'!W56*PMwithoutlitterN2O)+('Mitigation drivers'!W57*PMwithlitterN2O)+('Mitigation drivers'!W59*DigesterN2OEF))/100</f>
        <v>6.4999999999999997E-4</v>
      </c>
      <c r="AC57" s="27">
        <f>(('Mitigation drivers'!X49*LagoonN2O)+('Mitigation drivers'!X50*LiquidN2O)+('Mitigation drivers'!X51*DrylotN2O)+('Mitigation drivers'!X52*SolidStorageN2O)+('Mitigation drivers'!X53*DailyspreadN2O)+('Mitigation drivers'!X54*CompostN2O)+('Mitigation drivers'!X55*ManwithbedN2O)+('Mitigation drivers'!X56*PMwithoutlitterN2O)+('Mitigation drivers'!X57*PMwithlitterN2O)+('Mitigation drivers'!X59*DigesterN2OEF))/100</f>
        <v>6.4999999999999997E-4</v>
      </c>
      <c r="AD57" s="27">
        <f>(('Mitigation drivers'!Y49*LagoonN2O)+('Mitigation drivers'!Y50*LiquidN2O)+('Mitigation drivers'!Y51*DrylotN2O)+('Mitigation drivers'!Y52*SolidStorageN2O)+('Mitigation drivers'!Y53*DailyspreadN2O)+('Mitigation drivers'!Y54*CompostN2O)+('Mitigation drivers'!Y55*ManwithbedN2O)+('Mitigation drivers'!Y56*PMwithoutlitterN2O)+('Mitigation drivers'!Y57*PMwithlitterN2O)+('Mitigation drivers'!Y59*DigesterN2OEF))/100</f>
        <v>6.4999999999999997E-4</v>
      </c>
      <c r="AE57" s="27">
        <f>(('Mitigation drivers'!Z49*LagoonN2O)+('Mitigation drivers'!Z50*LiquidN2O)+('Mitigation drivers'!Z51*DrylotN2O)+('Mitigation drivers'!Z52*SolidStorageN2O)+('Mitigation drivers'!Z53*DailyspreadN2O)+('Mitigation drivers'!Z54*CompostN2O)+('Mitigation drivers'!Z55*ManwithbedN2O)+('Mitigation drivers'!Z56*PMwithoutlitterN2O)+('Mitigation drivers'!Z57*PMwithlitterN2O)+('Mitigation drivers'!Z59*DigesterN2OEF))/100</f>
        <v>6.4999999999999997E-4</v>
      </c>
      <c r="AF57" s="27">
        <f>(('Mitigation drivers'!AA49*LagoonN2O)+('Mitigation drivers'!AA50*LiquidN2O)+('Mitigation drivers'!AA51*DrylotN2O)+('Mitigation drivers'!AA52*SolidStorageN2O)+('Mitigation drivers'!AA53*DailyspreadN2O)+('Mitigation drivers'!AA54*CompostN2O)+('Mitigation drivers'!AA55*ManwithbedN2O)+('Mitigation drivers'!AA56*PMwithoutlitterN2O)+('Mitigation drivers'!AA57*PMwithlitterN2O)+('Mitigation drivers'!AA59*DigesterN2OEF))/100</f>
        <v>6.4999999999999997E-4</v>
      </c>
      <c r="AG57" s="27">
        <f>(('Mitigation drivers'!AB49*LagoonN2O)+('Mitigation drivers'!AB50*LiquidN2O)+('Mitigation drivers'!AB51*DrylotN2O)+('Mitigation drivers'!AB52*SolidStorageN2O)+('Mitigation drivers'!AB53*DailyspreadN2O)+('Mitigation drivers'!AB54*CompostN2O)+('Mitigation drivers'!AB55*ManwithbedN2O)+('Mitigation drivers'!AB56*PMwithoutlitterN2O)+('Mitigation drivers'!AB57*PMwithlitterN2O)+('Mitigation drivers'!AB59*DigesterN2OEF))/100</f>
        <v>6.4999999999999997E-4</v>
      </c>
      <c r="AH57" s="27">
        <f>(('Mitigation drivers'!AC49*LagoonN2O)+('Mitigation drivers'!AC50*LiquidN2O)+('Mitigation drivers'!AC51*DrylotN2O)+('Mitigation drivers'!AC52*SolidStorageN2O)+('Mitigation drivers'!AC53*DailyspreadN2O)+('Mitigation drivers'!AC54*CompostN2O)+('Mitigation drivers'!AC55*ManwithbedN2O)+('Mitigation drivers'!AC56*PMwithoutlitterN2O)+('Mitigation drivers'!AC57*PMwithlitterN2O)+('Mitigation drivers'!AC59*DigesterN2OEF))/100</f>
        <v>6.4999999999999997E-4</v>
      </c>
      <c r="AI57" s="27">
        <f>(('Mitigation drivers'!AD49*LagoonN2O)+('Mitigation drivers'!AD50*LiquidN2O)+('Mitigation drivers'!AD51*DrylotN2O)+('Mitigation drivers'!AD52*SolidStorageN2O)+('Mitigation drivers'!AD53*DailyspreadN2O)+('Mitigation drivers'!AD54*CompostN2O)+('Mitigation drivers'!AD55*ManwithbedN2O)+('Mitigation drivers'!AD56*PMwithoutlitterN2O)+('Mitigation drivers'!AD57*PMwithlitterN2O)+('Mitigation drivers'!AD59*DigesterN2OEF))/100</f>
        <v>6.4999999999999997E-4</v>
      </c>
      <c r="AJ57" s="27">
        <f>(('Mitigation drivers'!AE49*LagoonN2O)+('Mitigation drivers'!AE50*LiquidN2O)+('Mitigation drivers'!AE51*DrylotN2O)+('Mitigation drivers'!AE52*SolidStorageN2O)+('Mitigation drivers'!AE53*DailyspreadN2O)+('Mitigation drivers'!AE54*CompostN2O)+('Mitigation drivers'!AE55*ManwithbedN2O)+('Mitigation drivers'!AE56*PMwithoutlitterN2O)+('Mitigation drivers'!AE57*PMwithlitterN2O)+('Mitigation drivers'!AE59*DigesterN2OEF))/100</f>
        <v>6.4999999999999997E-4</v>
      </c>
      <c r="AK57" s="27">
        <f>(('Mitigation drivers'!AF49*LagoonN2O)+('Mitigation drivers'!AF50*LiquidN2O)+('Mitigation drivers'!AF51*DrylotN2O)+('Mitigation drivers'!AF52*SolidStorageN2O)+('Mitigation drivers'!AF53*DailyspreadN2O)+('Mitigation drivers'!AF54*CompostN2O)+('Mitigation drivers'!AF55*ManwithbedN2O)+('Mitigation drivers'!AF56*PMwithoutlitterN2O)+('Mitigation drivers'!AF57*PMwithlitterN2O)+('Mitigation drivers'!AF59*DigesterN2OEF))/100</f>
        <v>6.4999999999999997E-4</v>
      </c>
      <c r="AL57" s="27">
        <f>(('Mitigation drivers'!AG49*LagoonN2O)+('Mitigation drivers'!AG50*LiquidN2O)+('Mitigation drivers'!AG51*DrylotN2O)+('Mitigation drivers'!AG52*SolidStorageN2O)+('Mitigation drivers'!AG53*DailyspreadN2O)+('Mitigation drivers'!AG54*CompostN2O)+('Mitigation drivers'!AG55*ManwithbedN2O)+('Mitigation drivers'!AG56*PMwithoutlitterN2O)+('Mitigation drivers'!AG57*PMwithlitterN2O)+('Mitigation drivers'!AG59*DigesterN2OEF))/100</f>
        <v>6.4999999999999997E-4</v>
      </c>
      <c r="AM57" s="27">
        <f>(('Mitigation drivers'!AH49*LagoonN2O)+('Mitigation drivers'!AH50*LiquidN2O)+('Mitigation drivers'!AH51*DrylotN2O)+('Mitigation drivers'!AH52*SolidStorageN2O)+('Mitigation drivers'!AH53*DailyspreadN2O)+('Mitigation drivers'!AH54*CompostN2O)+('Mitigation drivers'!AH55*ManwithbedN2O)+('Mitigation drivers'!AH56*PMwithoutlitterN2O)+('Mitigation drivers'!AH57*PMwithlitterN2O)+('Mitigation drivers'!AH59*DigesterN2OEF))/100</f>
        <v>6.4999999999999997E-4</v>
      </c>
      <c r="AN57" s="27">
        <f>(('Mitigation drivers'!AI49*LagoonN2O)+('Mitigation drivers'!AI50*LiquidN2O)+('Mitigation drivers'!AI51*DrylotN2O)+('Mitigation drivers'!AI52*SolidStorageN2O)+('Mitigation drivers'!AI53*DailyspreadN2O)+('Mitigation drivers'!AI54*CompostN2O)+('Mitigation drivers'!AI55*ManwithbedN2O)+('Mitigation drivers'!AI56*PMwithoutlitterN2O)+('Mitigation drivers'!AI57*PMwithlitterN2O)+('Mitigation drivers'!AI59*DigesterN2OEF))/100</f>
        <v>6.4999999999999997E-4</v>
      </c>
      <c r="AO57" s="27">
        <f>(('Mitigation drivers'!AJ49*LagoonN2O)+('Mitigation drivers'!AJ50*LiquidN2O)+('Mitigation drivers'!AJ51*DrylotN2O)+('Mitigation drivers'!AJ52*SolidStorageN2O)+('Mitigation drivers'!AJ53*DailyspreadN2O)+('Mitigation drivers'!AJ54*CompostN2O)+('Mitigation drivers'!AJ55*ManwithbedN2O)+('Mitigation drivers'!AJ56*PMwithoutlitterN2O)+('Mitigation drivers'!AJ57*PMwithlitterN2O)+('Mitigation drivers'!AJ59*DigesterN2OEF))/100</f>
        <v>6.4999999999999997E-4</v>
      </c>
    </row>
    <row r="58" spans="1:41" x14ac:dyDescent="0.25">
      <c r="A58" t="str">
        <f t="shared" si="1"/>
        <v>3A Livestock</v>
      </c>
      <c r="B58" t="str">
        <f t="shared" si="8"/>
        <v>3A2 Manure management (N2O)</v>
      </c>
      <c r="C58" t="str">
        <f>'Activity data'!C9</f>
        <v>3A1aii Other cattle</v>
      </c>
      <c r="D58" t="str">
        <f>'Activity data'!D9</f>
        <v>Subsistence</v>
      </c>
      <c r="E58" t="str">
        <f t="shared" ref="E58:E71" si="27">E57</f>
        <v>Manure management EF</v>
      </c>
      <c r="F58" t="str">
        <f t="shared" ref="F58:F71" si="28">F57</f>
        <v>N2O</v>
      </c>
      <c r="G58" t="str">
        <f t="shared" ref="G58:G71" si="29">G57</f>
        <v>kg N2O-N/kg Nex</v>
      </c>
      <c r="H58" s="27">
        <f>(('Mitigation drivers'!C61*LagoonN2O)+('Mitigation drivers'!C62*LiquidN2O)+('Mitigation drivers'!C63*DrylotN2O)+('Mitigation drivers'!C64*SolidStorageN2O)+('Mitigation drivers'!C65*DailyspreadN2O)+('Mitigation drivers'!C66*CompostN2O)+('Mitigation drivers'!C67*ManwithbedN2O)+('Mitigation drivers'!C68*PMwithoutlitterN2O)+('Mitigation drivers'!C69*PMwithlitterN2O)+('Mitigation drivers'!C71*DigesterN2OEF))/100</f>
        <v>1.5000000000000002E-3</v>
      </c>
      <c r="I58" s="27">
        <f>(('Mitigation drivers'!D61*LagoonN2O)+('Mitigation drivers'!D62*LiquidN2O)+('Mitigation drivers'!D63*DrylotN2O)+('Mitigation drivers'!D64*SolidStorageN2O)+('Mitigation drivers'!D65*DailyspreadN2O)+('Mitigation drivers'!D66*CompostN2O)+('Mitigation drivers'!D67*ManwithbedN2O)+('Mitigation drivers'!D68*PMwithoutlitterN2O)+('Mitigation drivers'!D69*PMwithlitterN2O)+('Mitigation drivers'!D71*DigesterN2OEF))/100</f>
        <v>1.5000000000000002E-3</v>
      </c>
      <c r="J58" s="27">
        <f>(('Mitigation drivers'!E61*LagoonN2O)+('Mitigation drivers'!E62*LiquidN2O)+('Mitigation drivers'!E63*DrylotN2O)+('Mitigation drivers'!E64*SolidStorageN2O)+('Mitigation drivers'!E65*DailyspreadN2O)+('Mitigation drivers'!E66*CompostN2O)+('Mitigation drivers'!E67*ManwithbedN2O)+('Mitigation drivers'!E68*PMwithoutlitterN2O)+('Mitigation drivers'!E69*PMwithlitterN2O)+('Mitigation drivers'!E71*DigesterN2OEF))/100</f>
        <v>1.5000000000000002E-3</v>
      </c>
      <c r="K58" s="27">
        <f>(('Mitigation drivers'!F61*LagoonN2O)+('Mitigation drivers'!F62*LiquidN2O)+('Mitigation drivers'!F63*DrylotN2O)+('Mitigation drivers'!F64*SolidStorageN2O)+('Mitigation drivers'!F65*DailyspreadN2O)+('Mitigation drivers'!F66*CompostN2O)+('Mitigation drivers'!F67*ManwithbedN2O)+('Mitigation drivers'!F68*PMwithoutlitterN2O)+('Mitigation drivers'!F69*PMwithlitterN2O)+('Mitigation drivers'!F71*DigesterN2OEF))/100</f>
        <v>1.5000000000000002E-3</v>
      </c>
      <c r="L58" s="27">
        <f>(('Mitigation drivers'!G61*LagoonN2O)+('Mitigation drivers'!G62*LiquidN2O)+('Mitigation drivers'!G63*DrylotN2O)+('Mitigation drivers'!G64*SolidStorageN2O)+('Mitigation drivers'!G65*DailyspreadN2O)+('Mitigation drivers'!G66*CompostN2O)+('Mitigation drivers'!G67*ManwithbedN2O)+('Mitigation drivers'!G68*PMwithoutlitterN2O)+('Mitigation drivers'!G69*PMwithlitterN2O)+('Mitigation drivers'!G71*DigesterN2OEF))/100</f>
        <v>1.5000000000000002E-3</v>
      </c>
      <c r="M58" s="27">
        <f>(('Mitigation drivers'!H61*LagoonN2O)+('Mitigation drivers'!H62*LiquidN2O)+('Mitigation drivers'!H63*DrylotN2O)+('Mitigation drivers'!H64*SolidStorageN2O)+('Mitigation drivers'!H65*DailyspreadN2O)+('Mitigation drivers'!H66*CompostN2O)+('Mitigation drivers'!H67*ManwithbedN2O)+('Mitigation drivers'!H68*PMwithoutlitterN2O)+('Mitigation drivers'!H69*PMwithlitterN2O)+('Mitigation drivers'!H71*DigesterN2OEF))/100</f>
        <v>1.5000000000000002E-3</v>
      </c>
      <c r="N58" s="27">
        <f>(('Mitigation drivers'!I61*LagoonN2O)+('Mitigation drivers'!I62*LiquidN2O)+('Mitigation drivers'!I63*DrylotN2O)+('Mitigation drivers'!I64*SolidStorageN2O)+('Mitigation drivers'!I65*DailyspreadN2O)+('Mitigation drivers'!I66*CompostN2O)+('Mitigation drivers'!I67*ManwithbedN2O)+('Mitigation drivers'!I68*PMwithoutlitterN2O)+('Mitigation drivers'!I69*PMwithlitterN2O)+('Mitigation drivers'!I71*DigesterN2OEF))/100</f>
        <v>1.5000000000000002E-3</v>
      </c>
      <c r="O58" s="27">
        <f>(('Mitigation drivers'!J61*LagoonN2O)+('Mitigation drivers'!J62*LiquidN2O)+('Mitigation drivers'!J63*DrylotN2O)+('Mitigation drivers'!J64*SolidStorageN2O)+('Mitigation drivers'!J65*DailyspreadN2O)+('Mitigation drivers'!J66*CompostN2O)+('Mitigation drivers'!J67*ManwithbedN2O)+('Mitigation drivers'!J68*PMwithoutlitterN2O)+('Mitigation drivers'!J69*PMwithlitterN2O)+('Mitigation drivers'!J71*DigesterN2OEF))/100</f>
        <v>1.5000000000000002E-3</v>
      </c>
      <c r="P58" s="27">
        <f>(('Mitigation drivers'!K61*LagoonN2O)+('Mitigation drivers'!K62*LiquidN2O)+('Mitigation drivers'!K63*DrylotN2O)+('Mitigation drivers'!K64*SolidStorageN2O)+('Mitigation drivers'!K65*DailyspreadN2O)+('Mitigation drivers'!K66*CompostN2O)+('Mitigation drivers'!K67*ManwithbedN2O)+('Mitigation drivers'!K68*PMwithoutlitterN2O)+('Mitigation drivers'!K69*PMwithlitterN2O)+('Mitigation drivers'!K71*DigesterN2OEF))/100</f>
        <v>1.5000000000000002E-3</v>
      </c>
      <c r="Q58" s="27">
        <f>(('Mitigation drivers'!L61*LagoonN2O)+('Mitigation drivers'!L62*LiquidN2O)+('Mitigation drivers'!L63*DrylotN2O)+('Mitigation drivers'!L64*SolidStorageN2O)+('Mitigation drivers'!L65*DailyspreadN2O)+('Mitigation drivers'!L66*CompostN2O)+('Mitigation drivers'!L67*ManwithbedN2O)+('Mitigation drivers'!L68*PMwithoutlitterN2O)+('Mitigation drivers'!L69*PMwithlitterN2O)+('Mitigation drivers'!L71*DigesterN2OEF))/100</f>
        <v>1.5000000000000002E-3</v>
      </c>
      <c r="R58" s="27">
        <f>(('Mitigation drivers'!M61*LagoonN2O)+('Mitigation drivers'!M62*LiquidN2O)+('Mitigation drivers'!M63*DrylotN2O)+('Mitigation drivers'!M64*SolidStorageN2O)+('Mitigation drivers'!M65*DailyspreadN2O)+('Mitigation drivers'!M66*CompostN2O)+('Mitigation drivers'!M67*ManwithbedN2O)+('Mitigation drivers'!M68*PMwithoutlitterN2O)+('Mitigation drivers'!M69*PMwithlitterN2O)+('Mitigation drivers'!M71*DigesterN2OEF))/100</f>
        <v>1.5000000000000002E-3</v>
      </c>
      <c r="S58" s="27">
        <f>(('Mitigation drivers'!N61*LagoonN2O)+('Mitigation drivers'!N62*LiquidN2O)+('Mitigation drivers'!N63*DrylotN2O)+('Mitigation drivers'!N64*SolidStorageN2O)+('Mitigation drivers'!N65*DailyspreadN2O)+('Mitigation drivers'!N66*CompostN2O)+('Mitigation drivers'!N67*ManwithbedN2O)+('Mitigation drivers'!N68*PMwithoutlitterN2O)+('Mitigation drivers'!N69*PMwithlitterN2O)+('Mitigation drivers'!N71*DigesterN2OEF))/100</f>
        <v>1.5000000000000002E-3</v>
      </c>
      <c r="T58" s="27">
        <f>(('Mitigation drivers'!O61*LagoonN2O)+('Mitigation drivers'!O62*LiquidN2O)+('Mitigation drivers'!O63*DrylotN2O)+('Mitigation drivers'!O64*SolidStorageN2O)+('Mitigation drivers'!O65*DailyspreadN2O)+('Mitigation drivers'!O66*CompostN2O)+('Mitigation drivers'!O67*ManwithbedN2O)+('Mitigation drivers'!O68*PMwithoutlitterN2O)+('Mitigation drivers'!O69*PMwithlitterN2O)+('Mitigation drivers'!O71*DigesterN2OEF))/100</f>
        <v>1.5000000000000002E-3</v>
      </c>
      <c r="U58" s="27">
        <f>(('Mitigation drivers'!P61*LagoonN2O)+('Mitigation drivers'!P62*LiquidN2O)+('Mitigation drivers'!P63*DrylotN2O)+('Mitigation drivers'!P64*SolidStorageN2O)+('Mitigation drivers'!P65*DailyspreadN2O)+('Mitigation drivers'!P66*CompostN2O)+('Mitigation drivers'!P67*ManwithbedN2O)+('Mitigation drivers'!P68*PMwithoutlitterN2O)+('Mitigation drivers'!P69*PMwithlitterN2O)+('Mitigation drivers'!P71*DigesterN2OEF))/100</f>
        <v>1.5000000000000002E-3</v>
      </c>
      <c r="V58" s="27">
        <f>(('Mitigation drivers'!Q61*LagoonN2O)+('Mitigation drivers'!Q62*LiquidN2O)+('Mitigation drivers'!Q63*DrylotN2O)+('Mitigation drivers'!Q64*SolidStorageN2O)+('Mitigation drivers'!Q65*DailyspreadN2O)+('Mitigation drivers'!Q66*CompostN2O)+('Mitigation drivers'!Q67*ManwithbedN2O)+('Mitigation drivers'!Q68*PMwithoutlitterN2O)+('Mitigation drivers'!Q69*PMwithlitterN2O)+('Mitigation drivers'!Q71*DigesterN2OEF))/100</f>
        <v>1.5000000000000002E-3</v>
      </c>
      <c r="W58" s="27">
        <f>(('Mitigation drivers'!R61*LagoonN2O)+('Mitigation drivers'!R62*LiquidN2O)+('Mitigation drivers'!R63*DrylotN2O)+('Mitigation drivers'!R64*SolidStorageN2O)+('Mitigation drivers'!R65*DailyspreadN2O)+('Mitigation drivers'!R66*CompostN2O)+('Mitigation drivers'!R67*ManwithbedN2O)+('Mitigation drivers'!R68*PMwithoutlitterN2O)+('Mitigation drivers'!R69*PMwithlitterN2O)+('Mitigation drivers'!R71*DigesterN2OEF))/100</f>
        <v>1.5000000000000002E-3</v>
      </c>
      <c r="X58" s="27">
        <f>(('Mitigation drivers'!S61*LagoonN2O)+('Mitigation drivers'!S62*LiquidN2O)+('Mitigation drivers'!S63*DrylotN2O)+('Mitigation drivers'!S64*SolidStorageN2O)+('Mitigation drivers'!S65*DailyspreadN2O)+('Mitigation drivers'!S66*CompostN2O)+('Mitigation drivers'!S67*ManwithbedN2O)+('Mitigation drivers'!S68*PMwithoutlitterN2O)+('Mitigation drivers'!S69*PMwithlitterN2O)+('Mitigation drivers'!S71*DigesterN2OEF))/100</f>
        <v>1.5000000000000002E-3</v>
      </c>
      <c r="Y58" s="27">
        <f>(('Mitigation drivers'!T61*LagoonN2O)+('Mitigation drivers'!T62*LiquidN2O)+('Mitigation drivers'!T63*DrylotN2O)+('Mitigation drivers'!T64*SolidStorageN2O)+('Mitigation drivers'!T65*DailyspreadN2O)+('Mitigation drivers'!T66*CompostN2O)+('Mitigation drivers'!T67*ManwithbedN2O)+('Mitigation drivers'!T68*PMwithoutlitterN2O)+('Mitigation drivers'!T69*PMwithlitterN2O)+('Mitigation drivers'!T71*DigesterN2OEF))/100</f>
        <v>1.5000000000000002E-3</v>
      </c>
      <c r="Z58" s="27">
        <f>(('Mitigation drivers'!U61*LagoonN2O)+('Mitigation drivers'!U62*LiquidN2O)+('Mitigation drivers'!U63*DrylotN2O)+('Mitigation drivers'!U64*SolidStorageN2O)+('Mitigation drivers'!U65*DailyspreadN2O)+('Mitigation drivers'!U66*CompostN2O)+('Mitigation drivers'!U67*ManwithbedN2O)+('Mitigation drivers'!U68*PMwithoutlitterN2O)+('Mitigation drivers'!U69*PMwithlitterN2O)+('Mitigation drivers'!U71*DigesterN2OEF))/100</f>
        <v>1.5000000000000002E-3</v>
      </c>
      <c r="AA58" s="27">
        <f>(('Mitigation drivers'!V61*LagoonN2O)+('Mitigation drivers'!V62*LiquidN2O)+('Mitigation drivers'!V63*DrylotN2O)+('Mitigation drivers'!V64*SolidStorageN2O)+('Mitigation drivers'!V65*DailyspreadN2O)+('Mitigation drivers'!V66*CompostN2O)+('Mitigation drivers'!V67*ManwithbedN2O)+('Mitigation drivers'!V68*PMwithoutlitterN2O)+('Mitigation drivers'!V69*PMwithlitterN2O)+('Mitigation drivers'!V71*DigesterN2OEF))/100</f>
        <v>1.5000000000000002E-3</v>
      </c>
      <c r="AB58" s="27">
        <f>(('Mitigation drivers'!W61*LagoonN2O)+('Mitigation drivers'!W62*LiquidN2O)+('Mitigation drivers'!W63*DrylotN2O)+('Mitigation drivers'!W64*SolidStorageN2O)+('Mitigation drivers'!W65*DailyspreadN2O)+('Mitigation drivers'!W66*CompostN2O)+('Mitigation drivers'!W67*ManwithbedN2O)+('Mitigation drivers'!W68*PMwithoutlitterN2O)+('Mitigation drivers'!W69*PMwithlitterN2O)+('Mitigation drivers'!W71*DigesterN2OEF))/100</f>
        <v>1.5000000000000002E-3</v>
      </c>
      <c r="AC58" s="27">
        <f>(('Mitigation drivers'!X61*LagoonN2O)+('Mitigation drivers'!X62*LiquidN2O)+('Mitigation drivers'!X63*DrylotN2O)+('Mitigation drivers'!X64*SolidStorageN2O)+('Mitigation drivers'!X65*DailyspreadN2O)+('Mitigation drivers'!X66*CompostN2O)+('Mitigation drivers'!X67*ManwithbedN2O)+('Mitigation drivers'!X68*PMwithoutlitterN2O)+('Mitigation drivers'!X69*PMwithlitterN2O)+('Mitigation drivers'!X71*DigesterN2OEF))/100</f>
        <v>1.5000000000000002E-3</v>
      </c>
      <c r="AD58" s="27">
        <f>(('Mitigation drivers'!Y61*LagoonN2O)+('Mitigation drivers'!Y62*LiquidN2O)+('Mitigation drivers'!Y63*DrylotN2O)+('Mitigation drivers'!Y64*SolidStorageN2O)+('Mitigation drivers'!Y65*DailyspreadN2O)+('Mitigation drivers'!Y66*CompostN2O)+('Mitigation drivers'!Y67*ManwithbedN2O)+('Mitigation drivers'!Y68*PMwithoutlitterN2O)+('Mitigation drivers'!Y69*PMwithlitterN2O)+('Mitigation drivers'!Y71*DigesterN2OEF))/100</f>
        <v>1.5000000000000002E-3</v>
      </c>
      <c r="AE58" s="27">
        <f>(('Mitigation drivers'!Z61*LagoonN2O)+('Mitigation drivers'!Z62*LiquidN2O)+('Mitigation drivers'!Z63*DrylotN2O)+('Mitigation drivers'!Z64*SolidStorageN2O)+('Mitigation drivers'!Z65*DailyspreadN2O)+('Mitigation drivers'!Z66*CompostN2O)+('Mitigation drivers'!Z67*ManwithbedN2O)+('Mitigation drivers'!Z68*PMwithoutlitterN2O)+('Mitigation drivers'!Z69*PMwithlitterN2O)+('Mitigation drivers'!Z71*DigesterN2OEF))/100</f>
        <v>1.5000000000000002E-3</v>
      </c>
      <c r="AF58" s="27">
        <f>(('Mitigation drivers'!AA61*LagoonN2O)+('Mitigation drivers'!AA62*LiquidN2O)+('Mitigation drivers'!AA63*DrylotN2O)+('Mitigation drivers'!AA64*SolidStorageN2O)+('Mitigation drivers'!AA65*DailyspreadN2O)+('Mitigation drivers'!AA66*CompostN2O)+('Mitigation drivers'!AA67*ManwithbedN2O)+('Mitigation drivers'!AA68*PMwithoutlitterN2O)+('Mitigation drivers'!AA69*PMwithlitterN2O)+('Mitigation drivers'!AA71*DigesterN2OEF))/100</f>
        <v>1.5000000000000002E-3</v>
      </c>
      <c r="AG58" s="27">
        <f>(('Mitigation drivers'!AB61*LagoonN2O)+('Mitigation drivers'!AB62*LiquidN2O)+('Mitigation drivers'!AB63*DrylotN2O)+('Mitigation drivers'!AB64*SolidStorageN2O)+('Mitigation drivers'!AB65*DailyspreadN2O)+('Mitigation drivers'!AB66*CompostN2O)+('Mitigation drivers'!AB67*ManwithbedN2O)+('Mitigation drivers'!AB68*PMwithoutlitterN2O)+('Mitigation drivers'!AB69*PMwithlitterN2O)+('Mitigation drivers'!AB71*DigesterN2OEF))/100</f>
        <v>1.5000000000000002E-3</v>
      </c>
      <c r="AH58" s="27">
        <f>(('Mitigation drivers'!AC61*LagoonN2O)+('Mitigation drivers'!AC62*LiquidN2O)+('Mitigation drivers'!AC63*DrylotN2O)+('Mitigation drivers'!AC64*SolidStorageN2O)+('Mitigation drivers'!AC65*DailyspreadN2O)+('Mitigation drivers'!AC66*CompostN2O)+('Mitigation drivers'!AC67*ManwithbedN2O)+('Mitigation drivers'!AC68*PMwithoutlitterN2O)+('Mitigation drivers'!AC69*PMwithlitterN2O)+('Mitigation drivers'!AC71*DigesterN2OEF))/100</f>
        <v>1.5000000000000002E-3</v>
      </c>
      <c r="AI58" s="27">
        <f>(('Mitigation drivers'!AD61*LagoonN2O)+('Mitigation drivers'!AD62*LiquidN2O)+('Mitigation drivers'!AD63*DrylotN2O)+('Mitigation drivers'!AD64*SolidStorageN2O)+('Mitigation drivers'!AD65*DailyspreadN2O)+('Mitigation drivers'!AD66*CompostN2O)+('Mitigation drivers'!AD67*ManwithbedN2O)+('Mitigation drivers'!AD68*PMwithoutlitterN2O)+('Mitigation drivers'!AD69*PMwithlitterN2O)+('Mitigation drivers'!AD71*DigesterN2OEF))/100</f>
        <v>1.5000000000000002E-3</v>
      </c>
      <c r="AJ58" s="27">
        <f>(('Mitigation drivers'!AE61*LagoonN2O)+('Mitigation drivers'!AE62*LiquidN2O)+('Mitigation drivers'!AE63*DrylotN2O)+('Mitigation drivers'!AE64*SolidStorageN2O)+('Mitigation drivers'!AE65*DailyspreadN2O)+('Mitigation drivers'!AE66*CompostN2O)+('Mitigation drivers'!AE67*ManwithbedN2O)+('Mitigation drivers'!AE68*PMwithoutlitterN2O)+('Mitigation drivers'!AE69*PMwithlitterN2O)+('Mitigation drivers'!AE71*DigesterN2OEF))/100</f>
        <v>1.5000000000000002E-3</v>
      </c>
      <c r="AK58" s="27">
        <f>(('Mitigation drivers'!AF61*LagoonN2O)+('Mitigation drivers'!AF62*LiquidN2O)+('Mitigation drivers'!AF63*DrylotN2O)+('Mitigation drivers'!AF64*SolidStorageN2O)+('Mitigation drivers'!AF65*DailyspreadN2O)+('Mitigation drivers'!AF66*CompostN2O)+('Mitigation drivers'!AF67*ManwithbedN2O)+('Mitigation drivers'!AF68*PMwithoutlitterN2O)+('Mitigation drivers'!AF69*PMwithlitterN2O)+('Mitigation drivers'!AF71*DigesterN2OEF))/100</f>
        <v>1.5000000000000002E-3</v>
      </c>
      <c r="AL58" s="27">
        <f>(('Mitigation drivers'!AG61*LagoonN2O)+('Mitigation drivers'!AG62*LiquidN2O)+('Mitigation drivers'!AG63*DrylotN2O)+('Mitigation drivers'!AG64*SolidStorageN2O)+('Mitigation drivers'!AG65*DailyspreadN2O)+('Mitigation drivers'!AG66*CompostN2O)+('Mitigation drivers'!AG67*ManwithbedN2O)+('Mitigation drivers'!AG68*PMwithoutlitterN2O)+('Mitigation drivers'!AG69*PMwithlitterN2O)+('Mitigation drivers'!AG71*DigesterN2OEF))/100</f>
        <v>1.5000000000000002E-3</v>
      </c>
      <c r="AM58" s="27">
        <f>(('Mitigation drivers'!AH61*LagoonN2O)+('Mitigation drivers'!AH62*LiquidN2O)+('Mitigation drivers'!AH63*DrylotN2O)+('Mitigation drivers'!AH64*SolidStorageN2O)+('Mitigation drivers'!AH65*DailyspreadN2O)+('Mitigation drivers'!AH66*CompostN2O)+('Mitigation drivers'!AH67*ManwithbedN2O)+('Mitigation drivers'!AH68*PMwithoutlitterN2O)+('Mitigation drivers'!AH69*PMwithlitterN2O)+('Mitigation drivers'!AH71*DigesterN2OEF))/100</f>
        <v>1.5000000000000002E-3</v>
      </c>
      <c r="AN58" s="27">
        <f>(('Mitigation drivers'!AI61*LagoonN2O)+('Mitigation drivers'!AI62*LiquidN2O)+('Mitigation drivers'!AI63*DrylotN2O)+('Mitigation drivers'!AI64*SolidStorageN2O)+('Mitigation drivers'!AI65*DailyspreadN2O)+('Mitigation drivers'!AI66*CompostN2O)+('Mitigation drivers'!AI67*ManwithbedN2O)+('Mitigation drivers'!AI68*PMwithoutlitterN2O)+('Mitigation drivers'!AI69*PMwithlitterN2O)+('Mitigation drivers'!AI71*DigesterN2OEF))/100</f>
        <v>1.5000000000000002E-3</v>
      </c>
      <c r="AO58" s="27">
        <f>(('Mitigation drivers'!AJ61*LagoonN2O)+('Mitigation drivers'!AJ62*LiquidN2O)+('Mitigation drivers'!AJ63*DrylotN2O)+('Mitigation drivers'!AJ64*SolidStorageN2O)+('Mitigation drivers'!AJ65*DailyspreadN2O)+('Mitigation drivers'!AJ66*CompostN2O)+('Mitigation drivers'!AJ67*ManwithbedN2O)+('Mitigation drivers'!AJ68*PMwithoutlitterN2O)+('Mitigation drivers'!AJ69*PMwithlitterN2O)+('Mitigation drivers'!AJ71*DigesterN2OEF))/100</f>
        <v>1.5000000000000002E-3</v>
      </c>
    </row>
    <row r="59" spans="1:41" x14ac:dyDescent="0.25">
      <c r="A59" t="str">
        <f t="shared" si="1"/>
        <v>3A Livestock</v>
      </c>
      <c r="B59" t="str">
        <f t="shared" si="8"/>
        <v>3A2 Manure management (N2O)</v>
      </c>
      <c r="C59" t="str">
        <f>'Activity data'!C10</f>
        <v>3A1aii Other cattle</v>
      </c>
      <c r="D59" t="str">
        <f>'Activity data'!D10</f>
        <v>Feedlot</v>
      </c>
      <c r="E59" t="str">
        <f t="shared" si="27"/>
        <v>Manure management EF</v>
      </c>
      <c r="F59" t="str">
        <f t="shared" si="28"/>
        <v>N2O</v>
      </c>
      <c r="G59" t="str">
        <f t="shared" si="29"/>
        <v>kg N2O-N/kg Nex</v>
      </c>
      <c r="H59" s="27">
        <f>(('Mitigation drivers'!C73*LagoonN2O)+('Mitigation drivers'!C74*LiquidN2O)+('Mitigation drivers'!C75*DrylotN2O)+('Mitigation drivers'!C76*SolidStorageN2O)+('Mitigation drivers'!C77*DailyspreadN2O)+('Mitigation drivers'!C78*CompostN2O)+('Mitigation drivers'!C79*ManwithbedN2O)+('Mitigation drivers'!C80*PMwithoutlitterN2O)+('Mitigation drivers'!C81*PMwithlitterN2O)+('Mitigation drivers'!C83*DigesterN2OEF))/100</f>
        <v>1.7500000000000002E-2</v>
      </c>
      <c r="I59" s="27">
        <f>(('Mitigation drivers'!D73*LagoonN2O)+('Mitigation drivers'!D74*LiquidN2O)+('Mitigation drivers'!D75*DrylotN2O)+('Mitigation drivers'!D76*SolidStorageN2O)+('Mitigation drivers'!D77*DailyspreadN2O)+('Mitigation drivers'!D78*CompostN2O)+('Mitigation drivers'!D79*ManwithbedN2O)+('Mitigation drivers'!D80*PMwithoutlitterN2O)+('Mitigation drivers'!D81*PMwithlitterN2O)+('Mitigation drivers'!D83*DigesterN2OEF))/100</f>
        <v>1.7500000000000002E-2</v>
      </c>
      <c r="J59" s="27">
        <f>(('Mitigation drivers'!E73*LagoonN2O)+('Mitigation drivers'!E74*LiquidN2O)+('Mitigation drivers'!E75*DrylotN2O)+('Mitigation drivers'!E76*SolidStorageN2O)+('Mitigation drivers'!E77*DailyspreadN2O)+('Mitigation drivers'!E78*CompostN2O)+('Mitigation drivers'!E79*ManwithbedN2O)+('Mitigation drivers'!E80*PMwithoutlitterN2O)+('Mitigation drivers'!E81*PMwithlitterN2O)+('Mitigation drivers'!E83*DigesterN2OEF))/100</f>
        <v>1.7500000000000002E-2</v>
      </c>
      <c r="K59" s="27">
        <f>(('Mitigation drivers'!F73*LagoonN2O)+('Mitigation drivers'!F74*LiquidN2O)+('Mitigation drivers'!F75*DrylotN2O)+('Mitigation drivers'!F76*SolidStorageN2O)+('Mitigation drivers'!F77*DailyspreadN2O)+('Mitigation drivers'!F78*CompostN2O)+('Mitigation drivers'!F79*ManwithbedN2O)+('Mitigation drivers'!F80*PMwithoutlitterN2O)+('Mitigation drivers'!F81*PMwithlitterN2O)+('Mitigation drivers'!F83*DigesterN2OEF))/100</f>
        <v>1.7500000000000002E-2</v>
      </c>
      <c r="L59" s="27">
        <f>(('Mitigation drivers'!G73*LagoonN2O)+('Mitigation drivers'!G74*LiquidN2O)+('Mitigation drivers'!G75*DrylotN2O)+('Mitigation drivers'!G76*SolidStorageN2O)+('Mitigation drivers'!G77*DailyspreadN2O)+('Mitigation drivers'!G78*CompostN2O)+('Mitigation drivers'!G79*ManwithbedN2O)+('Mitigation drivers'!G80*PMwithoutlitterN2O)+('Mitigation drivers'!G81*PMwithlitterN2O)+('Mitigation drivers'!G83*DigesterN2OEF))/100</f>
        <v>1.7500000000000002E-2</v>
      </c>
      <c r="M59" s="27">
        <f>(('Mitigation drivers'!H73*LagoonN2O)+('Mitigation drivers'!H74*LiquidN2O)+('Mitigation drivers'!H75*DrylotN2O)+('Mitigation drivers'!H76*SolidStorageN2O)+('Mitigation drivers'!H77*DailyspreadN2O)+('Mitigation drivers'!H78*CompostN2O)+('Mitigation drivers'!H79*ManwithbedN2O)+('Mitigation drivers'!H80*PMwithoutlitterN2O)+('Mitigation drivers'!H81*PMwithlitterN2O)+('Mitigation drivers'!H83*DigesterN2OEF))/100</f>
        <v>1.7500000000000002E-2</v>
      </c>
      <c r="N59" s="27">
        <f>(('Mitigation drivers'!I73*LagoonN2O)+('Mitigation drivers'!I74*LiquidN2O)+('Mitigation drivers'!I75*DrylotN2O)+('Mitigation drivers'!I76*SolidStorageN2O)+('Mitigation drivers'!I77*DailyspreadN2O)+('Mitigation drivers'!I78*CompostN2O)+('Mitigation drivers'!I79*ManwithbedN2O)+('Mitigation drivers'!I80*PMwithoutlitterN2O)+('Mitigation drivers'!I81*PMwithlitterN2O)+('Mitigation drivers'!I83*DigesterN2OEF))/100</f>
        <v>1.7500000000000002E-2</v>
      </c>
      <c r="O59" s="27">
        <f>(('Mitigation drivers'!J73*LagoonN2O)+('Mitigation drivers'!J74*LiquidN2O)+('Mitigation drivers'!J75*DrylotN2O)+('Mitigation drivers'!J76*SolidStorageN2O)+('Mitigation drivers'!J77*DailyspreadN2O)+('Mitigation drivers'!J78*CompostN2O)+('Mitigation drivers'!J79*ManwithbedN2O)+('Mitigation drivers'!J80*PMwithoutlitterN2O)+('Mitigation drivers'!J81*PMwithlitterN2O)+('Mitigation drivers'!J83*DigesterN2OEF))/100</f>
        <v>1.7500000000000002E-2</v>
      </c>
      <c r="P59" s="27">
        <f>(('Mitigation drivers'!K73*LagoonN2O)+('Mitigation drivers'!K74*LiquidN2O)+('Mitigation drivers'!K75*DrylotN2O)+('Mitigation drivers'!K76*SolidStorageN2O)+('Mitigation drivers'!K77*DailyspreadN2O)+('Mitigation drivers'!K78*CompostN2O)+('Mitigation drivers'!K79*ManwithbedN2O)+('Mitigation drivers'!K80*PMwithoutlitterN2O)+('Mitigation drivers'!K81*PMwithlitterN2O)+('Mitigation drivers'!K83*DigesterN2OEF))/100</f>
        <v>1.7500000000000002E-2</v>
      </c>
      <c r="Q59" s="27">
        <f>(('Mitigation drivers'!L73*LagoonN2O)+('Mitigation drivers'!L74*LiquidN2O)+('Mitigation drivers'!L75*DrylotN2O)+('Mitigation drivers'!L76*SolidStorageN2O)+('Mitigation drivers'!L77*DailyspreadN2O)+('Mitigation drivers'!L78*CompostN2O)+('Mitigation drivers'!L79*ManwithbedN2O)+('Mitigation drivers'!L80*PMwithoutlitterN2O)+('Mitigation drivers'!L81*PMwithlitterN2O)+('Mitigation drivers'!L83*DigesterN2OEF))/100</f>
        <v>1.7500000000000002E-2</v>
      </c>
      <c r="R59" s="27">
        <f>(('Mitigation drivers'!M73*LagoonN2O)+('Mitigation drivers'!M74*LiquidN2O)+('Mitigation drivers'!M75*DrylotN2O)+('Mitigation drivers'!M76*SolidStorageN2O)+('Mitigation drivers'!M77*DailyspreadN2O)+('Mitigation drivers'!M78*CompostN2O)+('Mitigation drivers'!M79*ManwithbedN2O)+('Mitigation drivers'!M80*PMwithoutlitterN2O)+('Mitigation drivers'!M81*PMwithlitterN2O)+('Mitigation drivers'!M83*DigesterN2OEF))/100</f>
        <v>1.7500000000000002E-2</v>
      </c>
      <c r="S59" s="27">
        <f>(('Mitigation drivers'!N73*LagoonN2O)+('Mitigation drivers'!N74*LiquidN2O)+('Mitigation drivers'!N75*DrylotN2O)+('Mitigation drivers'!N76*SolidStorageN2O)+('Mitigation drivers'!N77*DailyspreadN2O)+('Mitigation drivers'!N78*CompostN2O)+('Mitigation drivers'!N79*ManwithbedN2O)+('Mitigation drivers'!N80*PMwithoutlitterN2O)+('Mitigation drivers'!N81*PMwithlitterN2O)+('Mitigation drivers'!N83*DigesterN2OEF))/100</f>
        <v>1.7500000000000002E-2</v>
      </c>
      <c r="T59" s="27">
        <f>(('Mitigation drivers'!O73*LagoonN2O)+('Mitigation drivers'!O74*LiquidN2O)+('Mitigation drivers'!O75*DrylotN2O)+('Mitigation drivers'!O76*SolidStorageN2O)+('Mitigation drivers'!O77*DailyspreadN2O)+('Mitigation drivers'!O78*CompostN2O)+('Mitigation drivers'!O79*ManwithbedN2O)+('Mitigation drivers'!O80*PMwithoutlitterN2O)+('Mitigation drivers'!O81*PMwithlitterN2O)+('Mitigation drivers'!O83*DigesterN2OEF))/100</f>
        <v>1.7500000000000002E-2</v>
      </c>
      <c r="U59" s="27">
        <f>(('Mitigation drivers'!P73*LagoonN2O)+('Mitigation drivers'!P74*LiquidN2O)+('Mitigation drivers'!P75*DrylotN2O)+('Mitigation drivers'!P76*SolidStorageN2O)+('Mitigation drivers'!P77*DailyspreadN2O)+('Mitigation drivers'!P78*CompostN2O)+('Mitigation drivers'!P79*ManwithbedN2O)+('Mitigation drivers'!P80*PMwithoutlitterN2O)+('Mitigation drivers'!P81*PMwithlitterN2O)+('Mitigation drivers'!P83*DigesterN2OEF))/100</f>
        <v>1.7500000000000002E-2</v>
      </c>
      <c r="V59" s="27">
        <f>(('Mitigation drivers'!Q73*LagoonN2O)+('Mitigation drivers'!Q74*LiquidN2O)+('Mitigation drivers'!Q75*DrylotN2O)+('Mitigation drivers'!Q76*SolidStorageN2O)+('Mitigation drivers'!Q77*DailyspreadN2O)+('Mitigation drivers'!Q78*CompostN2O)+('Mitigation drivers'!Q79*ManwithbedN2O)+('Mitigation drivers'!Q80*PMwithoutlitterN2O)+('Mitigation drivers'!Q81*PMwithlitterN2O)+('Mitigation drivers'!Q83*DigesterN2OEF))/100</f>
        <v>1.7500000000000002E-2</v>
      </c>
      <c r="W59" s="27">
        <f>(('Mitigation drivers'!R73*LagoonN2O)+('Mitigation drivers'!R74*LiquidN2O)+('Mitigation drivers'!R75*DrylotN2O)+('Mitigation drivers'!R76*SolidStorageN2O)+('Mitigation drivers'!R77*DailyspreadN2O)+('Mitigation drivers'!R78*CompostN2O)+('Mitigation drivers'!R79*ManwithbedN2O)+('Mitigation drivers'!R80*PMwithoutlitterN2O)+('Mitigation drivers'!R81*PMwithlitterN2O)+('Mitigation drivers'!R83*DigesterN2OEF))/100</f>
        <v>1.7500000000000002E-2</v>
      </c>
      <c r="X59" s="27">
        <f>(('Mitigation drivers'!S73*LagoonN2O)+('Mitigation drivers'!S74*LiquidN2O)+('Mitigation drivers'!S75*DrylotN2O)+('Mitigation drivers'!S76*SolidStorageN2O)+('Mitigation drivers'!S77*DailyspreadN2O)+('Mitigation drivers'!S78*CompostN2O)+('Mitigation drivers'!S79*ManwithbedN2O)+('Mitigation drivers'!S80*PMwithoutlitterN2O)+('Mitigation drivers'!S81*PMwithlitterN2O)+('Mitigation drivers'!S83*DigesterN2OEF))/100</f>
        <v>1.7500000000000002E-2</v>
      </c>
      <c r="Y59" s="27">
        <f>(('Mitigation drivers'!T73*LagoonN2O)+('Mitigation drivers'!T74*LiquidN2O)+('Mitigation drivers'!T75*DrylotN2O)+('Mitigation drivers'!T76*SolidStorageN2O)+('Mitigation drivers'!T77*DailyspreadN2O)+('Mitigation drivers'!T78*CompostN2O)+('Mitigation drivers'!T79*ManwithbedN2O)+('Mitigation drivers'!T80*PMwithoutlitterN2O)+('Mitigation drivers'!T81*PMwithlitterN2O)+('Mitigation drivers'!T83*DigesterN2OEF))/100</f>
        <v>1.7500000000000002E-2</v>
      </c>
      <c r="Z59" s="27">
        <f>(('Mitigation drivers'!U73*LagoonN2O)+('Mitigation drivers'!U74*LiquidN2O)+('Mitigation drivers'!U75*DrylotN2O)+('Mitigation drivers'!U76*SolidStorageN2O)+('Mitigation drivers'!U77*DailyspreadN2O)+('Mitigation drivers'!U78*CompostN2O)+('Mitigation drivers'!U79*ManwithbedN2O)+('Mitigation drivers'!U80*PMwithoutlitterN2O)+('Mitigation drivers'!U81*PMwithlitterN2O)+('Mitigation drivers'!U83*DigesterN2OEF))/100</f>
        <v>1.7500000000000002E-2</v>
      </c>
      <c r="AA59" s="27">
        <f>(('Mitigation drivers'!V73*LagoonN2O)+('Mitigation drivers'!V74*LiquidN2O)+('Mitigation drivers'!V75*DrylotN2O)+('Mitigation drivers'!V76*SolidStorageN2O)+('Mitigation drivers'!V77*DailyspreadN2O)+('Mitigation drivers'!V78*CompostN2O)+('Mitigation drivers'!V79*ManwithbedN2O)+('Mitigation drivers'!V80*PMwithoutlitterN2O)+('Mitigation drivers'!V81*PMwithlitterN2O)+('Mitigation drivers'!V83*DigesterN2OEF))/100</f>
        <v>1.7500000000000002E-2</v>
      </c>
      <c r="AB59" s="27">
        <f>(('Mitigation drivers'!W73*LagoonN2O)+('Mitigation drivers'!W74*LiquidN2O)+('Mitigation drivers'!W75*DrylotN2O)+('Mitigation drivers'!W76*SolidStorageN2O)+('Mitigation drivers'!W77*DailyspreadN2O)+('Mitigation drivers'!W78*CompostN2O)+('Mitigation drivers'!W79*ManwithbedN2O)+('Mitigation drivers'!W80*PMwithoutlitterN2O)+('Mitigation drivers'!W81*PMwithlitterN2O)+('Mitigation drivers'!W83*DigesterN2OEF))/100</f>
        <v>1.7500000000000002E-2</v>
      </c>
      <c r="AC59" s="27">
        <f>(('Mitigation drivers'!X73*LagoonN2O)+('Mitigation drivers'!X74*LiquidN2O)+('Mitigation drivers'!X75*DrylotN2O)+('Mitigation drivers'!X76*SolidStorageN2O)+('Mitigation drivers'!X77*DailyspreadN2O)+('Mitigation drivers'!X78*CompostN2O)+('Mitigation drivers'!X79*ManwithbedN2O)+('Mitigation drivers'!X80*PMwithoutlitterN2O)+('Mitigation drivers'!X81*PMwithlitterN2O)+('Mitigation drivers'!X83*DigesterN2OEF))/100</f>
        <v>1.7500000000000002E-2</v>
      </c>
      <c r="AD59" s="27">
        <f>(('Mitigation drivers'!Y73*LagoonN2O)+('Mitigation drivers'!Y74*LiquidN2O)+('Mitigation drivers'!Y75*DrylotN2O)+('Mitigation drivers'!Y76*SolidStorageN2O)+('Mitigation drivers'!Y77*DailyspreadN2O)+('Mitigation drivers'!Y78*CompostN2O)+('Mitigation drivers'!Y79*ManwithbedN2O)+('Mitigation drivers'!Y80*PMwithoutlitterN2O)+('Mitigation drivers'!Y81*PMwithlitterN2O)+('Mitigation drivers'!Y83*DigesterN2OEF))/100</f>
        <v>1.7500000000000002E-2</v>
      </c>
      <c r="AE59" s="27">
        <f>(('Mitigation drivers'!Z73*LagoonN2O)+('Mitigation drivers'!Z74*LiquidN2O)+('Mitigation drivers'!Z75*DrylotN2O)+('Mitigation drivers'!Z76*SolidStorageN2O)+('Mitigation drivers'!Z77*DailyspreadN2O)+('Mitigation drivers'!Z78*CompostN2O)+('Mitigation drivers'!Z79*ManwithbedN2O)+('Mitigation drivers'!Z80*PMwithoutlitterN2O)+('Mitigation drivers'!Z81*PMwithlitterN2O)+('Mitigation drivers'!Z83*DigesterN2OEF))/100</f>
        <v>1.7500000000000002E-2</v>
      </c>
      <c r="AF59" s="27">
        <f>(('Mitigation drivers'!AA73*LagoonN2O)+('Mitigation drivers'!AA74*LiquidN2O)+('Mitigation drivers'!AA75*DrylotN2O)+('Mitigation drivers'!AA76*SolidStorageN2O)+('Mitigation drivers'!AA77*DailyspreadN2O)+('Mitigation drivers'!AA78*CompostN2O)+('Mitigation drivers'!AA79*ManwithbedN2O)+('Mitigation drivers'!AA80*PMwithoutlitterN2O)+('Mitigation drivers'!AA81*PMwithlitterN2O)+('Mitigation drivers'!AA83*DigesterN2OEF))/100</f>
        <v>1.7500000000000002E-2</v>
      </c>
      <c r="AG59" s="27">
        <f>(('Mitigation drivers'!AB73*LagoonN2O)+('Mitigation drivers'!AB74*LiquidN2O)+('Mitigation drivers'!AB75*DrylotN2O)+('Mitigation drivers'!AB76*SolidStorageN2O)+('Mitigation drivers'!AB77*DailyspreadN2O)+('Mitigation drivers'!AB78*CompostN2O)+('Mitigation drivers'!AB79*ManwithbedN2O)+('Mitigation drivers'!AB80*PMwithoutlitterN2O)+('Mitigation drivers'!AB81*PMwithlitterN2O)+('Mitigation drivers'!AB83*DigesterN2OEF))/100</f>
        <v>1.7500000000000002E-2</v>
      </c>
      <c r="AH59" s="27">
        <f>(('Mitigation drivers'!AC73*LagoonN2O)+('Mitigation drivers'!AC74*LiquidN2O)+('Mitigation drivers'!AC75*DrylotN2O)+('Mitigation drivers'!AC76*SolidStorageN2O)+('Mitigation drivers'!AC77*DailyspreadN2O)+('Mitigation drivers'!AC78*CompostN2O)+('Mitigation drivers'!AC79*ManwithbedN2O)+('Mitigation drivers'!AC80*PMwithoutlitterN2O)+('Mitigation drivers'!AC81*PMwithlitterN2O)+('Mitigation drivers'!AC83*DigesterN2OEF))/100</f>
        <v>1.7500000000000002E-2</v>
      </c>
      <c r="AI59" s="27">
        <f>(('Mitigation drivers'!AD73*LagoonN2O)+('Mitigation drivers'!AD74*LiquidN2O)+('Mitigation drivers'!AD75*DrylotN2O)+('Mitigation drivers'!AD76*SolidStorageN2O)+('Mitigation drivers'!AD77*DailyspreadN2O)+('Mitigation drivers'!AD78*CompostN2O)+('Mitigation drivers'!AD79*ManwithbedN2O)+('Mitigation drivers'!AD80*PMwithoutlitterN2O)+('Mitigation drivers'!AD81*PMwithlitterN2O)+('Mitigation drivers'!AD83*DigesterN2OEF))/100</f>
        <v>1.7500000000000002E-2</v>
      </c>
      <c r="AJ59" s="27">
        <f>(('Mitigation drivers'!AE73*LagoonN2O)+('Mitigation drivers'!AE74*LiquidN2O)+('Mitigation drivers'!AE75*DrylotN2O)+('Mitigation drivers'!AE76*SolidStorageN2O)+('Mitigation drivers'!AE77*DailyspreadN2O)+('Mitigation drivers'!AE78*CompostN2O)+('Mitigation drivers'!AE79*ManwithbedN2O)+('Mitigation drivers'!AE80*PMwithoutlitterN2O)+('Mitigation drivers'!AE81*PMwithlitterN2O)+('Mitigation drivers'!AE83*DigesterN2OEF))/100</f>
        <v>1.7500000000000002E-2</v>
      </c>
      <c r="AK59" s="27">
        <f>(('Mitigation drivers'!AF73*LagoonN2O)+('Mitigation drivers'!AF74*LiquidN2O)+('Mitigation drivers'!AF75*DrylotN2O)+('Mitigation drivers'!AF76*SolidStorageN2O)+('Mitigation drivers'!AF77*DailyspreadN2O)+('Mitigation drivers'!AF78*CompostN2O)+('Mitigation drivers'!AF79*ManwithbedN2O)+('Mitigation drivers'!AF80*PMwithoutlitterN2O)+('Mitigation drivers'!AF81*PMwithlitterN2O)+('Mitigation drivers'!AF83*DigesterN2OEF))/100</f>
        <v>1.7500000000000002E-2</v>
      </c>
      <c r="AL59" s="27">
        <f>(('Mitigation drivers'!AG73*LagoonN2O)+('Mitigation drivers'!AG74*LiquidN2O)+('Mitigation drivers'!AG75*DrylotN2O)+('Mitigation drivers'!AG76*SolidStorageN2O)+('Mitigation drivers'!AG77*DailyspreadN2O)+('Mitigation drivers'!AG78*CompostN2O)+('Mitigation drivers'!AG79*ManwithbedN2O)+('Mitigation drivers'!AG80*PMwithoutlitterN2O)+('Mitigation drivers'!AG81*PMwithlitterN2O)+('Mitigation drivers'!AG83*DigesterN2OEF))/100</f>
        <v>1.7500000000000002E-2</v>
      </c>
      <c r="AM59" s="27">
        <f>(('Mitigation drivers'!AH73*LagoonN2O)+('Mitigation drivers'!AH74*LiquidN2O)+('Mitigation drivers'!AH75*DrylotN2O)+('Mitigation drivers'!AH76*SolidStorageN2O)+('Mitigation drivers'!AH77*DailyspreadN2O)+('Mitigation drivers'!AH78*CompostN2O)+('Mitigation drivers'!AH79*ManwithbedN2O)+('Mitigation drivers'!AH80*PMwithoutlitterN2O)+('Mitigation drivers'!AH81*PMwithlitterN2O)+('Mitigation drivers'!AH83*DigesterN2OEF))/100</f>
        <v>1.7500000000000002E-2</v>
      </c>
      <c r="AN59" s="27">
        <f>(('Mitigation drivers'!AI73*LagoonN2O)+('Mitigation drivers'!AI74*LiquidN2O)+('Mitigation drivers'!AI75*DrylotN2O)+('Mitigation drivers'!AI76*SolidStorageN2O)+('Mitigation drivers'!AI77*DailyspreadN2O)+('Mitigation drivers'!AI78*CompostN2O)+('Mitigation drivers'!AI79*ManwithbedN2O)+('Mitigation drivers'!AI80*PMwithoutlitterN2O)+('Mitigation drivers'!AI81*PMwithlitterN2O)+('Mitigation drivers'!AI83*DigesterN2OEF))/100</f>
        <v>1.7500000000000002E-2</v>
      </c>
      <c r="AO59" s="27">
        <f>(('Mitigation drivers'!AJ73*LagoonN2O)+('Mitigation drivers'!AJ74*LiquidN2O)+('Mitigation drivers'!AJ75*DrylotN2O)+('Mitigation drivers'!AJ76*SolidStorageN2O)+('Mitigation drivers'!AJ77*DailyspreadN2O)+('Mitigation drivers'!AJ78*CompostN2O)+('Mitigation drivers'!AJ79*ManwithbedN2O)+('Mitigation drivers'!AJ80*PMwithoutlitterN2O)+('Mitigation drivers'!AJ81*PMwithlitterN2O)+('Mitigation drivers'!AJ83*DigesterN2OEF))/100</f>
        <v>1.7500000000000002E-2</v>
      </c>
    </row>
    <row r="60" spans="1:41" x14ac:dyDescent="0.25">
      <c r="A60" t="str">
        <f t="shared" si="1"/>
        <v>3A Livestock</v>
      </c>
      <c r="B60" t="str">
        <f t="shared" si="8"/>
        <v>3A2 Manure management (N2O)</v>
      </c>
      <c r="C60" t="str">
        <f>'Activity data'!C11</f>
        <v>3A1c Sheep</v>
      </c>
      <c r="D60" t="str">
        <f>'Activity data'!D11</f>
        <v>Commercial</v>
      </c>
      <c r="E60" t="str">
        <f t="shared" si="27"/>
        <v>Manure management EF</v>
      </c>
      <c r="F60" t="str">
        <f t="shared" si="28"/>
        <v>N2O</v>
      </c>
      <c r="G60" t="str">
        <f t="shared" si="29"/>
        <v>kg N2O-N/kg Nex</v>
      </c>
      <c r="H60" s="27">
        <f>(('Mitigation drivers'!C86*LagoonN2O)+('Mitigation drivers'!C87*LiquidN2O)+('Mitigation drivers'!C88*DrylotN2O)+('Mitigation drivers'!C89*SolidStorageN2O)+('Mitigation drivers'!C90*DailyspreadN2O)+('Mitigation drivers'!C91*CompostN2O)+('Mitigation drivers'!C92*ManwithbedN2O)+('Mitigation drivers'!C93*PMwithoutlitterN2O)+('Mitigation drivers'!C94*PMwithlitterN2O)+('Mitigation drivers'!C96*DigesterN2OEF))/100</f>
        <v>2.0000000000000001E-4</v>
      </c>
      <c r="I60" s="27">
        <f>(('Mitigation drivers'!D86*LagoonN2O)+('Mitigation drivers'!D87*LiquidN2O)+('Mitigation drivers'!D88*DrylotN2O)+('Mitigation drivers'!D89*SolidStorageN2O)+('Mitigation drivers'!D90*DailyspreadN2O)+('Mitigation drivers'!D91*CompostN2O)+('Mitigation drivers'!D92*ManwithbedN2O)+('Mitigation drivers'!D93*PMwithoutlitterN2O)+('Mitigation drivers'!D94*PMwithlitterN2O)+('Mitigation drivers'!D96*DigesterN2OEF))/100</f>
        <v>2.0000000000000001E-4</v>
      </c>
      <c r="J60" s="27">
        <f>(('Mitigation drivers'!E86*LagoonN2O)+('Mitigation drivers'!E87*LiquidN2O)+('Mitigation drivers'!E88*DrylotN2O)+('Mitigation drivers'!E89*SolidStorageN2O)+('Mitigation drivers'!E90*DailyspreadN2O)+('Mitigation drivers'!E91*CompostN2O)+('Mitigation drivers'!E92*ManwithbedN2O)+('Mitigation drivers'!E93*PMwithoutlitterN2O)+('Mitigation drivers'!E94*PMwithlitterN2O)+('Mitigation drivers'!E96*DigesterN2OEF))/100</f>
        <v>2.0000000000000001E-4</v>
      </c>
      <c r="K60" s="27">
        <f>(('Mitigation drivers'!F86*LagoonN2O)+('Mitigation drivers'!F87*LiquidN2O)+('Mitigation drivers'!F88*DrylotN2O)+('Mitigation drivers'!F89*SolidStorageN2O)+('Mitigation drivers'!F90*DailyspreadN2O)+('Mitigation drivers'!F91*CompostN2O)+('Mitigation drivers'!F92*ManwithbedN2O)+('Mitigation drivers'!F93*PMwithoutlitterN2O)+('Mitigation drivers'!F94*PMwithlitterN2O)+('Mitigation drivers'!F96*DigesterN2OEF))/100</f>
        <v>2.0000000000000001E-4</v>
      </c>
      <c r="L60" s="27">
        <f>(('Mitigation drivers'!G86*LagoonN2O)+('Mitigation drivers'!G87*LiquidN2O)+('Mitigation drivers'!G88*DrylotN2O)+('Mitigation drivers'!G89*SolidStorageN2O)+('Mitigation drivers'!G90*DailyspreadN2O)+('Mitigation drivers'!G91*CompostN2O)+('Mitigation drivers'!G92*ManwithbedN2O)+('Mitigation drivers'!G93*PMwithoutlitterN2O)+('Mitigation drivers'!G94*PMwithlitterN2O)+('Mitigation drivers'!G96*DigesterN2OEF))/100</f>
        <v>2.0000000000000001E-4</v>
      </c>
      <c r="M60" s="27">
        <f>(('Mitigation drivers'!H86*LagoonN2O)+('Mitigation drivers'!H87*LiquidN2O)+('Mitigation drivers'!H88*DrylotN2O)+('Mitigation drivers'!H89*SolidStorageN2O)+('Mitigation drivers'!H90*DailyspreadN2O)+('Mitigation drivers'!H91*CompostN2O)+('Mitigation drivers'!H92*ManwithbedN2O)+('Mitigation drivers'!H93*PMwithoutlitterN2O)+('Mitigation drivers'!H94*PMwithlitterN2O)+('Mitigation drivers'!H96*DigesterN2OEF))/100</f>
        <v>2.0000000000000001E-4</v>
      </c>
      <c r="N60" s="27">
        <f>(('Mitigation drivers'!I86*LagoonN2O)+('Mitigation drivers'!I87*LiquidN2O)+('Mitigation drivers'!I88*DrylotN2O)+('Mitigation drivers'!I89*SolidStorageN2O)+('Mitigation drivers'!I90*DailyspreadN2O)+('Mitigation drivers'!I91*CompostN2O)+('Mitigation drivers'!I92*ManwithbedN2O)+('Mitigation drivers'!I93*PMwithoutlitterN2O)+('Mitigation drivers'!I94*PMwithlitterN2O)+('Mitigation drivers'!I96*DigesterN2OEF))/100</f>
        <v>2.0000000000000001E-4</v>
      </c>
      <c r="O60" s="27">
        <f>(('Mitigation drivers'!J86*LagoonN2O)+('Mitigation drivers'!J87*LiquidN2O)+('Mitigation drivers'!J88*DrylotN2O)+('Mitigation drivers'!J89*SolidStorageN2O)+('Mitigation drivers'!J90*DailyspreadN2O)+('Mitigation drivers'!J91*CompostN2O)+('Mitigation drivers'!J92*ManwithbedN2O)+('Mitigation drivers'!J93*PMwithoutlitterN2O)+('Mitigation drivers'!J94*PMwithlitterN2O)+('Mitigation drivers'!J96*DigesterN2OEF))/100</f>
        <v>2.0000000000000001E-4</v>
      </c>
      <c r="P60" s="27">
        <f>(('Mitigation drivers'!K86*LagoonN2O)+('Mitigation drivers'!K87*LiquidN2O)+('Mitigation drivers'!K88*DrylotN2O)+('Mitigation drivers'!K89*SolidStorageN2O)+('Mitigation drivers'!K90*DailyspreadN2O)+('Mitigation drivers'!K91*CompostN2O)+('Mitigation drivers'!K92*ManwithbedN2O)+('Mitigation drivers'!K93*PMwithoutlitterN2O)+('Mitigation drivers'!K94*PMwithlitterN2O)+('Mitigation drivers'!K96*DigesterN2OEF))/100</f>
        <v>2.0000000000000001E-4</v>
      </c>
      <c r="Q60" s="27">
        <f>(('Mitigation drivers'!L86*LagoonN2O)+('Mitigation drivers'!L87*LiquidN2O)+('Mitigation drivers'!L88*DrylotN2O)+('Mitigation drivers'!L89*SolidStorageN2O)+('Mitigation drivers'!L90*DailyspreadN2O)+('Mitigation drivers'!L91*CompostN2O)+('Mitigation drivers'!L92*ManwithbedN2O)+('Mitigation drivers'!L93*PMwithoutlitterN2O)+('Mitigation drivers'!L94*PMwithlitterN2O)+('Mitigation drivers'!L96*DigesterN2OEF))/100</f>
        <v>2.0000000000000001E-4</v>
      </c>
      <c r="R60" s="27">
        <f>(('Mitigation drivers'!M86*LagoonN2O)+('Mitigation drivers'!M87*LiquidN2O)+('Mitigation drivers'!M88*DrylotN2O)+('Mitigation drivers'!M89*SolidStorageN2O)+('Mitigation drivers'!M90*DailyspreadN2O)+('Mitigation drivers'!M91*CompostN2O)+('Mitigation drivers'!M92*ManwithbedN2O)+('Mitigation drivers'!M93*PMwithoutlitterN2O)+('Mitigation drivers'!M94*PMwithlitterN2O)+('Mitigation drivers'!M96*DigesterN2OEF))/100</f>
        <v>2.0000000000000001E-4</v>
      </c>
      <c r="S60" s="27">
        <f>(('Mitigation drivers'!N86*LagoonN2O)+('Mitigation drivers'!N87*LiquidN2O)+('Mitigation drivers'!N88*DrylotN2O)+('Mitigation drivers'!N89*SolidStorageN2O)+('Mitigation drivers'!N90*DailyspreadN2O)+('Mitigation drivers'!N91*CompostN2O)+('Mitigation drivers'!N92*ManwithbedN2O)+('Mitigation drivers'!N93*PMwithoutlitterN2O)+('Mitigation drivers'!N94*PMwithlitterN2O)+('Mitigation drivers'!N96*DigesterN2OEF))/100</f>
        <v>2.0000000000000001E-4</v>
      </c>
      <c r="T60" s="27">
        <f>(('Mitigation drivers'!O86*LagoonN2O)+('Mitigation drivers'!O87*LiquidN2O)+('Mitigation drivers'!O88*DrylotN2O)+('Mitigation drivers'!O89*SolidStorageN2O)+('Mitigation drivers'!O90*DailyspreadN2O)+('Mitigation drivers'!O91*CompostN2O)+('Mitigation drivers'!O92*ManwithbedN2O)+('Mitigation drivers'!O93*PMwithoutlitterN2O)+('Mitigation drivers'!O94*PMwithlitterN2O)+('Mitigation drivers'!O96*DigesterN2OEF))/100</f>
        <v>2.0000000000000001E-4</v>
      </c>
      <c r="U60" s="27">
        <f>(('Mitigation drivers'!P86*LagoonN2O)+('Mitigation drivers'!P87*LiquidN2O)+('Mitigation drivers'!P88*DrylotN2O)+('Mitigation drivers'!P89*SolidStorageN2O)+('Mitigation drivers'!P90*DailyspreadN2O)+('Mitigation drivers'!P91*CompostN2O)+('Mitigation drivers'!P92*ManwithbedN2O)+('Mitigation drivers'!P93*PMwithoutlitterN2O)+('Mitigation drivers'!P94*PMwithlitterN2O)+('Mitigation drivers'!P96*DigesterN2OEF))/100</f>
        <v>2.0000000000000001E-4</v>
      </c>
      <c r="V60" s="27">
        <f>(('Mitigation drivers'!Q86*LagoonN2O)+('Mitigation drivers'!Q87*LiquidN2O)+('Mitigation drivers'!Q88*DrylotN2O)+('Mitigation drivers'!Q89*SolidStorageN2O)+('Mitigation drivers'!Q90*DailyspreadN2O)+('Mitigation drivers'!Q91*CompostN2O)+('Mitigation drivers'!Q92*ManwithbedN2O)+('Mitigation drivers'!Q93*PMwithoutlitterN2O)+('Mitigation drivers'!Q94*PMwithlitterN2O)+('Mitigation drivers'!Q96*DigesterN2OEF))/100</f>
        <v>2.0000000000000001E-4</v>
      </c>
      <c r="W60" s="27">
        <f>(('Mitigation drivers'!R86*LagoonN2O)+('Mitigation drivers'!R87*LiquidN2O)+('Mitigation drivers'!R88*DrylotN2O)+('Mitigation drivers'!R89*SolidStorageN2O)+('Mitigation drivers'!R90*DailyspreadN2O)+('Mitigation drivers'!R91*CompostN2O)+('Mitigation drivers'!R92*ManwithbedN2O)+('Mitigation drivers'!R93*PMwithoutlitterN2O)+('Mitigation drivers'!R94*PMwithlitterN2O)+('Mitigation drivers'!R96*DigesterN2OEF))/100</f>
        <v>2.0000000000000001E-4</v>
      </c>
      <c r="X60" s="27">
        <f>(('Mitigation drivers'!S86*LagoonN2O)+('Mitigation drivers'!S87*LiquidN2O)+('Mitigation drivers'!S88*DrylotN2O)+('Mitigation drivers'!S89*SolidStorageN2O)+('Mitigation drivers'!S90*DailyspreadN2O)+('Mitigation drivers'!S91*CompostN2O)+('Mitigation drivers'!S92*ManwithbedN2O)+('Mitigation drivers'!S93*PMwithoutlitterN2O)+('Mitigation drivers'!S94*PMwithlitterN2O)+('Mitigation drivers'!S96*DigesterN2OEF))/100</f>
        <v>2.0000000000000001E-4</v>
      </c>
      <c r="Y60" s="27">
        <f>(('Mitigation drivers'!T86*LagoonN2O)+('Mitigation drivers'!T87*LiquidN2O)+('Mitigation drivers'!T88*DrylotN2O)+('Mitigation drivers'!T89*SolidStorageN2O)+('Mitigation drivers'!T90*DailyspreadN2O)+('Mitigation drivers'!T91*CompostN2O)+('Mitigation drivers'!T92*ManwithbedN2O)+('Mitigation drivers'!T93*PMwithoutlitterN2O)+('Mitigation drivers'!T94*PMwithlitterN2O)+('Mitigation drivers'!T96*DigesterN2OEF))/100</f>
        <v>2.0000000000000001E-4</v>
      </c>
      <c r="Z60" s="27">
        <f>(('Mitigation drivers'!U86*LagoonN2O)+('Mitigation drivers'!U87*LiquidN2O)+('Mitigation drivers'!U88*DrylotN2O)+('Mitigation drivers'!U89*SolidStorageN2O)+('Mitigation drivers'!U90*DailyspreadN2O)+('Mitigation drivers'!U91*CompostN2O)+('Mitigation drivers'!U92*ManwithbedN2O)+('Mitigation drivers'!U93*PMwithoutlitterN2O)+('Mitigation drivers'!U94*PMwithlitterN2O)+('Mitigation drivers'!U96*DigesterN2OEF))/100</f>
        <v>2.0000000000000001E-4</v>
      </c>
      <c r="AA60" s="27">
        <f>(('Mitigation drivers'!V86*LagoonN2O)+('Mitigation drivers'!V87*LiquidN2O)+('Mitigation drivers'!V88*DrylotN2O)+('Mitigation drivers'!V89*SolidStorageN2O)+('Mitigation drivers'!V90*DailyspreadN2O)+('Mitigation drivers'!V91*CompostN2O)+('Mitigation drivers'!V92*ManwithbedN2O)+('Mitigation drivers'!V93*PMwithoutlitterN2O)+('Mitigation drivers'!V94*PMwithlitterN2O)+('Mitigation drivers'!V96*DigesterN2OEF))/100</f>
        <v>2.0000000000000001E-4</v>
      </c>
      <c r="AB60" s="27">
        <f>(('Mitigation drivers'!W86*LagoonN2O)+('Mitigation drivers'!W87*LiquidN2O)+('Mitigation drivers'!W88*DrylotN2O)+('Mitigation drivers'!W89*SolidStorageN2O)+('Mitigation drivers'!W90*DailyspreadN2O)+('Mitigation drivers'!W91*CompostN2O)+('Mitigation drivers'!W92*ManwithbedN2O)+('Mitigation drivers'!W93*PMwithoutlitterN2O)+('Mitigation drivers'!W94*PMwithlitterN2O)+('Mitigation drivers'!W96*DigesterN2OEF))/100</f>
        <v>2.0000000000000001E-4</v>
      </c>
      <c r="AC60" s="27">
        <f>(('Mitigation drivers'!X86*LagoonN2O)+('Mitigation drivers'!X87*LiquidN2O)+('Mitigation drivers'!X88*DrylotN2O)+('Mitigation drivers'!X89*SolidStorageN2O)+('Mitigation drivers'!X90*DailyspreadN2O)+('Mitigation drivers'!X91*CompostN2O)+('Mitigation drivers'!X92*ManwithbedN2O)+('Mitigation drivers'!X93*PMwithoutlitterN2O)+('Mitigation drivers'!X94*PMwithlitterN2O)+('Mitigation drivers'!X96*DigesterN2OEF))/100</f>
        <v>2.0000000000000001E-4</v>
      </c>
      <c r="AD60" s="27">
        <f>(('Mitigation drivers'!Y86*LagoonN2O)+('Mitigation drivers'!Y87*LiquidN2O)+('Mitigation drivers'!Y88*DrylotN2O)+('Mitigation drivers'!Y89*SolidStorageN2O)+('Mitigation drivers'!Y90*DailyspreadN2O)+('Mitigation drivers'!Y91*CompostN2O)+('Mitigation drivers'!Y92*ManwithbedN2O)+('Mitigation drivers'!Y93*PMwithoutlitterN2O)+('Mitigation drivers'!Y94*PMwithlitterN2O)+('Mitigation drivers'!Y96*DigesterN2OEF))/100</f>
        <v>2.0000000000000001E-4</v>
      </c>
      <c r="AE60" s="27">
        <f>(('Mitigation drivers'!Z86*LagoonN2O)+('Mitigation drivers'!Z87*LiquidN2O)+('Mitigation drivers'!Z88*DrylotN2O)+('Mitigation drivers'!Z89*SolidStorageN2O)+('Mitigation drivers'!Z90*DailyspreadN2O)+('Mitigation drivers'!Z91*CompostN2O)+('Mitigation drivers'!Z92*ManwithbedN2O)+('Mitigation drivers'!Z93*PMwithoutlitterN2O)+('Mitigation drivers'!Z94*PMwithlitterN2O)+('Mitigation drivers'!Z96*DigesterN2OEF))/100</f>
        <v>2.0000000000000001E-4</v>
      </c>
      <c r="AF60" s="27">
        <f>(('Mitigation drivers'!AA86*LagoonN2O)+('Mitigation drivers'!AA87*LiquidN2O)+('Mitigation drivers'!AA88*DrylotN2O)+('Mitigation drivers'!AA89*SolidStorageN2O)+('Mitigation drivers'!AA90*DailyspreadN2O)+('Mitigation drivers'!AA91*CompostN2O)+('Mitigation drivers'!AA92*ManwithbedN2O)+('Mitigation drivers'!AA93*PMwithoutlitterN2O)+('Mitigation drivers'!AA94*PMwithlitterN2O)+('Mitigation drivers'!AA96*DigesterN2OEF))/100</f>
        <v>2.0000000000000001E-4</v>
      </c>
      <c r="AG60" s="27">
        <f>(('Mitigation drivers'!AB86*LagoonN2O)+('Mitigation drivers'!AB87*LiquidN2O)+('Mitigation drivers'!AB88*DrylotN2O)+('Mitigation drivers'!AB89*SolidStorageN2O)+('Mitigation drivers'!AB90*DailyspreadN2O)+('Mitigation drivers'!AB91*CompostN2O)+('Mitigation drivers'!AB92*ManwithbedN2O)+('Mitigation drivers'!AB93*PMwithoutlitterN2O)+('Mitigation drivers'!AB94*PMwithlitterN2O)+('Mitigation drivers'!AB96*DigesterN2OEF))/100</f>
        <v>2.0000000000000001E-4</v>
      </c>
      <c r="AH60" s="27">
        <f>(('Mitigation drivers'!AC86*LagoonN2O)+('Mitigation drivers'!AC87*LiquidN2O)+('Mitigation drivers'!AC88*DrylotN2O)+('Mitigation drivers'!AC89*SolidStorageN2O)+('Mitigation drivers'!AC90*DailyspreadN2O)+('Mitigation drivers'!AC91*CompostN2O)+('Mitigation drivers'!AC92*ManwithbedN2O)+('Mitigation drivers'!AC93*PMwithoutlitterN2O)+('Mitigation drivers'!AC94*PMwithlitterN2O)+('Mitigation drivers'!AC96*DigesterN2OEF))/100</f>
        <v>2.0000000000000001E-4</v>
      </c>
      <c r="AI60" s="27">
        <f>(('Mitigation drivers'!AD86*LagoonN2O)+('Mitigation drivers'!AD87*LiquidN2O)+('Mitigation drivers'!AD88*DrylotN2O)+('Mitigation drivers'!AD89*SolidStorageN2O)+('Mitigation drivers'!AD90*DailyspreadN2O)+('Mitigation drivers'!AD91*CompostN2O)+('Mitigation drivers'!AD92*ManwithbedN2O)+('Mitigation drivers'!AD93*PMwithoutlitterN2O)+('Mitigation drivers'!AD94*PMwithlitterN2O)+('Mitigation drivers'!AD96*DigesterN2OEF))/100</f>
        <v>2.0000000000000001E-4</v>
      </c>
      <c r="AJ60" s="27">
        <f>(('Mitigation drivers'!AE86*LagoonN2O)+('Mitigation drivers'!AE87*LiquidN2O)+('Mitigation drivers'!AE88*DrylotN2O)+('Mitigation drivers'!AE89*SolidStorageN2O)+('Mitigation drivers'!AE90*DailyspreadN2O)+('Mitigation drivers'!AE91*CompostN2O)+('Mitigation drivers'!AE92*ManwithbedN2O)+('Mitigation drivers'!AE93*PMwithoutlitterN2O)+('Mitigation drivers'!AE94*PMwithlitterN2O)+('Mitigation drivers'!AE96*DigesterN2OEF))/100</f>
        <v>2.0000000000000001E-4</v>
      </c>
      <c r="AK60" s="27">
        <f>(('Mitigation drivers'!AF86*LagoonN2O)+('Mitigation drivers'!AF87*LiquidN2O)+('Mitigation drivers'!AF88*DrylotN2O)+('Mitigation drivers'!AF89*SolidStorageN2O)+('Mitigation drivers'!AF90*DailyspreadN2O)+('Mitigation drivers'!AF91*CompostN2O)+('Mitigation drivers'!AF92*ManwithbedN2O)+('Mitigation drivers'!AF93*PMwithoutlitterN2O)+('Mitigation drivers'!AF94*PMwithlitterN2O)+('Mitigation drivers'!AF96*DigesterN2OEF))/100</f>
        <v>2.0000000000000001E-4</v>
      </c>
      <c r="AL60" s="27">
        <f>(('Mitigation drivers'!AG86*LagoonN2O)+('Mitigation drivers'!AG87*LiquidN2O)+('Mitigation drivers'!AG88*DrylotN2O)+('Mitigation drivers'!AG89*SolidStorageN2O)+('Mitigation drivers'!AG90*DailyspreadN2O)+('Mitigation drivers'!AG91*CompostN2O)+('Mitigation drivers'!AG92*ManwithbedN2O)+('Mitigation drivers'!AG93*PMwithoutlitterN2O)+('Mitigation drivers'!AG94*PMwithlitterN2O)+('Mitigation drivers'!AG96*DigesterN2OEF))/100</f>
        <v>2.0000000000000001E-4</v>
      </c>
      <c r="AM60" s="27">
        <f>(('Mitigation drivers'!AH86*LagoonN2O)+('Mitigation drivers'!AH87*LiquidN2O)+('Mitigation drivers'!AH88*DrylotN2O)+('Mitigation drivers'!AH89*SolidStorageN2O)+('Mitigation drivers'!AH90*DailyspreadN2O)+('Mitigation drivers'!AH91*CompostN2O)+('Mitigation drivers'!AH92*ManwithbedN2O)+('Mitigation drivers'!AH93*PMwithoutlitterN2O)+('Mitigation drivers'!AH94*PMwithlitterN2O)+('Mitigation drivers'!AH96*DigesterN2OEF))/100</f>
        <v>2.0000000000000001E-4</v>
      </c>
      <c r="AN60" s="27">
        <f>(('Mitigation drivers'!AI86*LagoonN2O)+('Mitigation drivers'!AI87*LiquidN2O)+('Mitigation drivers'!AI88*DrylotN2O)+('Mitigation drivers'!AI89*SolidStorageN2O)+('Mitigation drivers'!AI90*DailyspreadN2O)+('Mitigation drivers'!AI91*CompostN2O)+('Mitigation drivers'!AI92*ManwithbedN2O)+('Mitigation drivers'!AI93*PMwithoutlitterN2O)+('Mitigation drivers'!AI94*PMwithlitterN2O)+('Mitigation drivers'!AI96*DigesterN2OEF))/100</f>
        <v>2.0000000000000001E-4</v>
      </c>
      <c r="AO60" s="27">
        <f>(('Mitigation drivers'!AJ86*LagoonN2O)+('Mitigation drivers'!AJ87*LiquidN2O)+('Mitigation drivers'!AJ88*DrylotN2O)+('Mitigation drivers'!AJ89*SolidStorageN2O)+('Mitigation drivers'!AJ90*DailyspreadN2O)+('Mitigation drivers'!AJ91*CompostN2O)+('Mitigation drivers'!AJ92*ManwithbedN2O)+('Mitigation drivers'!AJ93*PMwithoutlitterN2O)+('Mitigation drivers'!AJ94*PMwithlitterN2O)+('Mitigation drivers'!AJ96*DigesterN2OEF))/100</f>
        <v>2.0000000000000001E-4</v>
      </c>
    </row>
    <row r="61" spans="1:41" x14ac:dyDescent="0.25">
      <c r="A61" t="str">
        <f t="shared" si="1"/>
        <v>3A Livestock</v>
      </c>
      <c r="B61" t="str">
        <f t="shared" si="8"/>
        <v>3A2 Manure management (N2O)</v>
      </c>
      <c r="C61" t="str">
        <f>'Activity data'!C12</f>
        <v>3A1c Sheep</v>
      </c>
      <c r="D61" t="str">
        <f>'Activity data'!D12</f>
        <v>Subsistence</v>
      </c>
      <c r="E61" t="str">
        <f t="shared" si="27"/>
        <v>Manure management EF</v>
      </c>
      <c r="F61" t="str">
        <f t="shared" si="28"/>
        <v>N2O</v>
      </c>
      <c r="G61" t="str">
        <f t="shared" si="29"/>
        <v>kg N2O-N/kg Nex</v>
      </c>
      <c r="H61" s="27">
        <f>(('Mitigation drivers'!C97*LagoonN2O)+('Mitigation drivers'!C98*LiquidN2O)+('Mitigation drivers'!C99*DrylotN2O)+('Mitigation drivers'!C100*SolidStorageN2O)+('Mitigation drivers'!C101*DailyspreadN2O)+('Mitigation drivers'!C102*CompostN2O)+('Mitigation drivers'!C103*ManwithbedN2O)+('Mitigation drivers'!C104*PMwithoutlitterN2O)+('Mitigation drivers'!C105*PMwithlitterN2O)+('Mitigation drivers'!C107*DigesterN2OEF))/100</f>
        <v>8.9999999999999998E-4</v>
      </c>
      <c r="I61" s="27">
        <f>(('Mitigation drivers'!D97*LagoonN2O)+('Mitigation drivers'!D98*LiquidN2O)+('Mitigation drivers'!D99*DrylotN2O)+('Mitigation drivers'!D100*SolidStorageN2O)+('Mitigation drivers'!D101*DailyspreadN2O)+('Mitigation drivers'!D102*CompostN2O)+('Mitigation drivers'!D103*ManwithbedN2O)+('Mitigation drivers'!D104*PMwithoutlitterN2O)+('Mitigation drivers'!D105*PMwithlitterN2O)+('Mitigation drivers'!D107*DigesterN2OEF))/100</f>
        <v>8.9999999999999998E-4</v>
      </c>
      <c r="J61" s="27">
        <f>(('Mitigation drivers'!E97*LagoonN2O)+('Mitigation drivers'!E98*LiquidN2O)+('Mitigation drivers'!E99*DrylotN2O)+('Mitigation drivers'!E100*SolidStorageN2O)+('Mitigation drivers'!E101*DailyspreadN2O)+('Mitigation drivers'!E102*CompostN2O)+('Mitigation drivers'!E103*ManwithbedN2O)+('Mitigation drivers'!E104*PMwithoutlitterN2O)+('Mitigation drivers'!E105*PMwithlitterN2O)+('Mitigation drivers'!E107*DigesterN2OEF))/100</f>
        <v>8.9999999999999998E-4</v>
      </c>
      <c r="K61" s="27">
        <f>(('Mitigation drivers'!F97*LagoonN2O)+('Mitigation drivers'!F98*LiquidN2O)+('Mitigation drivers'!F99*DrylotN2O)+('Mitigation drivers'!F100*SolidStorageN2O)+('Mitigation drivers'!F101*DailyspreadN2O)+('Mitigation drivers'!F102*CompostN2O)+('Mitigation drivers'!F103*ManwithbedN2O)+('Mitigation drivers'!F104*PMwithoutlitterN2O)+('Mitigation drivers'!F105*PMwithlitterN2O)+('Mitigation drivers'!F107*DigesterN2OEF))/100</f>
        <v>8.9999999999999998E-4</v>
      </c>
      <c r="L61" s="27">
        <f>(('Mitigation drivers'!G97*LagoonN2O)+('Mitigation drivers'!G98*LiquidN2O)+('Mitigation drivers'!G99*DrylotN2O)+('Mitigation drivers'!G100*SolidStorageN2O)+('Mitigation drivers'!G101*DailyspreadN2O)+('Mitigation drivers'!G102*CompostN2O)+('Mitigation drivers'!G103*ManwithbedN2O)+('Mitigation drivers'!G104*PMwithoutlitterN2O)+('Mitigation drivers'!G105*PMwithlitterN2O)+('Mitigation drivers'!G107*DigesterN2OEF))/100</f>
        <v>8.9999999999999998E-4</v>
      </c>
      <c r="M61" s="27">
        <f>(('Mitigation drivers'!H97*LagoonN2O)+('Mitigation drivers'!H98*LiquidN2O)+('Mitigation drivers'!H99*DrylotN2O)+('Mitigation drivers'!H100*SolidStorageN2O)+('Mitigation drivers'!H101*DailyspreadN2O)+('Mitigation drivers'!H102*CompostN2O)+('Mitigation drivers'!H103*ManwithbedN2O)+('Mitigation drivers'!H104*PMwithoutlitterN2O)+('Mitigation drivers'!H105*PMwithlitterN2O)+('Mitigation drivers'!H107*DigesterN2OEF))/100</f>
        <v>8.9999999999999998E-4</v>
      </c>
      <c r="N61" s="27">
        <f>(('Mitigation drivers'!I97*LagoonN2O)+('Mitigation drivers'!I98*LiquidN2O)+('Mitigation drivers'!I99*DrylotN2O)+('Mitigation drivers'!I100*SolidStorageN2O)+('Mitigation drivers'!I101*DailyspreadN2O)+('Mitigation drivers'!I102*CompostN2O)+('Mitigation drivers'!I103*ManwithbedN2O)+('Mitigation drivers'!I104*PMwithoutlitterN2O)+('Mitigation drivers'!I105*PMwithlitterN2O)+('Mitigation drivers'!I107*DigesterN2OEF))/100</f>
        <v>8.9999999999999998E-4</v>
      </c>
      <c r="O61" s="27">
        <f>(('Mitigation drivers'!J97*LagoonN2O)+('Mitigation drivers'!J98*LiquidN2O)+('Mitigation drivers'!J99*DrylotN2O)+('Mitigation drivers'!J100*SolidStorageN2O)+('Mitigation drivers'!J101*DailyspreadN2O)+('Mitigation drivers'!J102*CompostN2O)+('Mitigation drivers'!J103*ManwithbedN2O)+('Mitigation drivers'!J104*PMwithoutlitterN2O)+('Mitigation drivers'!J105*PMwithlitterN2O)+('Mitigation drivers'!J107*DigesterN2OEF))/100</f>
        <v>8.9999999999999998E-4</v>
      </c>
      <c r="P61" s="27">
        <f>(('Mitigation drivers'!K97*LagoonN2O)+('Mitigation drivers'!K98*LiquidN2O)+('Mitigation drivers'!K99*DrylotN2O)+('Mitigation drivers'!K100*SolidStorageN2O)+('Mitigation drivers'!K101*DailyspreadN2O)+('Mitigation drivers'!K102*CompostN2O)+('Mitigation drivers'!K103*ManwithbedN2O)+('Mitigation drivers'!K104*PMwithoutlitterN2O)+('Mitigation drivers'!K105*PMwithlitterN2O)+('Mitigation drivers'!K107*DigesterN2OEF))/100</f>
        <v>8.9999999999999998E-4</v>
      </c>
      <c r="Q61" s="27">
        <f>(('Mitigation drivers'!L97*LagoonN2O)+('Mitigation drivers'!L98*LiquidN2O)+('Mitigation drivers'!L99*DrylotN2O)+('Mitigation drivers'!L100*SolidStorageN2O)+('Mitigation drivers'!L101*DailyspreadN2O)+('Mitigation drivers'!L102*CompostN2O)+('Mitigation drivers'!L103*ManwithbedN2O)+('Mitigation drivers'!L104*PMwithoutlitterN2O)+('Mitigation drivers'!L105*PMwithlitterN2O)+('Mitigation drivers'!L107*DigesterN2OEF))/100</f>
        <v>8.9999999999999998E-4</v>
      </c>
      <c r="R61" s="27">
        <f>(('Mitigation drivers'!M97*LagoonN2O)+('Mitigation drivers'!M98*LiquidN2O)+('Mitigation drivers'!M99*DrylotN2O)+('Mitigation drivers'!M100*SolidStorageN2O)+('Mitigation drivers'!M101*DailyspreadN2O)+('Mitigation drivers'!M102*CompostN2O)+('Mitigation drivers'!M103*ManwithbedN2O)+('Mitigation drivers'!M104*PMwithoutlitterN2O)+('Mitigation drivers'!M105*PMwithlitterN2O)+('Mitigation drivers'!M107*DigesterN2OEF))/100</f>
        <v>8.9999999999999998E-4</v>
      </c>
      <c r="S61" s="27">
        <f>(('Mitigation drivers'!N97*LagoonN2O)+('Mitigation drivers'!N98*LiquidN2O)+('Mitigation drivers'!N99*DrylotN2O)+('Mitigation drivers'!N100*SolidStorageN2O)+('Mitigation drivers'!N101*DailyspreadN2O)+('Mitigation drivers'!N102*CompostN2O)+('Mitigation drivers'!N103*ManwithbedN2O)+('Mitigation drivers'!N104*PMwithoutlitterN2O)+('Mitigation drivers'!N105*PMwithlitterN2O)+('Mitigation drivers'!N107*DigesterN2OEF))/100</f>
        <v>8.9999999999999998E-4</v>
      </c>
      <c r="T61" s="27">
        <f>(('Mitigation drivers'!O97*LagoonN2O)+('Mitigation drivers'!O98*LiquidN2O)+('Mitigation drivers'!O99*DrylotN2O)+('Mitigation drivers'!O100*SolidStorageN2O)+('Mitigation drivers'!O101*DailyspreadN2O)+('Mitigation drivers'!O102*CompostN2O)+('Mitigation drivers'!O103*ManwithbedN2O)+('Mitigation drivers'!O104*PMwithoutlitterN2O)+('Mitigation drivers'!O105*PMwithlitterN2O)+('Mitigation drivers'!O107*DigesterN2OEF))/100</f>
        <v>8.9999999999999998E-4</v>
      </c>
      <c r="U61" s="27">
        <f>(('Mitigation drivers'!P97*LagoonN2O)+('Mitigation drivers'!P98*LiquidN2O)+('Mitigation drivers'!P99*DrylotN2O)+('Mitigation drivers'!P100*SolidStorageN2O)+('Mitigation drivers'!P101*DailyspreadN2O)+('Mitigation drivers'!P102*CompostN2O)+('Mitigation drivers'!P103*ManwithbedN2O)+('Mitigation drivers'!P104*PMwithoutlitterN2O)+('Mitigation drivers'!P105*PMwithlitterN2O)+('Mitigation drivers'!P107*DigesterN2OEF))/100</f>
        <v>8.9999999999999998E-4</v>
      </c>
      <c r="V61" s="27">
        <f>(('Mitigation drivers'!Q97*LagoonN2O)+('Mitigation drivers'!Q98*LiquidN2O)+('Mitigation drivers'!Q99*DrylotN2O)+('Mitigation drivers'!Q100*SolidStorageN2O)+('Mitigation drivers'!Q101*DailyspreadN2O)+('Mitigation drivers'!Q102*CompostN2O)+('Mitigation drivers'!Q103*ManwithbedN2O)+('Mitigation drivers'!Q104*PMwithoutlitterN2O)+('Mitigation drivers'!Q105*PMwithlitterN2O)+('Mitigation drivers'!Q107*DigesterN2OEF))/100</f>
        <v>8.9999999999999998E-4</v>
      </c>
      <c r="W61" s="27">
        <f>(('Mitigation drivers'!R97*LagoonN2O)+('Mitigation drivers'!R98*LiquidN2O)+('Mitigation drivers'!R99*DrylotN2O)+('Mitigation drivers'!R100*SolidStorageN2O)+('Mitigation drivers'!R101*DailyspreadN2O)+('Mitigation drivers'!R102*CompostN2O)+('Mitigation drivers'!R103*ManwithbedN2O)+('Mitigation drivers'!R104*PMwithoutlitterN2O)+('Mitigation drivers'!R105*PMwithlitterN2O)+('Mitigation drivers'!R107*DigesterN2OEF))/100</f>
        <v>8.9999999999999998E-4</v>
      </c>
      <c r="X61" s="27">
        <f>(('Mitigation drivers'!S97*LagoonN2O)+('Mitigation drivers'!S98*LiquidN2O)+('Mitigation drivers'!S99*DrylotN2O)+('Mitigation drivers'!S100*SolidStorageN2O)+('Mitigation drivers'!S101*DailyspreadN2O)+('Mitigation drivers'!S102*CompostN2O)+('Mitigation drivers'!S103*ManwithbedN2O)+('Mitigation drivers'!S104*PMwithoutlitterN2O)+('Mitigation drivers'!S105*PMwithlitterN2O)+('Mitigation drivers'!S107*DigesterN2OEF))/100</f>
        <v>8.9999999999999998E-4</v>
      </c>
      <c r="Y61" s="27">
        <f>(('Mitigation drivers'!T97*LagoonN2O)+('Mitigation drivers'!T98*LiquidN2O)+('Mitigation drivers'!T99*DrylotN2O)+('Mitigation drivers'!T100*SolidStorageN2O)+('Mitigation drivers'!T101*DailyspreadN2O)+('Mitigation drivers'!T102*CompostN2O)+('Mitigation drivers'!T103*ManwithbedN2O)+('Mitigation drivers'!T104*PMwithoutlitterN2O)+('Mitigation drivers'!T105*PMwithlitterN2O)+('Mitigation drivers'!T107*DigesterN2OEF))/100</f>
        <v>8.9999999999999998E-4</v>
      </c>
      <c r="Z61" s="27">
        <f>(('Mitigation drivers'!U97*LagoonN2O)+('Mitigation drivers'!U98*LiquidN2O)+('Mitigation drivers'!U99*DrylotN2O)+('Mitigation drivers'!U100*SolidStorageN2O)+('Mitigation drivers'!U101*DailyspreadN2O)+('Mitigation drivers'!U102*CompostN2O)+('Mitigation drivers'!U103*ManwithbedN2O)+('Mitigation drivers'!U104*PMwithoutlitterN2O)+('Mitigation drivers'!U105*PMwithlitterN2O)+('Mitigation drivers'!U107*DigesterN2OEF))/100</f>
        <v>8.9999999999999998E-4</v>
      </c>
      <c r="AA61" s="27">
        <f>(('Mitigation drivers'!V97*LagoonN2O)+('Mitigation drivers'!V98*LiquidN2O)+('Mitigation drivers'!V99*DrylotN2O)+('Mitigation drivers'!V100*SolidStorageN2O)+('Mitigation drivers'!V101*DailyspreadN2O)+('Mitigation drivers'!V102*CompostN2O)+('Mitigation drivers'!V103*ManwithbedN2O)+('Mitigation drivers'!V104*PMwithoutlitterN2O)+('Mitigation drivers'!V105*PMwithlitterN2O)+('Mitigation drivers'!V107*DigesterN2OEF))/100</f>
        <v>8.9999999999999998E-4</v>
      </c>
      <c r="AB61" s="27">
        <f>(('Mitigation drivers'!W97*LagoonN2O)+('Mitigation drivers'!W98*LiquidN2O)+('Mitigation drivers'!W99*DrylotN2O)+('Mitigation drivers'!W100*SolidStorageN2O)+('Mitigation drivers'!W101*DailyspreadN2O)+('Mitigation drivers'!W102*CompostN2O)+('Mitigation drivers'!W103*ManwithbedN2O)+('Mitigation drivers'!W104*PMwithoutlitterN2O)+('Mitigation drivers'!W105*PMwithlitterN2O)+('Mitigation drivers'!W107*DigesterN2OEF))/100</f>
        <v>8.9999999999999998E-4</v>
      </c>
      <c r="AC61" s="27">
        <f>(('Mitigation drivers'!X97*LagoonN2O)+('Mitigation drivers'!X98*LiquidN2O)+('Mitigation drivers'!X99*DrylotN2O)+('Mitigation drivers'!X100*SolidStorageN2O)+('Mitigation drivers'!X101*DailyspreadN2O)+('Mitigation drivers'!X102*CompostN2O)+('Mitigation drivers'!X103*ManwithbedN2O)+('Mitigation drivers'!X104*PMwithoutlitterN2O)+('Mitigation drivers'!X105*PMwithlitterN2O)+('Mitigation drivers'!X107*DigesterN2OEF))/100</f>
        <v>8.9999999999999998E-4</v>
      </c>
      <c r="AD61" s="27">
        <f>(('Mitigation drivers'!Y97*LagoonN2O)+('Mitigation drivers'!Y98*LiquidN2O)+('Mitigation drivers'!Y99*DrylotN2O)+('Mitigation drivers'!Y100*SolidStorageN2O)+('Mitigation drivers'!Y101*DailyspreadN2O)+('Mitigation drivers'!Y102*CompostN2O)+('Mitigation drivers'!Y103*ManwithbedN2O)+('Mitigation drivers'!Y104*PMwithoutlitterN2O)+('Mitigation drivers'!Y105*PMwithlitterN2O)+('Mitigation drivers'!Y107*DigesterN2OEF))/100</f>
        <v>8.9999999999999998E-4</v>
      </c>
      <c r="AE61" s="27">
        <f>(('Mitigation drivers'!Z97*LagoonN2O)+('Mitigation drivers'!Z98*LiquidN2O)+('Mitigation drivers'!Z99*DrylotN2O)+('Mitigation drivers'!Z100*SolidStorageN2O)+('Mitigation drivers'!Z101*DailyspreadN2O)+('Mitigation drivers'!Z102*CompostN2O)+('Mitigation drivers'!Z103*ManwithbedN2O)+('Mitigation drivers'!Z104*PMwithoutlitterN2O)+('Mitigation drivers'!Z105*PMwithlitterN2O)+('Mitigation drivers'!Z107*DigesterN2OEF))/100</f>
        <v>8.9999999999999998E-4</v>
      </c>
      <c r="AF61" s="27">
        <f>(('Mitigation drivers'!AA97*LagoonN2O)+('Mitigation drivers'!AA98*LiquidN2O)+('Mitigation drivers'!AA99*DrylotN2O)+('Mitigation drivers'!AA100*SolidStorageN2O)+('Mitigation drivers'!AA101*DailyspreadN2O)+('Mitigation drivers'!AA102*CompostN2O)+('Mitigation drivers'!AA103*ManwithbedN2O)+('Mitigation drivers'!AA104*PMwithoutlitterN2O)+('Mitigation drivers'!AA105*PMwithlitterN2O)+('Mitigation drivers'!AA107*DigesterN2OEF))/100</f>
        <v>8.9999999999999998E-4</v>
      </c>
      <c r="AG61" s="27">
        <f>(('Mitigation drivers'!AB97*LagoonN2O)+('Mitigation drivers'!AB98*LiquidN2O)+('Mitigation drivers'!AB99*DrylotN2O)+('Mitigation drivers'!AB100*SolidStorageN2O)+('Mitigation drivers'!AB101*DailyspreadN2O)+('Mitigation drivers'!AB102*CompostN2O)+('Mitigation drivers'!AB103*ManwithbedN2O)+('Mitigation drivers'!AB104*PMwithoutlitterN2O)+('Mitigation drivers'!AB105*PMwithlitterN2O)+('Mitigation drivers'!AB107*DigesterN2OEF))/100</f>
        <v>8.9999999999999998E-4</v>
      </c>
      <c r="AH61" s="27">
        <f>(('Mitigation drivers'!AC97*LagoonN2O)+('Mitigation drivers'!AC98*LiquidN2O)+('Mitigation drivers'!AC99*DrylotN2O)+('Mitigation drivers'!AC100*SolidStorageN2O)+('Mitigation drivers'!AC101*DailyspreadN2O)+('Mitigation drivers'!AC102*CompostN2O)+('Mitigation drivers'!AC103*ManwithbedN2O)+('Mitigation drivers'!AC104*PMwithoutlitterN2O)+('Mitigation drivers'!AC105*PMwithlitterN2O)+('Mitigation drivers'!AC107*DigesterN2OEF))/100</f>
        <v>8.9999999999999998E-4</v>
      </c>
      <c r="AI61" s="27">
        <f>(('Mitigation drivers'!AD97*LagoonN2O)+('Mitigation drivers'!AD98*LiquidN2O)+('Mitigation drivers'!AD99*DrylotN2O)+('Mitigation drivers'!AD100*SolidStorageN2O)+('Mitigation drivers'!AD101*DailyspreadN2O)+('Mitigation drivers'!AD102*CompostN2O)+('Mitigation drivers'!AD103*ManwithbedN2O)+('Mitigation drivers'!AD104*PMwithoutlitterN2O)+('Mitigation drivers'!AD105*PMwithlitterN2O)+('Mitigation drivers'!AD107*DigesterN2OEF))/100</f>
        <v>8.9999999999999998E-4</v>
      </c>
      <c r="AJ61" s="27">
        <f>(('Mitigation drivers'!AE97*LagoonN2O)+('Mitigation drivers'!AE98*LiquidN2O)+('Mitigation drivers'!AE99*DrylotN2O)+('Mitigation drivers'!AE100*SolidStorageN2O)+('Mitigation drivers'!AE101*DailyspreadN2O)+('Mitigation drivers'!AE102*CompostN2O)+('Mitigation drivers'!AE103*ManwithbedN2O)+('Mitigation drivers'!AE104*PMwithoutlitterN2O)+('Mitigation drivers'!AE105*PMwithlitterN2O)+('Mitigation drivers'!AE107*DigesterN2OEF))/100</f>
        <v>8.9999999999999998E-4</v>
      </c>
      <c r="AK61" s="27">
        <f>(('Mitigation drivers'!AF97*LagoonN2O)+('Mitigation drivers'!AF98*LiquidN2O)+('Mitigation drivers'!AF99*DrylotN2O)+('Mitigation drivers'!AF100*SolidStorageN2O)+('Mitigation drivers'!AF101*DailyspreadN2O)+('Mitigation drivers'!AF102*CompostN2O)+('Mitigation drivers'!AF103*ManwithbedN2O)+('Mitigation drivers'!AF104*PMwithoutlitterN2O)+('Mitigation drivers'!AF105*PMwithlitterN2O)+('Mitigation drivers'!AF107*DigesterN2OEF))/100</f>
        <v>8.9999999999999998E-4</v>
      </c>
      <c r="AL61" s="27">
        <f>(('Mitigation drivers'!AG97*LagoonN2O)+('Mitigation drivers'!AG98*LiquidN2O)+('Mitigation drivers'!AG99*DrylotN2O)+('Mitigation drivers'!AG100*SolidStorageN2O)+('Mitigation drivers'!AG101*DailyspreadN2O)+('Mitigation drivers'!AG102*CompostN2O)+('Mitigation drivers'!AG103*ManwithbedN2O)+('Mitigation drivers'!AG104*PMwithoutlitterN2O)+('Mitigation drivers'!AG105*PMwithlitterN2O)+('Mitigation drivers'!AG107*DigesterN2OEF))/100</f>
        <v>8.9999999999999998E-4</v>
      </c>
      <c r="AM61" s="27">
        <f>(('Mitigation drivers'!AH97*LagoonN2O)+('Mitigation drivers'!AH98*LiquidN2O)+('Mitigation drivers'!AH99*DrylotN2O)+('Mitigation drivers'!AH100*SolidStorageN2O)+('Mitigation drivers'!AH101*DailyspreadN2O)+('Mitigation drivers'!AH102*CompostN2O)+('Mitigation drivers'!AH103*ManwithbedN2O)+('Mitigation drivers'!AH104*PMwithoutlitterN2O)+('Mitigation drivers'!AH105*PMwithlitterN2O)+('Mitigation drivers'!AH107*DigesterN2OEF))/100</f>
        <v>8.9999999999999998E-4</v>
      </c>
      <c r="AN61" s="27">
        <f>(('Mitigation drivers'!AI97*LagoonN2O)+('Mitigation drivers'!AI98*LiquidN2O)+('Mitigation drivers'!AI99*DrylotN2O)+('Mitigation drivers'!AI100*SolidStorageN2O)+('Mitigation drivers'!AI101*DailyspreadN2O)+('Mitigation drivers'!AI102*CompostN2O)+('Mitigation drivers'!AI103*ManwithbedN2O)+('Mitigation drivers'!AI104*PMwithoutlitterN2O)+('Mitigation drivers'!AI105*PMwithlitterN2O)+('Mitigation drivers'!AI107*DigesterN2OEF))/100</f>
        <v>8.9999999999999998E-4</v>
      </c>
      <c r="AO61" s="27">
        <f>(('Mitigation drivers'!AJ97*LagoonN2O)+('Mitigation drivers'!AJ98*LiquidN2O)+('Mitigation drivers'!AJ99*DrylotN2O)+('Mitigation drivers'!AJ100*SolidStorageN2O)+('Mitigation drivers'!AJ101*DailyspreadN2O)+('Mitigation drivers'!AJ102*CompostN2O)+('Mitigation drivers'!AJ103*ManwithbedN2O)+('Mitigation drivers'!AJ104*PMwithoutlitterN2O)+('Mitigation drivers'!AJ105*PMwithlitterN2O)+('Mitigation drivers'!AJ107*DigesterN2OEF))/100</f>
        <v>8.9999999999999998E-4</v>
      </c>
    </row>
    <row r="62" spans="1:41" x14ac:dyDescent="0.25">
      <c r="A62" t="str">
        <f t="shared" si="1"/>
        <v>3A Livestock</v>
      </c>
      <c r="B62" t="str">
        <f t="shared" si="8"/>
        <v>3A2 Manure management (N2O)</v>
      </c>
      <c r="C62" t="str">
        <f>'Activity data'!C13</f>
        <v>3A1d Goats</v>
      </c>
      <c r="D62" t="str">
        <f>'Activity data'!D13</f>
        <v>Commercial</v>
      </c>
      <c r="E62" t="str">
        <f t="shared" si="27"/>
        <v>Manure management EF</v>
      </c>
      <c r="F62" t="str">
        <f t="shared" si="28"/>
        <v>N2O</v>
      </c>
      <c r="G62" t="str">
        <f t="shared" si="29"/>
        <v>kg N2O-N/kg Nex</v>
      </c>
      <c r="H62" s="27">
        <f>(('Mitigation drivers'!C110*LagoonN2O)+('Mitigation drivers'!C111*LiquidN2O)+('Mitigation drivers'!C112*DrylotN2O)+('Mitigation drivers'!C113*SolidStorageN2O)+('Mitigation drivers'!C114*DailyspreadN2O)+('Mitigation drivers'!C115*CompostN2O)+('Mitigation drivers'!C116*ManwithbedN2O)+('Mitigation drivers'!C117*PMwithoutlitterN2O)+('Mitigation drivers'!C118*PMwithlitterN2O)+('Mitigation drivers'!C120*DigesterN2OEF))/100</f>
        <v>2.0000000000000001E-4</v>
      </c>
      <c r="I62" s="27">
        <f>(('Mitigation drivers'!D110*LagoonN2O)+('Mitigation drivers'!D111*LiquidN2O)+('Mitigation drivers'!D112*DrylotN2O)+('Mitigation drivers'!D113*SolidStorageN2O)+('Mitigation drivers'!D114*DailyspreadN2O)+('Mitigation drivers'!D115*CompostN2O)+('Mitigation drivers'!D116*ManwithbedN2O)+('Mitigation drivers'!D117*PMwithoutlitterN2O)+('Mitigation drivers'!D118*PMwithlitterN2O)+('Mitigation drivers'!D120*DigesterN2OEF))/100</f>
        <v>2.0000000000000001E-4</v>
      </c>
      <c r="J62" s="27">
        <f>(('Mitigation drivers'!E110*LagoonN2O)+('Mitigation drivers'!E111*LiquidN2O)+('Mitigation drivers'!E112*DrylotN2O)+('Mitigation drivers'!E113*SolidStorageN2O)+('Mitigation drivers'!E114*DailyspreadN2O)+('Mitigation drivers'!E115*CompostN2O)+('Mitigation drivers'!E116*ManwithbedN2O)+('Mitigation drivers'!E117*PMwithoutlitterN2O)+('Mitigation drivers'!E118*PMwithlitterN2O)+('Mitigation drivers'!E120*DigesterN2OEF))/100</f>
        <v>2.0000000000000001E-4</v>
      </c>
      <c r="K62" s="27">
        <f>(('Mitigation drivers'!F110*LagoonN2O)+('Mitigation drivers'!F111*LiquidN2O)+('Mitigation drivers'!F112*DrylotN2O)+('Mitigation drivers'!F113*SolidStorageN2O)+('Mitigation drivers'!F114*DailyspreadN2O)+('Mitigation drivers'!F115*CompostN2O)+('Mitigation drivers'!F116*ManwithbedN2O)+('Mitigation drivers'!F117*PMwithoutlitterN2O)+('Mitigation drivers'!F118*PMwithlitterN2O)+('Mitigation drivers'!F120*DigesterN2OEF))/100</f>
        <v>2.0000000000000001E-4</v>
      </c>
      <c r="L62" s="27">
        <f>(('Mitigation drivers'!G110*LagoonN2O)+('Mitigation drivers'!G111*LiquidN2O)+('Mitigation drivers'!G112*DrylotN2O)+('Mitigation drivers'!G113*SolidStorageN2O)+('Mitigation drivers'!G114*DailyspreadN2O)+('Mitigation drivers'!G115*CompostN2O)+('Mitigation drivers'!G116*ManwithbedN2O)+('Mitigation drivers'!G117*PMwithoutlitterN2O)+('Mitigation drivers'!G118*PMwithlitterN2O)+('Mitigation drivers'!G120*DigesterN2OEF))/100</f>
        <v>2.0000000000000001E-4</v>
      </c>
      <c r="M62" s="27">
        <f>(('Mitigation drivers'!H110*LagoonN2O)+('Mitigation drivers'!H111*LiquidN2O)+('Mitigation drivers'!H112*DrylotN2O)+('Mitigation drivers'!H113*SolidStorageN2O)+('Mitigation drivers'!H114*DailyspreadN2O)+('Mitigation drivers'!H115*CompostN2O)+('Mitigation drivers'!H116*ManwithbedN2O)+('Mitigation drivers'!H117*PMwithoutlitterN2O)+('Mitigation drivers'!H118*PMwithlitterN2O)+('Mitigation drivers'!H120*DigesterN2OEF))/100</f>
        <v>2.0000000000000001E-4</v>
      </c>
      <c r="N62" s="27">
        <f>(('Mitigation drivers'!I110*LagoonN2O)+('Mitigation drivers'!I111*LiquidN2O)+('Mitigation drivers'!I112*DrylotN2O)+('Mitigation drivers'!I113*SolidStorageN2O)+('Mitigation drivers'!I114*DailyspreadN2O)+('Mitigation drivers'!I115*CompostN2O)+('Mitigation drivers'!I116*ManwithbedN2O)+('Mitigation drivers'!I117*PMwithoutlitterN2O)+('Mitigation drivers'!I118*PMwithlitterN2O)+('Mitigation drivers'!I120*DigesterN2OEF))/100</f>
        <v>2.0000000000000001E-4</v>
      </c>
      <c r="O62" s="27">
        <f>(('Mitigation drivers'!J110*LagoonN2O)+('Mitigation drivers'!J111*LiquidN2O)+('Mitigation drivers'!J112*DrylotN2O)+('Mitigation drivers'!J113*SolidStorageN2O)+('Mitigation drivers'!J114*DailyspreadN2O)+('Mitigation drivers'!J115*CompostN2O)+('Mitigation drivers'!J116*ManwithbedN2O)+('Mitigation drivers'!J117*PMwithoutlitterN2O)+('Mitigation drivers'!J118*PMwithlitterN2O)+('Mitigation drivers'!J120*DigesterN2OEF))/100</f>
        <v>2.0000000000000001E-4</v>
      </c>
      <c r="P62" s="27">
        <f>(('Mitigation drivers'!K110*LagoonN2O)+('Mitigation drivers'!K111*LiquidN2O)+('Mitigation drivers'!K112*DrylotN2O)+('Mitigation drivers'!K113*SolidStorageN2O)+('Mitigation drivers'!K114*DailyspreadN2O)+('Mitigation drivers'!K115*CompostN2O)+('Mitigation drivers'!K116*ManwithbedN2O)+('Mitigation drivers'!K117*PMwithoutlitterN2O)+('Mitigation drivers'!K118*PMwithlitterN2O)+('Mitigation drivers'!K120*DigesterN2OEF))/100</f>
        <v>2.0000000000000001E-4</v>
      </c>
      <c r="Q62" s="27">
        <f>(('Mitigation drivers'!L110*LagoonN2O)+('Mitigation drivers'!L111*LiquidN2O)+('Mitigation drivers'!L112*DrylotN2O)+('Mitigation drivers'!L113*SolidStorageN2O)+('Mitigation drivers'!L114*DailyspreadN2O)+('Mitigation drivers'!L115*CompostN2O)+('Mitigation drivers'!L116*ManwithbedN2O)+('Mitigation drivers'!L117*PMwithoutlitterN2O)+('Mitigation drivers'!L118*PMwithlitterN2O)+('Mitigation drivers'!L120*DigesterN2OEF))/100</f>
        <v>2.0000000000000001E-4</v>
      </c>
      <c r="R62" s="27">
        <f>(('Mitigation drivers'!M110*LagoonN2O)+('Mitigation drivers'!M111*LiquidN2O)+('Mitigation drivers'!M112*DrylotN2O)+('Mitigation drivers'!M113*SolidStorageN2O)+('Mitigation drivers'!M114*DailyspreadN2O)+('Mitigation drivers'!M115*CompostN2O)+('Mitigation drivers'!M116*ManwithbedN2O)+('Mitigation drivers'!M117*PMwithoutlitterN2O)+('Mitigation drivers'!M118*PMwithlitterN2O)+('Mitigation drivers'!M120*DigesterN2OEF))/100</f>
        <v>2.0000000000000001E-4</v>
      </c>
      <c r="S62" s="27">
        <f>(('Mitigation drivers'!N110*LagoonN2O)+('Mitigation drivers'!N111*LiquidN2O)+('Mitigation drivers'!N112*DrylotN2O)+('Mitigation drivers'!N113*SolidStorageN2O)+('Mitigation drivers'!N114*DailyspreadN2O)+('Mitigation drivers'!N115*CompostN2O)+('Mitigation drivers'!N116*ManwithbedN2O)+('Mitigation drivers'!N117*PMwithoutlitterN2O)+('Mitigation drivers'!N118*PMwithlitterN2O)+('Mitigation drivers'!N120*DigesterN2OEF))/100</f>
        <v>2.0000000000000001E-4</v>
      </c>
      <c r="T62" s="27">
        <f>(('Mitigation drivers'!O110*LagoonN2O)+('Mitigation drivers'!O111*LiquidN2O)+('Mitigation drivers'!O112*DrylotN2O)+('Mitigation drivers'!O113*SolidStorageN2O)+('Mitigation drivers'!O114*DailyspreadN2O)+('Mitigation drivers'!O115*CompostN2O)+('Mitigation drivers'!O116*ManwithbedN2O)+('Mitigation drivers'!O117*PMwithoutlitterN2O)+('Mitigation drivers'!O118*PMwithlitterN2O)+('Mitigation drivers'!O120*DigesterN2OEF))/100</f>
        <v>2.0000000000000001E-4</v>
      </c>
      <c r="U62" s="27">
        <f>(('Mitigation drivers'!P110*LagoonN2O)+('Mitigation drivers'!P111*LiquidN2O)+('Mitigation drivers'!P112*DrylotN2O)+('Mitigation drivers'!P113*SolidStorageN2O)+('Mitigation drivers'!P114*DailyspreadN2O)+('Mitigation drivers'!P115*CompostN2O)+('Mitigation drivers'!P116*ManwithbedN2O)+('Mitigation drivers'!P117*PMwithoutlitterN2O)+('Mitigation drivers'!P118*PMwithlitterN2O)+('Mitigation drivers'!P120*DigesterN2OEF))/100</f>
        <v>2.0000000000000001E-4</v>
      </c>
      <c r="V62" s="27">
        <f>(('Mitigation drivers'!Q110*LagoonN2O)+('Mitigation drivers'!Q111*LiquidN2O)+('Mitigation drivers'!Q112*DrylotN2O)+('Mitigation drivers'!Q113*SolidStorageN2O)+('Mitigation drivers'!Q114*DailyspreadN2O)+('Mitigation drivers'!Q115*CompostN2O)+('Mitigation drivers'!Q116*ManwithbedN2O)+('Mitigation drivers'!Q117*PMwithoutlitterN2O)+('Mitigation drivers'!Q118*PMwithlitterN2O)+('Mitigation drivers'!Q120*DigesterN2OEF))/100</f>
        <v>2.0000000000000001E-4</v>
      </c>
      <c r="W62" s="27">
        <f>(('Mitigation drivers'!R110*LagoonN2O)+('Mitigation drivers'!R111*LiquidN2O)+('Mitigation drivers'!R112*DrylotN2O)+('Mitigation drivers'!R113*SolidStorageN2O)+('Mitigation drivers'!R114*DailyspreadN2O)+('Mitigation drivers'!R115*CompostN2O)+('Mitigation drivers'!R116*ManwithbedN2O)+('Mitigation drivers'!R117*PMwithoutlitterN2O)+('Mitigation drivers'!R118*PMwithlitterN2O)+('Mitigation drivers'!R120*DigesterN2OEF))/100</f>
        <v>2.0000000000000001E-4</v>
      </c>
      <c r="X62" s="27">
        <f>(('Mitigation drivers'!S110*LagoonN2O)+('Mitigation drivers'!S111*LiquidN2O)+('Mitigation drivers'!S112*DrylotN2O)+('Mitigation drivers'!S113*SolidStorageN2O)+('Mitigation drivers'!S114*DailyspreadN2O)+('Mitigation drivers'!S115*CompostN2O)+('Mitigation drivers'!S116*ManwithbedN2O)+('Mitigation drivers'!S117*PMwithoutlitterN2O)+('Mitigation drivers'!S118*PMwithlitterN2O)+('Mitigation drivers'!S120*DigesterN2OEF))/100</f>
        <v>2.0000000000000001E-4</v>
      </c>
      <c r="Y62" s="27">
        <f>(('Mitigation drivers'!T110*LagoonN2O)+('Mitigation drivers'!T111*LiquidN2O)+('Mitigation drivers'!T112*DrylotN2O)+('Mitigation drivers'!T113*SolidStorageN2O)+('Mitigation drivers'!T114*DailyspreadN2O)+('Mitigation drivers'!T115*CompostN2O)+('Mitigation drivers'!T116*ManwithbedN2O)+('Mitigation drivers'!T117*PMwithoutlitterN2O)+('Mitigation drivers'!T118*PMwithlitterN2O)+('Mitigation drivers'!T120*DigesterN2OEF))/100</f>
        <v>2.0000000000000001E-4</v>
      </c>
      <c r="Z62" s="27">
        <f>(('Mitigation drivers'!U110*LagoonN2O)+('Mitigation drivers'!U111*LiquidN2O)+('Mitigation drivers'!U112*DrylotN2O)+('Mitigation drivers'!U113*SolidStorageN2O)+('Mitigation drivers'!U114*DailyspreadN2O)+('Mitigation drivers'!U115*CompostN2O)+('Mitigation drivers'!U116*ManwithbedN2O)+('Mitigation drivers'!U117*PMwithoutlitterN2O)+('Mitigation drivers'!U118*PMwithlitterN2O)+('Mitigation drivers'!U120*DigesterN2OEF))/100</f>
        <v>2.0000000000000001E-4</v>
      </c>
      <c r="AA62" s="27">
        <f>(('Mitigation drivers'!V110*LagoonN2O)+('Mitigation drivers'!V111*LiquidN2O)+('Mitigation drivers'!V112*DrylotN2O)+('Mitigation drivers'!V113*SolidStorageN2O)+('Mitigation drivers'!V114*DailyspreadN2O)+('Mitigation drivers'!V115*CompostN2O)+('Mitigation drivers'!V116*ManwithbedN2O)+('Mitigation drivers'!V117*PMwithoutlitterN2O)+('Mitigation drivers'!V118*PMwithlitterN2O)+('Mitigation drivers'!V120*DigesterN2OEF))/100</f>
        <v>2.0000000000000001E-4</v>
      </c>
      <c r="AB62" s="27">
        <f>(('Mitigation drivers'!W110*LagoonN2O)+('Mitigation drivers'!W111*LiquidN2O)+('Mitigation drivers'!W112*DrylotN2O)+('Mitigation drivers'!W113*SolidStorageN2O)+('Mitigation drivers'!W114*DailyspreadN2O)+('Mitigation drivers'!W115*CompostN2O)+('Mitigation drivers'!W116*ManwithbedN2O)+('Mitigation drivers'!W117*PMwithoutlitterN2O)+('Mitigation drivers'!W118*PMwithlitterN2O)+('Mitigation drivers'!W120*DigesterN2OEF))/100</f>
        <v>2.0000000000000001E-4</v>
      </c>
      <c r="AC62" s="27">
        <f>(('Mitigation drivers'!X110*LagoonN2O)+('Mitigation drivers'!X111*LiquidN2O)+('Mitigation drivers'!X112*DrylotN2O)+('Mitigation drivers'!X113*SolidStorageN2O)+('Mitigation drivers'!X114*DailyspreadN2O)+('Mitigation drivers'!X115*CompostN2O)+('Mitigation drivers'!X116*ManwithbedN2O)+('Mitigation drivers'!X117*PMwithoutlitterN2O)+('Mitigation drivers'!X118*PMwithlitterN2O)+('Mitigation drivers'!X120*DigesterN2OEF))/100</f>
        <v>2.0000000000000001E-4</v>
      </c>
      <c r="AD62" s="27">
        <f>(('Mitigation drivers'!Y110*LagoonN2O)+('Mitigation drivers'!Y111*LiquidN2O)+('Mitigation drivers'!Y112*DrylotN2O)+('Mitigation drivers'!Y113*SolidStorageN2O)+('Mitigation drivers'!Y114*DailyspreadN2O)+('Mitigation drivers'!Y115*CompostN2O)+('Mitigation drivers'!Y116*ManwithbedN2O)+('Mitigation drivers'!Y117*PMwithoutlitterN2O)+('Mitigation drivers'!Y118*PMwithlitterN2O)+('Mitigation drivers'!Y120*DigesterN2OEF))/100</f>
        <v>2.0000000000000001E-4</v>
      </c>
      <c r="AE62" s="27">
        <f>(('Mitigation drivers'!Z110*LagoonN2O)+('Mitigation drivers'!Z111*LiquidN2O)+('Mitigation drivers'!Z112*DrylotN2O)+('Mitigation drivers'!Z113*SolidStorageN2O)+('Mitigation drivers'!Z114*DailyspreadN2O)+('Mitigation drivers'!Z115*CompostN2O)+('Mitigation drivers'!Z116*ManwithbedN2O)+('Mitigation drivers'!Z117*PMwithoutlitterN2O)+('Mitigation drivers'!Z118*PMwithlitterN2O)+('Mitigation drivers'!Z120*DigesterN2OEF))/100</f>
        <v>2.0000000000000001E-4</v>
      </c>
      <c r="AF62" s="27">
        <f>(('Mitigation drivers'!AA110*LagoonN2O)+('Mitigation drivers'!AA111*LiquidN2O)+('Mitigation drivers'!AA112*DrylotN2O)+('Mitigation drivers'!AA113*SolidStorageN2O)+('Mitigation drivers'!AA114*DailyspreadN2O)+('Mitigation drivers'!AA115*CompostN2O)+('Mitigation drivers'!AA116*ManwithbedN2O)+('Mitigation drivers'!AA117*PMwithoutlitterN2O)+('Mitigation drivers'!AA118*PMwithlitterN2O)+('Mitigation drivers'!AA120*DigesterN2OEF))/100</f>
        <v>2.0000000000000001E-4</v>
      </c>
      <c r="AG62" s="27">
        <f>(('Mitigation drivers'!AB110*LagoonN2O)+('Mitigation drivers'!AB111*LiquidN2O)+('Mitigation drivers'!AB112*DrylotN2O)+('Mitigation drivers'!AB113*SolidStorageN2O)+('Mitigation drivers'!AB114*DailyspreadN2O)+('Mitigation drivers'!AB115*CompostN2O)+('Mitigation drivers'!AB116*ManwithbedN2O)+('Mitigation drivers'!AB117*PMwithoutlitterN2O)+('Mitigation drivers'!AB118*PMwithlitterN2O)+('Mitigation drivers'!AB120*DigesterN2OEF))/100</f>
        <v>2.0000000000000001E-4</v>
      </c>
      <c r="AH62" s="27">
        <f>(('Mitigation drivers'!AC110*LagoonN2O)+('Mitigation drivers'!AC111*LiquidN2O)+('Mitigation drivers'!AC112*DrylotN2O)+('Mitigation drivers'!AC113*SolidStorageN2O)+('Mitigation drivers'!AC114*DailyspreadN2O)+('Mitigation drivers'!AC115*CompostN2O)+('Mitigation drivers'!AC116*ManwithbedN2O)+('Mitigation drivers'!AC117*PMwithoutlitterN2O)+('Mitigation drivers'!AC118*PMwithlitterN2O)+('Mitigation drivers'!AC120*DigesterN2OEF))/100</f>
        <v>2.0000000000000001E-4</v>
      </c>
      <c r="AI62" s="27">
        <f>(('Mitigation drivers'!AD110*LagoonN2O)+('Mitigation drivers'!AD111*LiquidN2O)+('Mitigation drivers'!AD112*DrylotN2O)+('Mitigation drivers'!AD113*SolidStorageN2O)+('Mitigation drivers'!AD114*DailyspreadN2O)+('Mitigation drivers'!AD115*CompostN2O)+('Mitigation drivers'!AD116*ManwithbedN2O)+('Mitigation drivers'!AD117*PMwithoutlitterN2O)+('Mitigation drivers'!AD118*PMwithlitterN2O)+('Mitigation drivers'!AD120*DigesterN2OEF))/100</f>
        <v>2.0000000000000001E-4</v>
      </c>
      <c r="AJ62" s="27">
        <f>(('Mitigation drivers'!AE110*LagoonN2O)+('Mitigation drivers'!AE111*LiquidN2O)+('Mitigation drivers'!AE112*DrylotN2O)+('Mitigation drivers'!AE113*SolidStorageN2O)+('Mitigation drivers'!AE114*DailyspreadN2O)+('Mitigation drivers'!AE115*CompostN2O)+('Mitigation drivers'!AE116*ManwithbedN2O)+('Mitigation drivers'!AE117*PMwithoutlitterN2O)+('Mitigation drivers'!AE118*PMwithlitterN2O)+('Mitigation drivers'!AE120*DigesterN2OEF))/100</f>
        <v>2.0000000000000001E-4</v>
      </c>
      <c r="AK62" s="27">
        <f>(('Mitigation drivers'!AF110*LagoonN2O)+('Mitigation drivers'!AF111*LiquidN2O)+('Mitigation drivers'!AF112*DrylotN2O)+('Mitigation drivers'!AF113*SolidStorageN2O)+('Mitigation drivers'!AF114*DailyspreadN2O)+('Mitigation drivers'!AF115*CompostN2O)+('Mitigation drivers'!AF116*ManwithbedN2O)+('Mitigation drivers'!AF117*PMwithoutlitterN2O)+('Mitigation drivers'!AF118*PMwithlitterN2O)+('Mitigation drivers'!AF120*DigesterN2OEF))/100</f>
        <v>2.0000000000000001E-4</v>
      </c>
      <c r="AL62" s="27">
        <f>(('Mitigation drivers'!AG110*LagoonN2O)+('Mitigation drivers'!AG111*LiquidN2O)+('Mitigation drivers'!AG112*DrylotN2O)+('Mitigation drivers'!AG113*SolidStorageN2O)+('Mitigation drivers'!AG114*DailyspreadN2O)+('Mitigation drivers'!AG115*CompostN2O)+('Mitigation drivers'!AG116*ManwithbedN2O)+('Mitigation drivers'!AG117*PMwithoutlitterN2O)+('Mitigation drivers'!AG118*PMwithlitterN2O)+('Mitigation drivers'!AG120*DigesterN2OEF))/100</f>
        <v>2.0000000000000001E-4</v>
      </c>
      <c r="AM62" s="27">
        <f>(('Mitigation drivers'!AH110*LagoonN2O)+('Mitigation drivers'!AH111*LiquidN2O)+('Mitigation drivers'!AH112*DrylotN2O)+('Mitigation drivers'!AH113*SolidStorageN2O)+('Mitigation drivers'!AH114*DailyspreadN2O)+('Mitigation drivers'!AH115*CompostN2O)+('Mitigation drivers'!AH116*ManwithbedN2O)+('Mitigation drivers'!AH117*PMwithoutlitterN2O)+('Mitigation drivers'!AH118*PMwithlitterN2O)+('Mitigation drivers'!AH120*DigesterN2OEF))/100</f>
        <v>2.0000000000000001E-4</v>
      </c>
      <c r="AN62" s="27">
        <f>(('Mitigation drivers'!AI110*LagoonN2O)+('Mitigation drivers'!AI111*LiquidN2O)+('Mitigation drivers'!AI112*DrylotN2O)+('Mitigation drivers'!AI113*SolidStorageN2O)+('Mitigation drivers'!AI114*DailyspreadN2O)+('Mitigation drivers'!AI115*CompostN2O)+('Mitigation drivers'!AI116*ManwithbedN2O)+('Mitigation drivers'!AI117*PMwithoutlitterN2O)+('Mitigation drivers'!AI118*PMwithlitterN2O)+('Mitigation drivers'!AI120*DigesterN2OEF))/100</f>
        <v>2.0000000000000001E-4</v>
      </c>
      <c r="AO62" s="27">
        <f>(('Mitigation drivers'!AJ110*LagoonN2O)+('Mitigation drivers'!AJ111*LiquidN2O)+('Mitigation drivers'!AJ112*DrylotN2O)+('Mitigation drivers'!AJ113*SolidStorageN2O)+('Mitigation drivers'!AJ114*DailyspreadN2O)+('Mitigation drivers'!AJ115*CompostN2O)+('Mitigation drivers'!AJ116*ManwithbedN2O)+('Mitigation drivers'!AJ117*PMwithoutlitterN2O)+('Mitigation drivers'!AJ118*PMwithlitterN2O)+('Mitigation drivers'!AJ120*DigesterN2OEF))/100</f>
        <v>2.0000000000000001E-4</v>
      </c>
    </row>
    <row r="63" spans="1:41" x14ac:dyDescent="0.25">
      <c r="A63" t="str">
        <f t="shared" si="1"/>
        <v>3A Livestock</v>
      </c>
      <c r="B63" t="str">
        <f t="shared" si="8"/>
        <v>3A2 Manure management (N2O)</v>
      </c>
      <c r="C63" t="str">
        <f>'Activity data'!C14</f>
        <v>3A1d Goats</v>
      </c>
      <c r="D63" t="str">
        <f>'Activity data'!D14</f>
        <v>Subsistence</v>
      </c>
      <c r="E63" t="str">
        <f t="shared" si="27"/>
        <v>Manure management EF</v>
      </c>
      <c r="F63" t="str">
        <f t="shared" si="28"/>
        <v>N2O</v>
      </c>
      <c r="G63" t="str">
        <f t="shared" si="29"/>
        <v>kg N2O-N/kg Nex</v>
      </c>
      <c r="H63" s="27">
        <f>(('Mitigation drivers'!C122*LagoonN2O)+('Mitigation drivers'!C123*LiquidN2O)+('Mitigation drivers'!C124*DrylotN2O)+('Mitigation drivers'!C125*SolidStorageN2O)+('Mitigation drivers'!C126*DailyspreadN2O)+('Mitigation drivers'!C127*CompostN2O)+('Mitigation drivers'!C128*ManwithbedN2O)+('Mitigation drivers'!C129*PMwithoutlitterN2O)+('Mitigation drivers'!C130*PMwithlitterN2O)+('Mitigation drivers'!C132*DigesterN2OEF))/100</f>
        <v>8.9999999999999998E-4</v>
      </c>
      <c r="I63" s="27">
        <f>(('Mitigation drivers'!D122*LagoonN2O)+('Mitigation drivers'!D123*LiquidN2O)+('Mitigation drivers'!D124*DrylotN2O)+('Mitigation drivers'!D125*SolidStorageN2O)+('Mitigation drivers'!D126*DailyspreadN2O)+('Mitigation drivers'!D127*CompostN2O)+('Mitigation drivers'!D128*ManwithbedN2O)+('Mitigation drivers'!D129*PMwithoutlitterN2O)+('Mitigation drivers'!D130*PMwithlitterN2O)+('Mitigation drivers'!D132*DigesterN2OEF))/100</f>
        <v>8.9999999999999998E-4</v>
      </c>
      <c r="J63" s="27">
        <f>(('Mitigation drivers'!E122*LagoonN2O)+('Mitigation drivers'!E123*LiquidN2O)+('Mitigation drivers'!E124*DrylotN2O)+('Mitigation drivers'!E125*SolidStorageN2O)+('Mitigation drivers'!E126*DailyspreadN2O)+('Mitigation drivers'!E127*CompostN2O)+('Mitigation drivers'!E128*ManwithbedN2O)+('Mitigation drivers'!E129*PMwithoutlitterN2O)+('Mitigation drivers'!E130*PMwithlitterN2O)+('Mitigation drivers'!E132*DigesterN2OEF))/100</f>
        <v>8.9999999999999998E-4</v>
      </c>
      <c r="K63" s="27">
        <f>(('Mitigation drivers'!F122*LagoonN2O)+('Mitigation drivers'!F123*LiquidN2O)+('Mitigation drivers'!F124*DrylotN2O)+('Mitigation drivers'!F125*SolidStorageN2O)+('Mitigation drivers'!F126*DailyspreadN2O)+('Mitigation drivers'!F127*CompostN2O)+('Mitigation drivers'!F128*ManwithbedN2O)+('Mitigation drivers'!F129*PMwithoutlitterN2O)+('Mitigation drivers'!F130*PMwithlitterN2O)+('Mitigation drivers'!F132*DigesterN2OEF))/100</f>
        <v>8.9999999999999998E-4</v>
      </c>
      <c r="L63" s="27">
        <f>(('Mitigation drivers'!G122*LagoonN2O)+('Mitigation drivers'!G123*LiquidN2O)+('Mitigation drivers'!G124*DrylotN2O)+('Mitigation drivers'!G125*SolidStorageN2O)+('Mitigation drivers'!G126*DailyspreadN2O)+('Mitigation drivers'!G127*CompostN2O)+('Mitigation drivers'!G128*ManwithbedN2O)+('Mitigation drivers'!G129*PMwithoutlitterN2O)+('Mitigation drivers'!G130*PMwithlitterN2O)+('Mitigation drivers'!G132*DigesterN2OEF))/100</f>
        <v>8.9999999999999998E-4</v>
      </c>
      <c r="M63" s="27">
        <f>(('Mitigation drivers'!H122*LagoonN2O)+('Mitigation drivers'!H123*LiquidN2O)+('Mitigation drivers'!H124*DrylotN2O)+('Mitigation drivers'!H125*SolidStorageN2O)+('Mitigation drivers'!H126*DailyspreadN2O)+('Mitigation drivers'!H127*CompostN2O)+('Mitigation drivers'!H128*ManwithbedN2O)+('Mitigation drivers'!H129*PMwithoutlitterN2O)+('Mitigation drivers'!H130*PMwithlitterN2O)+('Mitigation drivers'!H132*DigesterN2OEF))/100</f>
        <v>8.9999999999999998E-4</v>
      </c>
      <c r="N63" s="27">
        <f>(('Mitigation drivers'!I122*LagoonN2O)+('Mitigation drivers'!I123*LiquidN2O)+('Mitigation drivers'!I124*DrylotN2O)+('Mitigation drivers'!I125*SolidStorageN2O)+('Mitigation drivers'!I126*DailyspreadN2O)+('Mitigation drivers'!I127*CompostN2O)+('Mitigation drivers'!I128*ManwithbedN2O)+('Mitigation drivers'!I129*PMwithoutlitterN2O)+('Mitigation drivers'!I130*PMwithlitterN2O)+('Mitigation drivers'!I132*DigesterN2OEF))/100</f>
        <v>8.9999999999999998E-4</v>
      </c>
      <c r="O63" s="27">
        <f>(('Mitigation drivers'!J122*LagoonN2O)+('Mitigation drivers'!J123*LiquidN2O)+('Mitigation drivers'!J124*DrylotN2O)+('Mitigation drivers'!J125*SolidStorageN2O)+('Mitigation drivers'!J126*DailyspreadN2O)+('Mitigation drivers'!J127*CompostN2O)+('Mitigation drivers'!J128*ManwithbedN2O)+('Mitigation drivers'!J129*PMwithoutlitterN2O)+('Mitigation drivers'!J130*PMwithlitterN2O)+('Mitigation drivers'!J132*DigesterN2OEF))/100</f>
        <v>8.9999999999999998E-4</v>
      </c>
      <c r="P63" s="27">
        <f>(('Mitigation drivers'!K122*LagoonN2O)+('Mitigation drivers'!K123*LiquidN2O)+('Mitigation drivers'!K124*DrylotN2O)+('Mitigation drivers'!K125*SolidStorageN2O)+('Mitigation drivers'!K126*DailyspreadN2O)+('Mitigation drivers'!K127*CompostN2O)+('Mitigation drivers'!K128*ManwithbedN2O)+('Mitigation drivers'!K129*PMwithoutlitterN2O)+('Mitigation drivers'!K130*PMwithlitterN2O)+('Mitigation drivers'!K132*DigesterN2OEF))/100</f>
        <v>8.9999999999999998E-4</v>
      </c>
      <c r="Q63" s="27">
        <f>(('Mitigation drivers'!L122*LagoonN2O)+('Mitigation drivers'!L123*LiquidN2O)+('Mitigation drivers'!L124*DrylotN2O)+('Mitigation drivers'!L125*SolidStorageN2O)+('Mitigation drivers'!L126*DailyspreadN2O)+('Mitigation drivers'!L127*CompostN2O)+('Mitigation drivers'!L128*ManwithbedN2O)+('Mitigation drivers'!L129*PMwithoutlitterN2O)+('Mitigation drivers'!L130*PMwithlitterN2O)+('Mitigation drivers'!L132*DigesterN2OEF))/100</f>
        <v>8.9999999999999998E-4</v>
      </c>
      <c r="R63" s="27">
        <f>(('Mitigation drivers'!M122*LagoonN2O)+('Mitigation drivers'!M123*LiquidN2O)+('Mitigation drivers'!M124*DrylotN2O)+('Mitigation drivers'!M125*SolidStorageN2O)+('Mitigation drivers'!M126*DailyspreadN2O)+('Mitigation drivers'!M127*CompostN2O)+('Mitigation drivers'!M128*ManwithbedN2O)+('Mitigation drivers'!M129*PMwithoutlitterN2O)+('Mitigation drivers'!M130*PMwithlitterN2O)+('Mitigation drivers'!M132*DigesterN2OEF))/100</f>
        <v>8.9999999999999998E-4</v>
      </c>
      <c r="S63" s="27">
        <f>(('Mitigation drivers'!N122*LagoonN2O)+('Mitigation drivers'!N123*LiquidN2O)+('Mitigation drivers'!N124*DrylotN2O)+('Mitigation drivers'!N125*SolidStorageN2O)+('Mitigation drivers'!N126*DailyspreadN2O)+('Mitigation drivers'!N127*CompostN2O)+('Mitigation drivers'!N128*ManwithbedN2O)+('Mitigation drivers'!N129*PMwithoutlitterN2O)+('Mitigation drivers'!N130*PMwithlitterN2O)+('Mitigation drivers'!N132*DigesterN2OEF))/100</f>
        <v>8.9999999999999998E-4</v>
      </c>
      <c r="T63" s="27">
        <f>(('Mitigation drivers'!O122*LagoonN2O)+('Mitigation drivers'!O123*LiquidN2O)+('Mitigation drivers'!O124*DrylotN2O)+('Mitigation drivers'!O125*SolidStorageN2O)+('Mitigation drivers'!O126*DailyspreadN2O)+('Mitigation drivers'!O127*CompostN2O)+('Mitigation drivers'!O128*ManwithbedN2O)+('Mitigation drivers'!O129*PMwithoutlitterN2O)+('Mitigation drivers'!O130*PMwithlitterN2O)+('Mitigation drivers'!O132*DigesterN2OEF))/100</f>
        <v>8.9999999999999998E-4</v>
      </c>
      <c r="U63" s="27">
        <f>(('Mitigation drivers'!P122*LagoonN2O)+('Mitigation drivers'!P123*LiquidN2O)+('Mitigation drivers'!P124*DrylotN2O)+('Mitigation drivers'!P125*SolidStorageN2O)+('Mitigation drivers'!P126*DailyspreadN2O)+('Mitigation drivers'!P127*CompostN2O)+('Mitigation drivers'!P128*ManwithbedN2O)+('Mitigation drivers'!P129*PMwithoutlitterN2O)+('Mitigation drivers'!P130*PMwithlitterN2O)+('Mitigation drivers'!P132*DigesterN2OEF))/100</f>
        <v>8.9999999999999998E-4</v>
      </c>
      <c r="V63" s="27">
        <f>(('Mitigation drivers'!Q122*LagoonN2O)+('Mitigation drivers'!Q123*LiquidN2O)+('Mitigation drivers'!Q124*DrylotN2O)+('Mitigation drivers'!Q125*SolidStorageN2O)+('Mitigation drivers'!Q126*DailyspreadN2O)+('Mitigation drivers'!Q127*CompostN2O)+('Mitigation drivers'!Q128*ManwithbedN2O)+('Mitigation drivers'!Q129*PMwithoutlitterN2O)+('Mitigation drivers'!Q130*PMwithlitterN2O)+('Mitigation drivers'!Q132*DigesterN2OEF))/100</f>
        <v>8.9999999999999998E-4</v>
      </c>
      <c r="W63" s="27">
        <f>(('Mitigation drivers'!R122*LagoonN2O)+('Mitigation drivers'!R123*LiquidN2O)+('Mitigation drivers'!R124*DrylotN2O)+('Mitigation drivers'!R125*SolidStorageN2O)+('Mitigation drivers'!R126*DailyspreadN2O)+('Mitigation drivers'!R127*CompostN2O)+('Mitigation drivers'!R128*ManwithbedN2O)+('Mitigation drivers'!R129*PMwithoutlitterN2O)+('Mitigation drivers'!R130*PMwithlitterN2O)+('Mitigation drivers'!R132*DigesterN2OEF))/100</f>
        <v>8.9999999999999998E-4</v>
      </c>
      <c r="X63" s="27">
        <f>(('Mitigation drivers'!S122*LagoonN2O)+('Mitigation drivers'!S123*LiquidN2O)+('Mitigation drivers'!S124*DrylotN2O)+('Mitigation drivers'!S125*SolidStorageN2O)+('Mitigation drivers'!S126*DailyspreadN2O)+('Mitigation drivers'!S127*CompostN2O)+('Mitigation drivers'!S128*ManwithbedN2O)+('Mitigation drivers'!S129*PMwithoutlitterN2O)+('Mitigation drivers'!S130*PMwithlitterN2O)+('Mitigation drivers'!S132*DigesterN2OEF))/100</f>
        <v>8.9999999999999998E-4</v>
      </c>
      <c r="Y63" s="27">
        <f>(('Mitigation drivers'!T122*LagoonN2O)+('Mitigation drivers'!T123*LiquidN2O)+('Mitigation drivers'!T124*DrylotN2O)+('Mitigation drivers'!T125*SolidStorageN2O)+('Mitigation drivers'!T126*DailyspreadN2O)+('Mitigation drivers'!T127*CompostN2O)+('Mitigation drivers'!T128*ManwithbedN2O)+('Mitigation drivers'!T129*PMwithoutlitterN2O)+('Mitigation drivers'!T130*PMwithlitterN2O)+('Mitigation drivers'!T132*DigesterN2OEF))/100</f>
        <v>8.9999999999999998E-4</v>
      </c>
      <c r="Z63" s="27">
        <f>(('Mitigation drivers'!U122*LagoonN2O)+('Mitigation drivers'!U123*LiquidN2O)+('Mitigation drivers'!U124*DrylotN2O)+('Mitigation drivers'!U125*SolidStorageN2O)+('Mitigation drivers'!U126*DailyspreadN2O)+('Mitigation drivers'!U127*CompostN2O)+('Mitigation drivers'!U128*ManwithbedN2O)+('Mitigation drivers'!U129*PMwithoutlitterN2O)+('Mitigation drivers'!U130*PMwithlitterN2O)+('Mitigation drivers'!U132*DigesterN2OEF))/100</f>
        <v>8.9999999999999998E-4</v>
      </c>
      <c r="AA63" s="27">
        <f>(('Mitigation drivers'!V122*LagoonN2O)+('Mitigation drivers'!V123*LiquidN2O)+('Mitigation drivers'!V124*DrylotN2O)+('Mitigation drivers'!V125*SolidStorageN2O)+('Mitigation drivers'!V126*DailyspreadN2O)+('Mitigation drivers'!V127*CompostN2O)+('Mitigation drivers'!V128*ManwithbedN2O)+('Mitigation drivers'!V129*PMwithoutlitterN2O)+('Mitigation drivers'!V130*PMwithlitterN2O)+('Mitigation drivers'!V132*DigesterN2OEF))/100</f>
        <v>8.9999999999999998E-4</v>
      </c>
      <c r="AB63" s="27">
        <f>(('Mitigation drivers'!W122*LagoonN2O)+('Mitigation drivers'!W123*LiquidN2O)+('Mitigation drivers'!W124*DrylotN2O)+('Mitigation drivers'!W125*SolidStorageN2O)+('Mitigation drivers'!W126*DailyspreadN2O)+('Mitigation drivers'!W127*CompostN2O)+('Mitigation drivers'!W128*ManwithbedN2O)+('Mitigation drivers'!W129*PMwithoutlitterN2O)+('Mitigation drivers'!W130*PMwithlitterN2O)+('Mitigation drivers'!W132*DigesterN2OEF))/100</f>
        <v>8.9999999999999998E-4</v>
      </c>
      <c r="AC63" s="27">
        <f>(('Mitigation drivers'!X122*LagoonN2O)+('Mitigation drivers'!X123*LiquidN2O)+('Mitigation drivers'!X124*DrylotN2O)+('Mitigation drivers'!X125*SolidStorageN2O)+('Mitigation drivers'!X126*DailyspreadN2O)+('Mitigation drivers'!X127*CompostN2O)+('Mitigation drivers'!X128*ManwithbedN2O)+('Mitigation drivers'!X129*PMwithoutlitterN2O)+('Mitigation drivers'!X130*PMwithlitterN2O)+('Mitigation drivers'!X132*DigesterN2OEF))/100</f>
        <v>8.9999999999999998E-4</v>
      </c>
      <c r="AD63" s="27">
        <f>(('Mitigation drivers'!Y122*LagoonN2O)+('Mitigation drivers'!Y123*LiquidN2O)+('Mitigation drivers'!Y124*DrylotN2O)+('Mitigation drivers'!Y125*SolidStorageN2O)+('Mitigation drivers'!Y126*DailyspreadN2O)+('Mitigation drivers'!Y127*CompostN2O)+('Mitigation drivers'!Y128*ManwithbedN2O)+('Mitigation drivers'!Y129*PMwithoutlitterN2O)+('Mitigation drivers'!Y130*PMwithlitterN2O)+('Mitigation drivers'!Y132*DigesterN2OEF))/100</f>
        <v>8.9999999999999998E-4</v>
      </c>
      <c r="AE63" s="27">
        <f>(('Mitigation drivers'!Z122*LagoonN2O)+('Mitigation drivers'!Z123*LiquidN2O)+('Mitigation drivers'!Z124*DrylotN2O)+('Mitigation drivers'!Z125*SolidStorageN2O)+('Mitigation drivers'!Z126*DailyspreadN2O)+('Mitigation drivers'!Z127*CompostN2O)+('Mitigation drivers'!Z128*ManwithbedN2O)+('Mitigation drivers'!Z129*PMwithoutlitterN2O)+('Mitigation drivers'!Z130*PMwithlitterN2O)+('Mitigation drivers'!Z132*DigesterN2OEF))/100</f>
        <v>8.9999999999999998E-4</v>
      </c>
      <c r="AF63" s="27">
        <f>(('Mitigation drivers'!AA122*LagoonN2O)+('Mitigation drivers'!AA123*LiquidN2O)+('Mitigation drivers'!AA124*DrylotN2O)+('Mitigation drivers'!AA125*SolidStorageN2O)+('Mitigation drivers'!AA126*DailyspreadN2O)+('Mitigation drivers'!AA127*CompostN2O)+('Mitigation drivers'!AA128*ManwithbedN2O)+('Mitigation drivers'!AA129*PMwithoutlitterN2O)+('Mitigation drivers'!AA130*PMwithlitterN2O)+('Mitigation drivers'!AA132*DigesterN2OEF))/100</f>
        <v>8.9999999999999998E-4</v>
      </c>
      <c r="AG63" s="27">
        <f>(('Mitigation drivers'!AB122*LagoonN2O)+('Mitigation drivers'!AB123*LiquidN2O)+('Mitigation drivers'!AB124*DrylotN2O)+('Mitigation drivers'!AB125*SolidStorageN2O)+('Mitigation drivers'!AB126*DailyspreadN2O)+('Mitigation drivers'!AB127*CompostN2O)+('Mitigation drivers'!AB128*ManwithbedN2O)+('Mitigation drivers'!AB129*PMwithoutlitterN2O)+('Mitigation drivers'!AB130*PMwithlitterN2O)+('Mitigation drivers'!AB132*DigesterN2OEF))/100</f>
        <v>8.9999999999999998E-4</v>
      </c>
      <c r="AH63" s="27">
        <f>(('Mitigation drivers'!AC122*LagoonN2O)+('Mitigation drivers'!AC123*LiquidN2O)+('Mitigation drivers'!AC124*DrylotN2O)+('Mitigation drivers'!AC125*SolidStorageN2O)+('Mitigation drivers'!AC126*DailyspreadN2O)+('Mitigation drivers'!AC127*CompostN2O)+('Mitigation drivers'!AC128*ManwithbedN2O)+('Mitigation drivers'!AC129*PMwithoutlitterN2O)+('Mitigation drivers'!AC130*PMwithlitterN2O)+('Mitigation drivers'!AC132*DigesterN2OEF))/100</f>
        <v>8.9999999999999998E-4</v>
      </c>
      <c r="AI63" s="27">
        <f>(('Mitigation drivers'!AD122*LagoonN2O)+('Mitigation drivers'!AD123*LiquidN2O)+('Mitigation drivers'!AD124*DrylotN2O)+('Mitigation drivers'!AD125*SolidStorageN2O)+('Mitigation drivers'!AD126*DailyspreadN2O)+('Mitigation drivers'!AD127*CompostN2O)+('Mitigation drivers'!AD128*ManwithbedN2O)+('Mitigation drivers'!AD129*PMwithoutlitterN2O)+('Mitigation drivers'!AD130*PMwithlitterN2O)+('Mitigation drivers'!AD132*DigesterN2OEF))/100</f>
        <v>8.9999999999999998E-4</v>
      </c>
      <c r="AJ63" s="27">
        <f>(('Mitigation drivers'!AE122*LagoonN2O)+('Mitigation drivers'!AE123*LiquidN2O)+('Mitigation drivers'!AE124*DrylotN2O)+('Mitigation drivers'!AE125*SolidStorageN2O)+('Mitigation drivers'!AE126*DailyspreadN2O)+('Mitigation drivers'!AE127*CompostN2O)+('Mitigation drivers'!AE128*ManwithbedN2O)+('Mitigation drivers'!AE129*PMwithoutlitterN2O)+('Mitigation drivers'!AE130*PMwithlitterN2O)+('Mitigation drivers'!AE132*DigesterN2OEF))/100</f>
        <v>8.9999999999999998E-4</v>
      </c>
      <c r="AK63" s="27">
        <f>(('Mitigation drivers'!AF122*LagoonN2O)+('Mitigation drivers'!AF123*LiquidN2O)+('Mitigation drivers'!AF124*DrylotN2O)+('Mitigation drivers'!AF125*SolidStorageN2O)+('Mitigation drivers'!AF126*DailyspreadN2O)+('Mitigation drivers'!AF127*CompostN2O)+('Mitigation drivers'!AF128*ManwithbedN2O)+('Mitigation drivers'!AF129*PMwithoutlitterN2O)+('Mitigation drivers'!AF130*PMwithlitterN2O)+('Mitigation drivers'!AF132*DigesterN2OEF))/100</f>
        <v>8.9999999999999998E-4</v>
      </c>
      <c r="AL63" s="27">
        <f>(('Mitigation drivers'!AG122*LagoonN2O)+('Mitigation drivers'!AG123*LiquidN2O)+('Mitigation drivers'!AG124*DrylotN2O)+('Mitigation drivers'!AG125*SolidStorageN2O)+('Mitigation drivers'!AG126*DailyspreadN2O)+('Mitigation drivers'!AG127*CompostN2O)+('Mitigation drivers'!AG128*ManwithbedN2O)+('Mitigation drivers'!AG129*PMwithoutlitterN2O)+('Mitigation drivers'!AG130*PMwithlitterN2O)+('Mitigation drivers'!AG132*DigesterN2OEF))/100</f>
        <v>8.9999999999999998E-4</v>
      </c>
      <c r="AM63" s="27">
        <f>(('Mitigation drivers'!AH122*LagoonN2O)+('Mitigation drivers'!AH123*LiquidN2O)+('Mitigation drivers'!AH124*DrylotN2O)+('Mitigation drivers'!AH125*SolidStorageN2O)+('Mitigation drivers'!AH126*DailyspreadN2O)+('Mitigation drivers'!AH127*CompostN2O)+('Mitigation drivers'!AH128*ManwithbedN2O)+('Mitigation drivers'!AH129*PMwithoutlitterN2O)+('Mitigation drivers'!AH130*PMwithlitterN2O)+('Mitigation drivers'!AH132*DigesterN2OEF))/100</f>
        <v>8.9999999999999998E-4</v>
      </c>
      <c r="AN63" s="27">
        <f>(('Mitigation drivers'!AI122*LagoonN2O)+('Mitigation drivers'!AI123*LiquidN2O)+('Mitigation drivers'!AI124*DrylotN2O)+('Mitigation drivers'!AI125*SolidStorageN2O)+('Mitigation drivers'!AI126*DailyspreadN2O)+('Mitigation drivers'!AI127*CompostN2O)+('Mitigation drivers'!AI128*ManwithbedN2O)+('Mitigation drivers'!AI129*PMwithoutlitterN2O)+('Mitigation drivers'!AI130*PMwithlitterN2O)+('Mitigation drivers'!AI132*DigesterN2OEF))/100</f>
        <v>8.9999999999999998E-4</v>
      </c>
      <c r="AO63" s="27">
        <f>(('Mitigation drivers'!AJ122*LagoonN2O)+('Mitigation drivers'!AJ123*LiquidN2O)+('Mitigation drivers'!AJ124*DrylotN2O)+('Mitigation drivers'!AJ125*SolidStorageN2O)+('Mitigation drivers'!AJ126*DailyspreadN2O)+('Mitigation drivers'!AJ127*CompostN2O)+('Mitigation drivers'!AJ128*ManwithbedN2O)+('Mitigation drivers'!AJ129*PMwithoutlitterN2O)+('Mitigation drivers'!AJ130*PMwithlitterN2O)+('Mitigation drivers'!AJ132*DigesterN2OEF))/100</f>
        <v>8.9999999999999998E-4</v>
      </c>
    </row>
    <row r="64" spans="1:41" x14ac:dyDescent="0.25">
      <c r="A64" t="str">
        <f t="shared" si="1"/>
        <v>3A Livestock</v>
      </c>
      <c r="B64" t="str">
        <f t="shared" si="8"/>
        <v>3A2 Manure management (N2O)</v>
      </c>
      <c r="C64" t="str">
        <f>'Activity data'!C15</f>
        <v>3A1f Horses</v>
      </c>
      <c r="D64" t="str">
        <f>'Activity data'!D15</f>
        <v>Horses</v>
      </c>
      <c r="E64" t="str">
        <f t="shared" si="27"/>
        <v>Manure management EF</v>
      </c>
      <c r="F64" t="str">
        <f t="shared" si="28"/>
        <v>N2O</v>
      </c>
      <c r="G64" t="str">
        <f t="shared" si="29"/>
        <v>kg N2O-N/kg Nex</v>
      </c>
      <c r="H64" s="27">
        <f>IFERROR((('Mitigation drivers'!C135*LagoonN2O)+('Mitigation drivers'!C136*LiquidN2O)+('Mitigation drivers'!C137*DrylotN2O)+('Mitigation drivers'!C138*SolidStorageN2O)+('Mitigation drivers'!C139*DailyspreadN2O)+('Mitigation drivers'!C140*CompostN2O)+('Mitigation drivers'!C141*ManwithbedN2O)+('Mitigation drivers'!C142*PMwithoutlitterN2O)+('Mitigation drivers'!C143*PMwithlitterN2O+('Mitigation drivers'!C145*DigesterN2OEF)))/100,0)</f>
        <v>0</v>
      </c>
      <c r="I64" s="27">
        <f>IFERROR((('Mitigation drivers'!D135*LagoonN2O)+('Mitigation drivers'!D136*LiquidN2O)+('Mitigation drivers'!D137*DrylotN2O)+('Mitigation drivers'!D138*SolidStorageN2O)+('Mitigation drivers'!D139*DailyspreadN2O)+('Mitigation drivers'!D140*CompostN2O)+('Mitigation drivers'!D141*ManwithbedN2O)+('Mitigation drivers'!D142*PMwithoutlitterN2O)+('Mitigation drivers'!D143*PMwithlitterN2O+('Mitigation drivers'!D145*DigesterN2OEF)))/100,0)</f>
        <v>0</v>
      </c>
      <c r="J64" s="27">
        <f>IFERROR((('Mitigation drivers'!E135*LagoonN2O)+('Mitigation drivers'!E136*LiquidN2O)+('Mitigation drivers'!E137*DrylotN2O)+('Mitigation drivers'!E138*SolidStorageN2O)+('Mitigation drivers'!E139*DailyspreadN2O)+('Mitigation drivers'!E140*CompostN2O)+('Mitigation drivers'!E141*ManwithbedN2O)+('Mitigation drivers'!E142*PMwithoutlitterN2O)+('Mitigation drivers'!E143*PMwithlitterN2O+('Mitigation drivers'!E145*DigesterN2OEF)))/100,0)</f>
        <v>0</v>
      </c>
      <c r="K64" s="27">
        <f>IFERROR((('Mitigation drivers'!F135*LagoonN2O)+('Mitigation drivers'!F136*LiquidN2O)+('Mitigation drivers'!F137*DrylotN2O)+('Mitigation drivers'!F138*SolidStorageN2O)+('Mitigation drivers'!F139*DailyspreadN2O)+('Mitigation drivers'!F140*CompostN2O)+('Mitigation drivers'!F141*ManwithbedN2O)+('Mitigation drivers'!F142*PMwithoutlitterN2O)+('Mitigation drivers'!F143*PMwithlitterN2O+('Mitigation drivers'!F145*DigesterN2OEF)))/100,0)</f>
        <v>0</v>
      </c>
      <c r="L64" s="27">
        <f>IFERROR((('Mitigation drivers'!G135*LagoonN2O)+('Mitigation drivers'!G136*LiquidN2O)+('Mitigation drivers'!G137*DrylotN2O)+('Mitigation drivers'!G138*SolidStorageN2O)+('Mitigation drivers'!G139*DailyspreadN2O)+('Mitigation drivers'!G140*CompostN2O)+('Mitigation drivers'!G141*ManwithbedN2O)+('Mitigation drivers'!G142*PMwithoutlitterN2O)+('Mitigation drivers'!G143*PMwithlitterN2O+('Mitigation drivers'!G145*DigesterN2OEF)))/100,0)</f>
        <v>0</v>
      </c>
      <c r="M64" s="27">
        <f>IFERROR((('Mitigation drivers'!H135*LagoonN2O)+('Mitigation drivers'!H136*LiquidN2O)+('Mitigation drivers'!H137*DrylotN2O)+('Mitigation drivers'!H138*SolidStorageN2O)+('Mitigation drivers'!H139*DailyspreadN2O)+('Mitigation drivers'!H140*CompostN2O)+('Mitigation drivers'!H141*ManwithbedN2O)+('Mitigation drivers'!H142*PMwithoutlitterN2O)+('Mitigation drivers'!H143*PMwithlitterN2O+('Mitigation drivers'!H145*DigesterN2OEF)))/100,0)</f>
        <v>0</v>
      </c>
      <c r="N64" s="27">
        <f>IFERROR((('Mitigation drivers'!I135*LagoonN2O)+('Mitigation drivers'!I136*LiquidN2O)+('Mitigation drivers'!I137*DrylotN2O)+('Mitigation drivers'!I138*SolidStorageN2O)+('Mitigation drivers'!I139*DailyspreadN2O)+('Mitigation drivers'!I140*CompostN2O)+('Mitigation drivers'!I141*ManwithbedN2O)+('Mitigation drivers'!I142*PMwithoutlitterN2O)+('Mitigation drivers'!I143*PMwithlitterN2O+('Mitigation drivers'!I145*DigesterN2OEF)))/100,0)</f>
        <v>0</v>
      </c>
      <c r="O64" s="27">
        <f>IFERROR((('Mitigation drivers'!J135*LagoonN2O)+('Mitigation drivers'!J136*LiquidN2O)+('Mitigation drivers'!J137*DrylotN2O)+('Mitigation drivers'!J138*SolidStorageN2O)+('Mitigation drivers'!J139*DailyspreadN2O)+('Mitigation drivers'!J140*CompostN2O)+('Mitigation drivers'!J141*ManwithbedN2O)+('Mitigation drivers'!J142*PMwithoutlitterN2O)+('Mitigation drivers'!J143*PMwithlitterN2O+('Mitigation drivers'!J145*DigesterN2OEF)))/100,0)</f>
        <v>0</v>
      </c>
      <c r="P64" s="27">
        <f>IFERROR((('Mitigation drivers'!K135*LagoonN2O)+('Mitigation drivers'!K136*LiquidN2O)+('Mitigation drivers'!K137*DrylotN2O)+('Mitigation drivers'!K138*SolidStorageN2O)+('Mitigation drivers'!K139*DailyspreadN2O)+('Mitigation drivers'!K140*CompostN2O)+('Mitigation drivers'!K141*ManwithbedN2O)+('Mitigation drivers'!K142*PMwithoutlitterN2O)+('Mitigation drivers'!K143*PMwithlitterN2O+('Mitigation drivers'!K145*DigesterN2OEF)))/100,0)</f>
        <v>0</v>
      </c>
      <c r="Q64" s="27">
        <f>IFERROR((('Mitigation drivers'!L135*LagoonN2O)+('Mitigation drivers'!L136*LiquidN2O)+('Mitigation drivers'!L137*DrylotN2O)+('Mitigation drivers'!L138*SolidStorageN2O)+('Mitigation drivers'!L139*DailyspreadN2O)+('Mitigation drivers'!L140*CompostN2O)+('Mitigation drivers'!L141*ManwithbedN2O)+('Mitigation drivers'!L142*PMwithoutlitterN2O)+('Mitigation drivers'!L143*PMwithlitterN2O+('Mitigation drivers'!L145*DigesterN2OEF)))/100,0)</f>
        <v>0</v>
      </c>
      <c r="R64" s="27">
        <f>IFERROR((('Mitigation drivers'!M135*LagoonN2O)+('Mitigation drivers'!M136*LiquidN2O)+('Mitigation drivers'!M137*DrylotN2O)+('Mitigation drivers'!M138*SolidStorageN2O)+('Mitigation drivers'!M139*DailyspreadN2O)+('Mitigation drivers'!M140*CompostN2O)+('Mitigation drivers'!M141*ManwithbedN2O)+('Mitigation drivers'!M142*PMwithoutlitterN2O)+('Mitigation drivers'!M143*PMwithlitterN2O+('Mitigation drivers'!M145*DigesterN2OEF)))/100,0)</f>
        <v>0</v>
      </c>
      <c r="S64" s="27">
        <f>IFERROR((('Mitigation drivers'!N135*LagoonN2O)+('Mitigation drivers'!N136*LiquidN2O)+('Mitigation drivers'!N137*DrylotN2O)+('Mitigation drivers'!N138*SolidStorageN2O)+('Mitigation drivers'!N139*DailyspreadN2O)+('Mitigation drivers'!N140*CompostN2O)+('Mitigation drivers'!N141*ManwithbedN2O)+('Mitigation drivers'!N142*PMwithoutlitterN2O)+('Mitigation drivers'!N143*PMwithlitterN2O+('Mitigation drivers'!N145*DigesterN2OEF)))/100,0)</f>
        <v>0</v>
      </c>
      <c r="T64" s="27">
        <f>IFERROR((('Mitigation drivers'!O135*LagoonN2O)+('Mitigation drivers'!O136*LiquidN2O)+('Mitigation drivers'!O137*DrylotN2O)+('Mitigation drivers'!O138*SolidStorageN2O)+('Mitigation drivers'!O139*DailyspreadN2O)+('Mitigation drivers'!O140*CompostN2O)+('Mitigation drivers'!O141*ManwithbedN2O)+('Mitigation drivers'!O142*PMwithoutlitterN2O)+('Mitigation drivers'!O143*PMwithlitterN2O+('Mitigation drivers'!O145*DigesterN2OEF)))/100,0)</f>
        <v>0</v>
      </c>
      <c r="U64" s="27">
        <f>IFERROR((('Mitigation drivers'!P135*LagoonN2O)+('Mitigation drivers'!P136*LiquidN2O)+('Mitigation drivers'!P137*DrylotN2O)+('Mitigation drivers'!P138*SolidStorageN2O)+('Mitigation drivers'!P139*DailyspreadN2O)+('Mitigation drivers'!P140*CompostN2O)+('Mitigation drivers'!P141*ManwithbedN2O)+('Mitigation drivers'!P142*PMwithoutlitterN2O)+('Mitigation drivers'!P143*PMwithlitterN2O+('Mitigation drivers'!P145*DigesterN2OEF)))/100,0)</f>
        <v>0</v>
      </c>
      <c r="V64" s="27">
        <f>IFERROR((('Mitigation drivers'!Q135*LagoonN2O)+('Mitigation drivers'!Q136*LiquidN2O)+('Mitigation drivers'!Q137*DrylotN2O)+('Mitigation drivers'!Q138*SolidStorageN2O)+('Mitigation drivers'!Q139*DailyspreadN2O)+('Mitigation drivers'!Q140*CompostN2O)+('Mitigation drivers'!Q141*ManwithbedN2O)+('Mitigation drivers'!Q142*PMwithoutlitterN2O)+('Mitigation drivers'!Q143*PMwithlitterN2O+('Mitigation drivers'!Q145*DigesterN2OEF)))/100,0)</f>
        <v>0</v>
      </c>
      <c r="W64" s="27">
        <f>IFERROR((('Mitigation drivers'!R135*LagoonN2O)+('Mitigation drivers'!R136*LiquidN2O)+('Mitigation drivers'!R137*DrylotN2O)+('Mitigation drivers'!R138*SolidStorageN2O)+('Mitigation drivers'!R139*DailyspreadN2O)+('Mitigation drivers'!R140*CompostN2O)+('Mitigation drivers'!R141*ManwithbedN2O)+('Mitigation drivers'!R142*PMwithoutlitterN2O)+('Mitigation drivers'!R143*PMwithlitterN2O+('Mitigation drivers'!R145*DigesterN2OEF)))/100,0)</f>
        <v>0</v>
      </c>
      <c r="X64" s="27">
        <f>IFERROR((('Mitigation drivers'!S135*LagoonN2O)+('Mitigation drivers'!S136*LiquidN2O)+('Mitigation drivers'!S137*DrylotN2O)+('Mitigation drivers'!S138*SolidStorageN2O)+('Mitigation drivers'!S139*DailyspreadN2O)+('Mitigation drivers'!S140*CompostN2O)+('Mitigation drivers'!S141*ManwithbedN2O)+('Mitigation drivers'!S142*PMwithoutlitterN2O)+('Mitigation drivers'!S143*PMwithlitterN2O+('Mitigation drivers'!S145*DigesterN2OEF)))/100,0)</f>
        <v>0</v>
      </c>
      <c r="Y64" s="27">
        <f>IFERROR((('Mitigation drivers'!T135*LagoonN2O)+('Mitigation drivers'!T136*LiquidN2O)+('Mitigation drivers'!T137*DrylotN2O)+('Mitigation drivers'!T138*SolidStorageN2O)+('Mitigation drivers'!T139*DailyspreadN2O)+('Mitigation drivers'!T140*CompostN2O)+('Mitigation drivers'!T141*ManwithbedN2O)+('Mitigation drivers'!T142*PMwithoutlitterN2O)+('Mitigation drivers'!T143*PMwithlitterN2O+('Mitigation drivers'!T145*DigesterN2OEF)))/100,0)</f>
        <v>0</v>
      </c>
      <c r="Z64" s="27">
        <f>IFERROR((('Mitigation drivers'!U135*LagoonN2O)+('Mitigation drivers'!U136*LiquidN2O)+('Mitigation drivers'!U137*DrylotN2O)+('Mitigation drivers'!U138*SolidStorageN2O)+('Mitigation drivers'!U139*DailyspreadN2O)+('Mitigation drivers'!U140*CompostN2O)+('Mitigation drivers'!U141*ManwithbedN2O)+('Mitigation drivers'!U142*PMwithoutlitterN2O)+('Mitigation drivers'!U143*PMwithlitterN2O+('Mitigation drivers'!U145*DigesterN2OEF)))/100,0)</f>
        <v>0</v>
      </c>
      <c r="AA64" s="27">
        <f>IFERROR((('Mitigation drivers'!V135*LagoonN2O)+('Mitigation drivers'!V136*LiquidN2O)+('Mitigation drivers'!V137*DrylotN2O)+('Mitigation drivers'!V138*SolidStorageN2O)+('Mitigation drivers'!V139*DailyspreadN2O)+('Mitigation drivers'!V140*CompostN2O)+('Mitigation drivers'!V141*ManwithbedN2O)+('Mitigation drivers'!V142*PMwithoutlitterN2O)+('Mitigation drivers'!V143*PMwithlitterN2O+('Mitigation drivers'!V145*DigesterN2OEF)))/100,0)</f>
        <v>0</v>
      </c>
      <c r="AB64" s="27">
        <f>IFERROR((('Mitigation drivers'!W135*LagoonN2O)+('Mitigation drivers'!W136*LiquidN2O)+('Mitigation drivers'!W137*DrylotN2O)+('Mitigation drivers'!W138*SolidStorageN2O)+('Mitigation drivers'!W139*DailyspreadN2O)+('Mitigation drivers'!W140*CompostN2O)+('Mitigation drivers'!W141*ManwithbedN2O)+('Mitigation drivers'!W142*PMwithoutlitterN2O)+('Mitigation drivers'!W143*PMwithlitterN2O+('Mitigation drivers'!W145*DigesterN2OEF)))/100,0)</f>
        <v>0</v>
      </c>
      <c r="AC64" s="27">
        <f>IFERROR((('Mitigation drivers'!X135*LagoonN2O)+('Mitigation drivers'!X136*LiquidN2O)+('Mitigation drivers'!X137*DrylotN2O)+('Mitigation drivers'!X138*SolidStorageN2O)+('Mitigation drivers'!X139*DailyspreadN2O)+('Mitigation drivers'!X140*CompostN2O)+('Mitigation drivers'!X141*ManwithbedN2O)+('Mitigation drivers'!X142*PMwithoutlitterN2O)+('Mitigation drivers'!X143*PMwithlitterN2O+('Mitigation drivers'!X145*DigesterN2OEF)))/100,0)</f>
        <v>0</v>
      </c>
      <c r="AD64" s="27">
        <f>IFERROR((('Mitigation drivers'!Y135*LagoonN2O)+('Mitigation drivers'!Y136*LiquidN2O)+('Mitigation drivers'!Y137*DrylotN2O)+('Mitigation drivers'!Y138*SolidStorageN2O)+('Mitigation drivers'!Y139*DailyspreadN2O)+('Mitigation drivers'!Y140*CompostN2O)+('Mitigation drivers'!Y141*ManwithbedN2O)+('Mitigation drivers'!Y142*PMwithoutlitterN2O)+('Mitigation drivers'!Y143*PMwithlitterN2O+('Mitigation drivers'!Y145*DigesterN2OEF)))/100,0)</f>
        <v>0</v>
      </c>
      <c r="AE64" s="27">
        <f>IFERROR((('Mitigation drivers'!Z135*LagoonN2O)+('Mitigation drivers'!Z136*LiquidN2O)+('Mitigation drivers'!Z137*DrylotN2O)+('Mitigation drivers'!Z138*SolidStorageN2O)+('Mitigation drivers'!Z139*DailyspreadN2O)+('Mitigation drivers'!Z140*CompostN2O)+('Mitigation drivers'!Z141*ManwithbedN2O)+('Mitigation drivers'!Z142*PMwithoutlitterN2O)+('Mitigation drivers'!Z143*PMwithlitterN2O+('Mitigation drivers'!Z145*DigesterN2OEF)))/100,0)</f>
        <v>0</v>
      </c>
      <c r="AF64" s="27">
        <f>IFERROR((('Mitigation drivers'!AA135*LagoonN2O)+('Mitigation drivers'!AA136*LiquidN2O)+('Mitigation drivers'!AA137*DrylotN2O)+('Mitigation drivers'!AA138*SolidStorageN2O)+('Mitigation drivers'!AA139*DailyspreadN2O)+('Mitigation drivers'!AA140*CompostN2O)+('Mitigation drivers'!AA141*ManwithbedN2O)+('Mitigation drivers'!AA142*PMwithoutlitterN2O)+('Mitigation drivers'!AA143*PMwithlitterN2O+('Mitigation drivers'!AA145*DigesterN2OEF)))/100,0)</f>
        <v>0</v>
      </c>
      <c r="AG64" s="27">
        <f>IFERROR((('Mitigation drivers'!AB135*LagoonN2O)+('Mitigation drivers'!AB136*LiquidN2O)+('Mitigation drivers'!AB137*DrylotN2O)+('Mitigation drivers'!AB138*SolidStorageN2O)+('Mitigation drivers'!AB139*DailyspreadN2O)+('Mitigation drivers'!AB140*CompostN2O)+('Mitigation drivers'!AB141*ManwithbedN2O)+('Mitigation drivers'!AB142*PMwithoutlitterN2O)+('Mitigation drivers'!AB143*PMwithlitterN2O+('Mitigation drivers'!AB145*DigesterN2OEF)))/100,0)</f>
        <v>0</v>
      </c>
      <c r="AH64" s="27">
        <f>IFERROR((('Mitigation drivers'!AC135*LagoonN2O)+('Mitigation drivers'!AC136*LiquidN2O)+('Mitigation drivers'!AC137*DrylotN2O)+('Mitigation drivers'!AC138*SolidStorageN2O)+('Mitigation drivers'!AC139*DailyspreadN2O)+('Mitigation drivers'!AC140*CompostN2O)+('Mitigation drivers'!AC141*ManwithbedN2O)+('Mitigation drivers'!AC142*PMwithoutlitterN2O)+('Mitigation drivers'!AC143*PMwithlitterN2O+('Mitigation drivers'!AC145*DigesterN2OEF)))/100,0)</f>
        <v>0</v>
      </c>
      <c r="AI64" s="27">
        <f>IFERROR((('Mitigation drivers'!AD135*LagoonN2O)+('Mitigation drivers'!AD136*LiquidN2O)+('Mitigation drivers'!AD137*DrylotN2O)+('Mitigation drivers'!AD138*SolidStorageN2O)+('Mitigation drivers'!AD139*DailyspreadN2O)+('Mitigation drivers'!AD140*CompostN2O)+('Mitigation drivers'!AD141*ManwithbedN2O)+('Mitigation drivers'!AD142*PMwithoutlitterN2O)+('Mitigation drivers'!AD143*PMwithlitterN2O+('Mitigation drivers'!AD145*DigesterN2OEF)))/100,0)</f>
        <v>0</v>
      </c>
      <c r="AJ64" s="27">
        <f>IFERROR((('Mitigation drivers'!AE135*LagoonN2O)+('Mitigation drivers'!AE136*LiquidN2O)+('Mitigation drivers'!AE137*DrylotN2O)+('Mitigation drivers'!AE138*SolidStorageN2O)+('Mitigation drivers'!AE139*DailyspreadN2O)+('Mitigation drivers'!AE140*CompostN2O)+('Mitigation drivers'!AE141*ManwithbedN2O)+('Mitigation drivers'!AE142*PMwithoutlitterN2O)+('Mitigation drivers'!AE143*PMwithlitterN2O+('Mitigation drivers'!AE145*DigesterN2OEF)))/100,0)</f>
        <v>0</v>
      </c>
      <c r="AK64" s="27">
        <f>IFERROR((('Mitigation drivers'!AF135*LagoonN2O)+('Mitigation drivers'!AF136*LiquidN2O)+('Mitigation drivers'!AF137*DrylotN2O)+('Mitigation drivers'!AF138*SolidStorageN2O)+('Mitigation drivers'!AF139*DailyspreadN2O)+('Mitigation drivers'!AF140*CompostN2O)+('Mitigation drivers'!AF141*ManwithbedN2O)+('Mitigation drivers'!AF142*PMwithoutlitterN2O)+('Mitigation drivers'!AF143*PMwithlitterN2O+('Mitigation drivers'!AF145*DigesterN2OEF)))/100,0)</f>
        <v>0</v>
      </c>
      <c r="AL64" s="27">
        <f>IFERROR((('Mitigation drivers'!AG135*LagoonN2O)+('Mitigation drivers'!AG136*LiquidN2O)+('Mitigation drivers'!AG137*DrylotN2O)+('Mitigation drivers'!AG138*SolidStorageN2O)+('Mitigation drivers'!AG139*DailyspreadN2O)+('Mitigation drivers'!AG140*CompostN2O)+('Mitigation drivers'!AG141*ManwithbedN2O)+('Mitigation drivers'!AG142*PMwithoutlitterN2O)+('Mitigation drivers'!AG143*PMwithlitterN2O+('Mitigation drivers'!AG145*DigesterN2OEF)))/100,0)</f>
        <v>0</v>
      </c>
      <c r="AM64" s="27">
        <f>IFERROR((('Mitigation drivers'!AH135*LagoonN2O)+('Mitigation drivers'!AH136*LiquidN2O)+('Mitigation drivers'!AH137*DrylotN2O)+('Mitigation drivers'!AH138*SolidStorageN2O)+('Mitigation drivers'!AH139*DailyspreadN2O)+('Mitigation drivers'!AH140*CompostN2O)+('Mitigation drivers'!AH141*ManwithbedN2O)+('Mitigation drivers'!AH142*PMwithoutlitterN2O)+('Mitigation drivers'!AH143*PMwithlitterN2O+('Mitigation drivers'!AH145*DigesterN2OEF)))/100,0)</f>
        <v>0</v>
      </c>
      <c r="AN64" s="27">
        <f>IFERROR((('Mitigation drivers'!AI135*LagoonN2O)+('Mitigation drivers'!AI136*LiquidN2O)+('Mitigation drivers'!AI137*DrylotN2O)+('Mitigation drivers'!AI138*SolidStorageN2O)+('Mitigation drivers'!AI139*DailyspreadN2O)+('Mitigation drivers'!AI140*CompostN2O)+('Mitigation drivers'!AI141*ManwithbedN2O)+('Mitigation drivers'!AI142*PMwithoutlitterN2O)+('Mitigation drivers'!AI143*PMwithlitterN2O+('Mitigation drivers'!AI145*DigesterN2OEF)))/100,0)</f>
        <v>0</v>
      </c>
      <c r="AO64" s="27">
        <f>IFERROR((('Mitigation drivers'!AJ135*LagoonN2O)+('Mitigation drivers'!AJ136*LiquidN2O)+('Mitigation drivers'!AJ137*DrylotN2O)+('Mitigation drivers'!AJ138*SolidStorageN2O)+('Mitigation drivers'!AJ139*DailyspreadN2O)+('Mitigation drivers'!AJ140*CompostN2O)+('Mitigation drivers'!AJ141*ManwithbedN2O)+('Mitigation drivers'!AJ142*PMwithoutlitterN2O)+('Mitigation drivers'!AJ143*PMwithlitterN2O+('Mitigation drivers'!AJ145*DigesterN2OEF)))/100,0)</f>
        <v>0</v>
      </c>
    </row>
    <row r="65" spans="1:41" x14ac:dyDescent="0.25">
      <c r="A65" t="str">
        <f t="shared" si="1"/>
        <v>3A Livestock</v>
      </c>
      <c r="B65" t="str">
        <f t="shared" si="8"/>
        <v>3A2 Manure management (N2O)</v>
      </c>
      <c r="C65" t="str">
        <f>'Activity data'!C16</f>
        <v>3A1g Mules &amp; asses</v>
      </c>
      <c r="D65" t="str">
        <f>'Activity data'!D16</f>
        <v>Mules &amp; Asses</v>
      </c>
      <c r="E65" t="str">
        <f t="shared" si="27"/>
        <v>Manure management EF</v>
      </c>
      <c r="F65" t="str">
        <f t="shared" si="28"/>
        <v>N2O</v>
      </c>
      <c r="G65" t="str">
        <f t="shared" si="29"/>
        <v>kg N2O-N/kg Nex</v>
      </c>
      <c r="H65" s="27">
        <f>IFERROR((('Mitigation drivers'!C147*LagoonN2O)+('Mitigation drivers'!C148*LiquidN2O)+('Mitigation drivers'!C149*DrylotN2O)+('Mitigation drivers'!C150*SolidStorageN2O)+('Mitigation drivers'!C151*DailyspreadN2O)+('Mitigation drivers'!C152*CompostN2O)+('Mitigation drivers'!C153*ManwithbedN2O)+('Mitigation drivers'!C154*PMwithoutlitterN2O)+('Mitigation drivers'!C155*PMwithlitterN2O)+('Mitigation drivers'!C157*DigesterN2OEF))/100,0)</f>
        <v>0</v>
      </c>
      <c r="I65" s="27">
        <f>IFERROR((('Mitigation drivers'!D147*LagoonN2O)+('Mitigation drivers'!D148*LiquidN2O)+('Mitigation drivers'!D149*DrylotN2O)+('Mitigation drivers'!D150*SolidStorageN2O)+('Mitigation drivers'!D151*DailyspreadN2O)+('Mitigation drivers'!D152*CompostN2O)+('Mitigation drivers'!D153*ManwithbedN2O)+('Mitigation drivers'!D154*PMwithoutlitterN2O)+('Mitigation drivers'!D155*PMwithlitterN2O)+('Mitigation drivers'!D157*DigesterN2OEF))/100,0)</f>
        <v>0</v>
      </c>
      <c r="J65" s="27">
        <f>IFERROR((('Mitigation drivers'!E147*LagoonN2O)+('Mitigation drivers'!E148*LiquidN2O)+('Mitigation drivers'!E149*DrylotN2O)+('Mitigation drivers'!E150*SolidStorageN2O)+('Mitigation drivers'!E151*DailyspreadN2O)+('Mitigation drivers'!E152*CompostN2O)+('Mitigation drivers'!E153*ManwithbedN2O)+('Mitigation drivers'!E154*PMwithoutlitterN2O)+('Mitigation drivers'!E155*PMwithlitterN2O)+('Mitigation drivers'!E157*DigesterN2OEF))/100,0)</f>
        <v>0</v>
      </c>
      <c r="K65" s="27">
        <f>IFERROR((('Mitigation drivers'!F147*LagoonN2O)+('Mitigation drivers'!F148*LiquidN2O)+('Mitigation drivers'!F149*DrylotN2O)+('Mitigation drivers'!F150*SolidStorageN2O)+('Mitigation drivers'!F151*DailyspreadN2O)+('Mitigation drivers'!F152*CompostN2O)+('Mitigation drivers'!F153*ManwithbedN2O)+('Mitigation drivers'!F154*PMwithoutlitterN2O)+('Mitigation drivers'!F155*PMwithlitterN2O)+('Mitigation drivers'!F157*DigesterN2OEF))/100,0)</f>
        <v>0</v>
      </c>
      <c r="L65" s="27">
        <f>IFERROR((('Mitigation drivers'!G147*LagoonN2O)+('Mitigation drivers'!G148*LiquidN2O)+('Mitigation drivers'!G149*DrylotN2O)+('Mitigation drivers'!G150*SolidStorageN2O)+('Mitigation drivers'!G151*DailyspreadN2O)+('Mitigation drivers'!G152*CompostN2O)+('Mitigation drivers'!G153*ManwithbedN2O)+('Mitigation drivers'!G154*PMwithoutlitterN2O)+('Mitigation drivers'!G155*PMwithlitterN2O)+('Mitigation drivers'!G157*DigesterN2OEF))/100,0)</f>
        <v>0</v>
      </c>
      <c r="M65" s="27">
        <f>IFERROR((('Mitigation drivers'!H147*LagoonN2O)+('Mitigation drivers'!H148*LiquidN2O)+('Mitigation drivers'!H149*DrylotN2O)+('Mitigation drivers'!H150*SolidStorageN2O)+('Mitigation drivers'!H151*DailyspreadN2O)+('Mitigation drivers'!H152*CompostN2O)+('Mitigation drivers'!H153*ManwithbedN2O)+('Mitigation drivers'!H154*PMwithoutlitterN2O)+('Mitigation drivers'!H155*PMwithlitterN2O)+('Mitigation drivers'!H157*DigesterN2OEF))/100,0)</f>
        <v>0</v>
      </c>
      <c r="N65" s="27">
        <f>IFERROR((('Mitigation drivers'!I147*LagoonN2O)+('Mitigation drivers'!I148*LiquidN2O)+('Mitigation drivers'!I149*DrylotN2O)+('Mitigation drivers'!I150*SolidStorageN2O)+('Mitigation drivers'!I151*DailyspreadN2O)+('Mitigation drivers'!I152*CompostN2O)+('Mitigation drivers'!I153*ManwithbedN2O)+('Mitigation drivers'!I154*PMwithoutlitterN2O)+('Mitigation drivers'!I155*PMwithlitterN2O)+('Mitigation drivers'!I157*DigesterN2OEF))/100,0)</f>
        <v>0</v>
      </c>
      <c r="O65" s="27">
        <f>IFERROR((('Mitigation drivers'!J147*LagoonN2O)+('Mitigation drivers'!J148*LiquidN2O)+('Mitigation drivers'!J149*DrylotN2O)+('Mitigation drivers'!J150*SolidStorageN2O)+('Mitigation drivers'!J151*DailyspreadN2O)+('Mitigation drivers'!J152*CompostN2O)+('Mitigation drivers'!J153*ManwithbedN2O)+('Mitigation drivers'!J154*PMwithoutlitterN2O)+('Mitigation drivers'!J155*PMwithlitterN2O)+('Mitigation drivers'!J157*DigesterN2OEF))/100,0)</f>
        <v>0</v>
      </c>
      <c r="P65" s="27">
        <f>IFERROR((('Mitigation drivers'!K147*LagoonN2O)+('Mitigation drivers'!K148*LiquidN2O)+('Mitigation drivers'!K149*DrylotN2O)+('Mitigation drivers'!K150*SolidStorageN2O)+('Mitigation drivers'!K151*DailyspreadN2O)+('Mitigation drivers'!K152*CompostN2O)+('Mitigation drivers'!K153*ManwithbedN2O)+('Mitigation drivers'!K154*PMwithoutlitterN2O)+('Mitigation drivers'!K155*PMwithlitterN2O)+('Mitigation drivers'!K157*DigesterN2OEF))/100,0)</f>
        <v>0</v>
      </c>
      <c r="Q65" s="27">
        <f>IFERROR((('Mitigation drivers'!L147*LagoonN2O)+('Mitigation drivers'!L148*LiquidN2O)+('Mitigation drivers'!L149*DrylotN2O)+('Mitigation drivers'!L150*SolidStorageN2O)+('Mitigation drivers'!L151*DailyspreadN2O)+('Mitigation drivers'!L152*CompostN2O)+('Mitigation drivers'!L153*ManwithbedN2O)+('Mitigation drivers'!L154*PMwithoutlitterN2O)+('Mitigation drivers'!L155*PMwithlitterN2O)+('Mitigation drivers'!L157*DigesterN2OEF))/100,0)</f>
        <v>0</v>
      </c>
      <c r="R65" s="27">
        <f>IFERROR((('Mitigation drivers'!M147*LagoonN2O)+('Mitigation drivers'!M148*LiquidN2O)+('Mitigation drivers'!M149*DrylotN2O)+('Mitigation drivers'!M150*SolidStorageN2O)+('Mitigation drivers'!M151*DailyspreadN2O)+('Mitigation drivers'!M152*CompostN2O)+('Mitigation drivers'!M153*ManwithbedN2O)+('Mitigation drivers'!M154*PMwithoutlitterN2O)+('Mitigation drivers'!M155*PMwithlitterN2O)+('Mitigation drivers'!M157*DigesterN2OEF))/100,0)</f>
        <v>0</v>
      </c>
      <c r="S65" s="27">
        <f>IFERROR((('Mitigation drivers'!N147*LagoonN2O)+('Mitigation drivers'!N148*LiquidN2O)+('Mitigation drivers'!N149*DrylotN2O)+('Mitigation drivers'!N150*SolidStorageN2O)+('Mitigation drivers'!N151*DailyspreadN2O)+('Mitigation drivers'!N152*CompostN2O)+('Mitigation drivers'!N153*ManwithbedN2O)+('Mitigation drivers'!N154*PMwithoutlitterN2O)+('Mitigation drivers'!N155*PMwithlitterN2O)+('Mitigation drivers'!N157*DigesterN2OEF))/100,0)</f>
        <v>0</v>
      </c>
      <c r="T65" s="27">
        <f>IFERROR((('Mitigation drivers'!O147*LagoonN2O)+('Mitigation drivers'!O148*LiquidN2O)+('Mitigation drivers'!O149*DrylotN2O)+('Mitigation drivers'!O150*SolidStorageN2O)+('Mitigation drivers'!O151*DailyspreadN2O)+('Mitigation drivers'!O152*CompostN2O)+('Mitigation drivers'!O153*ManwithbedN2O)+('Mitigation drivers'!O154*PMwithoutlitterN2O)+('Mitigation drivers'!O155*PMwithlitterN2O)+('Mitigation drivers'!O157*DigesterN2OEF))/100,0)</f>
        <v>0</v>
      </c>
      <c r="U65" s="27">
        <f>IFERROR((('Mitigation drivers'!P147*LagoonN2O)+('Mitigation drivers'!P148*LiquidN2O)+('Mitigation drivers'!P149*DrylotN2O)+('Mitigation drivers'!P150*SolidStorageN2O)+('Mitigation drivers'!P151*DailyspreadN2O)+('Mitigation drivers'!P152*CompostN2O)+('Mitigation drivers'!P153*ManwithbedN2O)+('Mitigation drivers'!P154*PMwithoutlitterN2O)+('Mitigation drivers'!P155*PMwithlitterN2O)+('Mitigation drivers'!P157*DigesterN2OEF))/100,0)</f>
        <v>0</v>
      </c>
      <c r="V65" s="27">
        <f>IFERROR((('Mitigation drivers'!Q147*LagoonN2O)+('Mitigation drivers'!Q148*LiquidN2O)+('Mitigation drivers'!Q149*DrylotN2O)+('Mitigation drivers'!Q150*SolidStorageN2O)+('Mitigation drivers'!Q151*DailyspreadN2O)+('Mitigation drivers'!Q152*CompostN2O)+('Mitigation drivers'!Q153*ManwithbedN2O)+('Mitigation drivers'!Q154*PMwithoutlitterN2O)+('Mitigation drivers'!Q155*PMwithlitterN2O)+('Mitigation drivers'!Q157*DigesterN2OEF))/100,0)</f>
        <v>0</v>
      </c>
      <c r="W65" s="27">
        <f>IFERROR((('Mitigation drivers'!R147*LagoonN2O)+('Mitigation drivers'!R148*LiquidN2O)+('Mitigation drivers'!R149*DrylotN2O)+('Mitigation drivers'!R150*SolidStorageN2O)+('Mitigation drivers'!R151*DailyspreadN2O)+('Mitigation drivers'!R152*CompostN2O)+('Mitigation drivers'!R153*ManwithbedN2O)+('Mitigation drivers'!R154*PMwithoutlitterN2O)+('Mitigation drivers'!R155*PMwithlitterN2O)+('Mitigation drivers'!R157*DigesterN2OEF))/100,0)</f>
        <v>0</v>
      </c>
      <c r="X65" s="27">
        <f>IFERROR((('Mitigation drivers'!S147*LagoonN2O)+('Mitigation drivers'!S148*LiquidN2O)+('Mitigation drivers'!S149*DrylotN2O)+('Mitigation drivers'!S150*SolidStorageN2O)+('Mitigation drivers'!S151*DailyspreadN2O)+('Mitigation drivers'!S152*CompostN2O)+('Mitigation drivers'!S153*ManwithbedN2O)+('Mitigation drivers'!S154*PMwithoutlitterN2O)+('Mitigation drivers'!S155*PMwithlitterN2O)+('Mitigation drivers'!S157*DigesterN2OEF))/100,0)</f>
        <v>0</v>
      </c>
      <c r="Y65" s="27">
        <f>IFERROR((('Mitigation drivers'!T147*LagoonN2O)+('Mitigation drivers'!T148*LiquidN2O)+('Mitigation drivers'!T149*DrylotN2O)+('Mitigation drivers'!T150*SolidStorageN2O)+('Mitigation drivers'!T151*DailyspreadN2O)+('Mitigation drivers'!T152*CompostN2O)+('Mitigation drivers'!T153*ManwithbedN2O)+('Mitigation drivers'!T154*PMwithoutlitterN2O)+('Mitigation drivers'!T155*PMwithlitterN2O)+('Mitigation drivers'!T157*DigesterN2OEF))/100,0)</f>
        <v>0</v>
      </c>
      <c r="Z65" s="27">
        <f>IFERROR((('Mitigation drivers'!U147*LagoonN2O)+('Mitigation drivers'!U148*LiquidN2O)+('Mitigation drivers'!U149*DrylotN2O)+('Mitigation drivers'!U150*SolidStorageN2O)+('Mitigation drivers'!U151*DailyspreadN2O)+('Mitigation drivers'!U152*CompostN2O)+('Mitigation drivers'!U153*ManwithbedN2O)+('Mitigation drivers'!U154*PMwithoutlitterN2O)+('Mitigation drivers'!U155*PMwithlitterN2O)+('Mitigation drivers'!U157*DigesterN2OEF))/100,0)</f>
        <v>0</v>
      </c>
      <c r="AA65" s="27">
        <f>IFERROR((('Mitigation drivers'!V147*LagoonN2O)+('Mitigation drivers'!V148*LiquidN2O)+('Mitigation drivers'!V149*DrylotN2O)+('Mitigation drivers'!V150*SolidStorageN2O)+('Mitigation drivers'!V151*DailyspreadN2O)+('Mitigation drivers'!V152*CompostN2O)+('Mitigation drivers'!V153*ManwithbedN2O)+('Mitigation drivers'!V154*PMwithoutlitterN2O)+('Mitigation drivers'!V155*PMwithlitterN2O)+('Mitigation drivers'!V157*DigesterN2OEF))/100,0)</f>
        <v>0</v>
      </c>
      <c r="AB65" s="27">
        <f>IFERROR((('Mitigation drivers'!W147*LagoonN2O)+('Mitigation drivers'!W148*LiquidN2O)+('Mitigation drivers'!W149*DrylotN2O)+('Mitigation drivers'!W150*SolidStorageN2O)+('Mitigation drivers'!W151*DailyspreadN2O)+('Mitigation drivers'!W152*CompostN2O)+('Mitigation drivers'!W153*ManwithbedN2O)+('Mitigation drivers'!W154*PMwithoutlitterN2O)+('Mitigation drivers'!W155*PMwithlitterN2O)+('Mitigation drivers'!W157*DigesterN2OEF))/100,0)</f>
        <v>0</v>
      </c>
      <c r="AC65" s="27">
        <f>IFERROR((('Mitigation drivers'!X147*LagoonN2O)+('Mitigation drivers'!X148*LiquidN2O)+('Mitigation drivers'!X149*DrylotN2O)+('Mitigation drivers'!X150*SolidStorageN2O)+('Mitigation drivers'!X151*DailyspreadN2O)+('Mitigation drivers'!X152*CompostN2O)+('Mitigation drivers'!X153*ManwithbedN2O)+('Mitigation drivers'!X154*PMwithoutlitterN2O)+('Mitigation drivers'!X155*PMwithlitterN2O)+('Mitigation drivers'!X157*DigesterN2OEF))/100,0)</f>
        <v>0</v>
      </c>
      <c r="AD65" s="27">
        <f>IFERROR((('Mitigation drivers'!Y147*LagoonN2O)+('Mitigation drivers'!Y148*LiquidN2O)+('Mitigation drivers'!Y149*DrylotN2O)+('Mitigation drivers'!Y150*SolidStorageN2O)+('Mitigation drivers'!Y151*DailyspreadN2O)+('Mitigation drivers'!Y152*CompostN2O)+('Mitigation drivers'!Y153*ManwithbedN2O)+('Mitigation drivers'!Y154*PMwithoutlitterN2O)+('Mitigation drivers'!Y155*PMwithlitterN2O)+('Mitigation drivers'!Y157*DigesterN2OEF))/100,0)</f>
        <v>0</v>
      </c>
      <c r="AE65" s="27">
        <f>IFERROR((('Mitigation drivers'!Z147*LagoonN2O)+('Mitigation drivers'!Z148*LiquidN2O)+('Mitigation drivers'!Z149*DrylotN2O)+('Mitigation drivers'!Z150*SolidStorageN2O)+('Mitigation drivers'!Z151*DailyspreadN2O)+('Mitigation drivers'!Z152*CompostN2O)+('Mitigation drivers'!Z153*ManwithbedN2O)+('Mitigation drivers'!Z154*PMwithoutlitterN2O)+('Mitigation drivers'!Z155*PMwithlitterN2O)+('Mitigation drivers'!Z157*DigesterN2OEF))/100,0)</f>
        <v>0</v>
      </c>
      <c r="AF65" s="27">
        <f>IFERROR((('Mitigation drivers'!AA147*LagoonN2O)+('Mitigation drivers'!AA148*LiquidN2O)+('Mitigation drivers'!AA149*DrylotN2O)+('Mitigation drivers'!AA150*SolidStorageN2O)+('Mitigation drivers'!AA151*DailyspreadN2O)+('Mitigation drivers'!AA152*CompostN2O)+('Mitigation drivers'!AA153*ManwithbedN2O)+('Mitigation drivers'!AA154*PMwithoutlitterN2O)+('Mitigation drivers'!AA155*PMwithlitterN2O)+('Mitigation drivers'!AA157*DigesterN2OEF))/100,0)</f>
        <v>0</v>
      </c>
      <c r="AG65" s="27">
        <f>IFERROR((('Mitigation drivers'!AB147*LagoonN2O)+('Mitigation drivers'!AB148*LiquidN2O)+('Mitigation drivers'!AB149*DrylotN2O)+('Mitigation drivers'!AB150*SolidStorageN2O)+('Mitigation drivers'!AB151*DailyspreadN2O)+('Mitigation drivers'!AB152*CompostN2O)+('Mitigation drivers'!AB153*ManwithbedN2O)+('Mitigation drivers'!AB154*PMwithoutlitterN2O)+('Mitigation drivers'!AB155*PMwithlitterN2O)+('Mitigation drivers'!AB157*DigesterN2OEF))/100,0)</f>
        <v>0</v>
      </c>
      <c r="AH65" s="27">
        <f>IFERROR((('Mitigation drivers'!AC147*LagoonN2O)+('Mitigation drivers'!AC148*LiquidN2O)+('Mitigation drivers'!AC149*DrylotN2O)+('Mitigation drivers'!AC150*SolidStorageN2O)+('Mitigation drivers'!AC151*DailyspreadN2O)+('Mitigation drivers'!AC152*CompostN2O)+('Mitigation drivers'!AC153*ManwithbedN2O)+('Mitigation drivers'!AC154*PMwithoutlitterN2O)+('Mitigation drivers'!AC155*PMwithlitterN2O)+('Mitigation drivers'!AC157*DigesterN2OEF))/100,0)</f>
        <v>0</v>
      </c>
      <c r="AI65" s="27">
        <f>IFERROR((('Mitigation drivers'!AD147*LagoonN2O)+('Mitigation drivers'!AD148*LiquidN2O)+('Mitigation drivers'!AD149*DrylotN2O)+('Mitigation drivers'!AD150*SolidStorageN2O)+('Mitigation drivers'!AD151*DailyspreadN2O)+('Mitigation drivers'!AD152*CompostN2O)+('Mitigation drivers'!AD153*ManwithbedN2O)+('Mitigation drivers'!AD154*PMwithoutlitterN2O)+('Mitigation drivers'!AD155*PMwithlitterN2O)+('Mitigation drivers'!AD157*DigesterN2OEF))/100,0)</f>
        <v>0</v>
      </c>
      <c r="AJ65" s="27">
        <f>IFERROR((('Mitigation drivers'!AE147*LagoonN2O)+('Mitigation drivers'!AE148*LiquidN2O)+('Mitigation drivers'!AE149*DrylotN2O)+('Mitigation drivers'!AE150*SolidStorageN2O)+('Mitigation drivers'!AE151*DailyspreadN2O)+('Mitigation drivers'!AE152*CompostN2O)+('Mitigation drivers'!AE153*ManwithbedN2O)+('Mitigation drivers'!AE154*PMwithoutlitterN2O)+('Mitigation drivers'!AE155*PMwithlitterN2O)+('Mitigation drivers'!AE157*DigesterN2OEF))/100,0)</f>
        <v>0</v>
      </c>
      <c r="AK65" s="27">
        <f>IFERROR((('Mitigation drivers'!AF147*LagoonN2O)+('Mitigation drivers'!AF148*LiquidN2O)+('Mitigation drivers'!AF149*DrylotN2O)+('Mitigation drivers'!AF150*SolidStorageN2O)+('Mitigation drivers'!AF151*DailyspreadN2O)+('Mitigation drivers'!AF152*CompostN2O)+('Mitigation drivers'!AF153*ManwithbedN2O)+('Mitigation drivers'!AF154*PMwithoutlitterN2O)+('Mitigation drivers'!AF155*PMwithlitterN2O)+('Mitigation drivers'!AF157*DigesterN2OEF))/100,0)</f>
        <v>0</v>
      </c>
      <c r="AL65" s="27">
        <f>IFERROR((('Mitigation drivers'!AG147*LagoonN2O)+('Mitigation drivers'!AG148*LiquidN2O)+('Mitigation drivers'!AG149*DrylotN2O)+('Mitigation drivers'!AG150*SolidStorageN2O)+('Mitigation drivers'!AG151*DailyspreadN2O)+('Mitigation drivers'!AG152*CompostN2O)+('Mitigation drivers'!AG153*ManwithbedN2O)+('Mitigation drivers'!AG154*PMwithoutlitterN2O)+('Mitigation drivers'!AG155*PMwithlitterN2O)+('Mitigation drivers'!AG157*DigesterN2OEF))/100,0)</f>
        <v>0</v>
      </c>
      <c r="AM65" s="27">
        <f>IFERROR((('Mitigation drivers'!AH147*LagoonN2O)+('Mitigation drivers'!AH148*LiquidN2O)+('Mitigation drivers'!AH149*DrylotN2O)+('Mitigation drivers'!AH150*SolidStorageN2O)+('Mitigation drivers'!AH151*DailyspreadN2O)+('Mitigation drivers'!AH152*CompostN2O)+('Mitigation drivers'!AH153*ManwithbedN2O)+('Mitigation drivers'!AH154*PMwithoutlitterN2O)+('Mitigation drivers'!AH155*PMwithlitterN2O)+('Mitigation drivers'!AH157*DigesterN2OEF))/100,0)</f>
        <v>0</v>
      </c>
      <c r="AN65" s="27">
        <f>IFERROR((('Mitigation drivers'!AI147*LagoonN2O)+('Mitigation drivers'!AI148*LiquidN2O)+('Mitigation drivers'!AI149*DrylotN2O)+('Mitigation drivers'!AI150*SolidStorageN2O)+('Mitigation drivers'!AI151*DailyspreadN2O)+('Mitigation drivers'!AI152*CompostN2O)+('Mitigation drivers'!AI153*ManwithbedN2O)+('Mitigation drivers'!AI154*PMwithoutlitterN2O)+('Mitigation drivers'!AI155*PMwithlitterN2O)+('Mitigation drivers'!AI157*DigesterN2OEF))/100,0)</f>
        <v>0</v>
      </c>
      <c r="AO65" s="27">
        <f>IFERROR((('Mitigation drivers'!AJ147*LagoonN2O)+('Mitigation drivers'!AJ148*LiquidN2O)+('Mitigation drivers'!AJ149*DrylotN2O)+('Mitigation drivers'!AJ150*SolidStorageN2O)+('Mitigation drivers'!AJ151*DailyspreadN2O)+('Mitigation drivers'!AJ152*CompostN2O)+('Mitigation drivers'!AJ153*ManwithbedN2O)+('Mitigation drivers'!AJ154*PMwithoutlitterN2O)+('Mitigation drivers'!AJ155*PMwithlitterN2O)+('Mitigation drivers'!AJ157*DigesterN2OEF))/100,0)</f>
        <v>0</v>
      </c>
    </row>
    <row r="66" spans="1:41" x14ac:dyDescent="0.25">
      <c r="A66" t="str">
        <f t="shared" si="1"/>
        <v>3A Livestock</v>
      </c>
      <c r="B66" t="str">
        <f t="shared" si="8"/>
        <v>3A2 Manure management (N2O)</v>
      </c>
      <c r="C66" t="str">
        <f>'Activity data'!C17</f>
        <v>3A1h Swine</v>
      </c>
      <c r="D66" t="str">
        <f>'Activity data'!D17</f>
        <v>Commercial</v>
      </c>
      <c r="E66" t="str">
        <f t="shared" si="27"/>
        <v>Manure management EF</v>
      </c>
      <c r="F66" t="str">
        <f t="shared" si="28"/>
        <v>N2O</v>
      </c>
      <c r="G66" t="str">
        <f t="shared" si="29"/>
        <v>kg N2O-N/kg Nex</v>
      </c>
      <c r="H66" s="27">
        <f>(('Mitigation drivers'!C160*LagoonN2O)+('Mitigation drivers'!C161*LiquidN2O)+('Mitigation drivers'!C162*DrylotN2O)+('Mitigation drivers'!C163*SolidStorageN2O)+('Mitigation drivers'!C164*DailyspreadN2O)+('Mitigation drivers'!C165*CompostN2O)+('Mitigation drivers'!C166*ManwithbedN2O)+('Mitigation drivers'!C167*PMwithoutlitterN2O)+('Mitigation drivers'!C168*PMwithlitterN2O)+('Mitigation drivers'!C170*DigesterN2OEF))/100</f>
        <v>2.7200000000000002E-3</v>
      </c>
      <c r="I66" s="27">
        <f>(('Mitigation drivers'!D160*LagoonN2O)+('Mitigation drivers'!D161*LiquidN2O)+('Mitigation drivers'!D162*DrylotN2O)+('Mitigation drivers'!D163*SolidStorageN2O)+('Mitigation drivers'!D164*DailyspreadN2O)+('Mitigation drivers'!D165*CompostN2O)+('Mitigation drivers'!D166*ManwithbedN2O)+('Mitigation drivers'!D167*PMwithoutlitterN2O)+('Mitigation drivers'!D168*PMwithlitterN2O)+('Mitigation drivers'!D170*DigesterN2OEF))/100</f>
        <v>2.7200000000000002E-3</v>
      </c>
      <c r="J66" s="27">
        <f>(('Mitigation drivers'!E160*LagoonN2O)+('Mitigation drivers'!E161*LiquidN2O)+('Mitigation drivers'!E162*DrylotN2O)+('Mitigation drivers'!E163*SolidStorageN2O)+('Mitigation drivers'!E164*DailyspreadN2O)+('Mitigation drivers'!E165*CompostN2O)+('Mitigation drivers'!E166*ManwithbedN2O)+('Mitigation drivers'!E167*PMwithoutlitterN2O)+('Mitigation drivers'!E168*PMwithlitterN2O)+('Mitigation drivers'!E170*DigesterN2OEF))/100</f>
        <v>2.7200000000000002E-3</v>
      </c>
      <c r="K66" s="27">
        <f>(('Mitigation drivers'!F160*LagoonN2O)+('Mitigation drivers'!F161*LiquidN2O)+('Mitigation drivers'!F162*DrylotN2O)+('Mitigation drivers'!F163*SolidStorageN2O)+('Mitigation drivers'!F164*DailyspreadN2O)+('Mitigation drivers'!F165*CompostN2O)+('Mitigation drivers'!F166*ManwithbedN2O)+('Mitigation drivers'!F167*PMwithoutlitterN2O)+('Mitigation drivers'!F168*PMwithlitterN2O)+('Mitigation drivers'!F170*DigesterN2OEF))/100</f>
        <v>2.7200000000000002E-3</v>
      </c>
      <c r="L66" s="27">
        <f>(('Mitigation drivers'!G160*LagoonN2O)+('Mitigation drivers'!G161*LiquidN2O)+('Mitigation drivers'!G162*DrylotN2O)+('Mitigation drivers'!G163*SolidStorageN2O)+('Mitigation drivers'!G164*DailyspreadN2O)+('Mitigation drivers'!G165*CompostN2O)+('Mitigation drivers'!G166*ManwithbedN2O)+('Mitigation drivers'!G167*PMwithoutlitterN2O)+('Mitigation drivers'!G168*PMwithlitterN2O)+('Mitigation drivers'!G170*DigesterN2OEF))/100</f>
        <v>2.7200000000000002E-3</v>
      </c>
      <c r="M66" s="27">
        <f>(('Mitigation drivers'!H160*LagoonN2O)+('Mitigation drivers'!H161*LiquidN2O)+('Mitigation drivers'!H162*DrylotN2O)+('Mitigation drivers'!H163*SolidStorageN2O)+('Mitigation drivers'!H164*DailyspreadN2O)+('Mitigation drivers'!H165*CompostN2O)+('Mitigation drivers'!H166*ManwithbedN2O)+('Mitigation drivers'!H167*PMwithoutlitterN2O)+('Mitigation drivers'!H168*PMwithlitterN2O)+('Mitigation drivers'!H170*DigesterN2OEF))/100</f>
        <v>2.7200000000000002E-3</v>
      </c>
      <c r="N66" s="27">
        <f>(('Mitigation drivers'!I160*LagoonN2O)+('Mitigation drivers'!I161*LiquidN2O)+('Mitigation drivers'!I162*DrylotN2O)+('Mitigation drivers'!I163*SolidStorageN2O)+('Mitigation drivers'!I164*DailyspreadN2O)+('Mitigation drivers'!I165*CompostN2O)+('Mitigation drivers'!I166*ManwithbedN2O)+('Mitigation drivers'!I167*PMwithoutlitterN2O)+('Mitigation drivers'!I168*PMwithlitterN2O)+('Mitigation drivers'!I170*DigesterN2OEF))/100</f>
        <v>2.7200000000000002E-3</v>
      </c>
      <c r="O66" s="27">
        <f>(('Mitigation drivers'!J160*LagoonN2O)+('Mitigation drivers'!J161*LiquidN2O)+('Mitigation drivers'!J162*DrylotN2O)+('Mitigation drivers'!J163*SolidStorageN2O)+('Mitigation drivers'!J164*DailyspreadN2O)+('Mitigation drivers'!J165*CompostN2O)+('Mitigation drivers'!J166*ManwithbedN2O)+('Mitigation drivers'!J167*PMwithoutlitterN2O)+('Mitigation drivers'!J168*PMwithlitterN2O)+('Mitigation drivers'!J170*DigesterN2OEF))/100</f>
        <v>2.7200000000000002E-3</v>
      </c>
      <c r="P66" s="27">
        <f>(('Mitigation drivers'!K160*LagoonN2O)+('Mitigation drivers'!K161*LiquidN2O)+('Mitigation drivers'!K162*DrylotN2O)+('Mitigation drivers'!K163*SolidStorageN2O)+('Mitigation drivers'!K164*DailyspreadN2O)+('Mitigation drivers'!K165*CompostN2O)+('Mitigation drivers'!K166*ManwithbedN2O)+('Mitigation drivers'!K167*PMwithoutlitterN2O)+('Mitigation drivers'!K168*PMwithlitterN2O)+('Mitigation drivers'!K170*DigesterN2OEF))/100</f>
        <v>2.7200000000000002E-3</v>
      </c>
      <c r="Q66" s="27">
        <f>(('Mitigation drivers'!L160*LagoonN2O)+('Mitigation drivers'!L161*LiquidN2O)+('Mitigation drivers'!L162*DrylotN2O)+('Mitigation drivers'!L163*SolidStorageN2O)+('Mitigation drivers'!L164*DailyspreadN2O)+('Mitigation drivers'!L165*CompostN2O)+('Mitigation drivers'!L166*ManwithbedN2O)+('Mitigation drivers'!L167*PMwithoutlitterN2O)+('Mitigation drivers'!L168*PMwithlitterN2O)+('Mitigation drivers'!L170*DigesterN2OEF))/100</f>
        <v>2.7200000000000002E-3</v>
      </c>
      <c r="R66" s="27">
        <f>(('Mitigation drivers'!M160*LagoonN2O)+('Mitigation drivers'!M161*LiquidN2O)+('Mitigation drivers'!M162*DrylotN2O)+('Mitigation drivers'!M163*SolidStorageN2O)+('Mitigation drivers'!M164*DailyspreadN2O)+('Mitigation drivers'!M165*CompostN2O)+('Mitigation drivers'!M166*ManwithbedN2O)+('Mitigation drivers'!M167*PMwithoutlitterN2O)+('Mitigation drivers'!M168*PMwithlitterN2O)+('Mitigation drivers'!M170*DigesterN2OEF))/100</f>
        <v>2.7200000000000002E-3</v>
      </c>
      <c r="S66" s="27">
        <f>(('Mitigation drivers'!N160*LagoonN2O)+('Mitigation drivers'!N161*LiquidN2O)+('Mitigation drivers'!N162*DrylotN2O)+('Mitigation drivers'!N163*SolidStorageN2O)+('Mitigation drivers'!N164*DailyspreadN2O)+('Mitigation drivers'!N165*CompostN2O)+('Mitigation drivers'!N166*ManwithbedN2O)+('Mitigation drivers'!N167*PMwithoutlitterN2O)+('Mitigation drivers'!N168*PMwithlitterN2O)+('Mitigation drivers'!N170*DigesterN2OEF))/100</f>
        <v>2.7200000000000002E-3</v>
      </c>
      <c r="T66" s="27">
        <f>(('Mitigation drivers'!O160*LagoonN2O)+('Mitigation drivers'!O161*LiquidN2O)+('Mitigation drivers'!O162*DrylotN2O)+('Mitigation drivers'!O163*SolidStorageN2O)+('Mitigation drivers'!O164*DailyspreadN2O)+('Mitigation drivers'!O165*CompostN2O)+('Mitigation drivers'!O166*ManwithbedN2O)+('Mitigation drivers'!O167*PMwithoutlitterN2O)+('Mitigation drivers'!O168*PMwithlitterN2O)+('Mitigation drivers'!O170*DigesterN2OEF))/100</f>
        <v>2.7200000000000002E-3</v>
      </c>
      <c r="U66" s="27">
        <f>(('Mitigation drivers'!P160*LagoonN2O)+('Mitigation drivers'!P161*LiquidN2O)+('Mitigation drivers'!P162*DrylotN2O)+('Mitigation drivers'!P163*SolidStorageN2O)+('Mitigation drivers'!P164*DailyspreadN2O)+('Mitigation drivers'!P165*CompostN2O)+('Mitigation drivers'!P166*ManwithbedN2O)+('Mitigation drivers'!P167*PMwithoutlitterN2O)+('Mitigation drivers'!P168*PMwithlitterN2O)+('Mitigation drivers'!P170*DigesterN2OEF))/100</f>
        <v>2.7200000000000002E-3</v>
      </c>
      <c r="V66" s="27">
        <f>(('Mitigation drivers'!Q160*LagoonN2O)+('Mitigation drivers'!Q161*LiquidN2O)+('Mitigation drivers'!Q162*DrylotN2O)+('Mitigation drivers'!Q163*SolidStorageN2O)+('Mitigation drivers'!Q164*DailyspreadN2O)+('Mitigation drivers'!Q165*CompostN2O)+('Mitigation drivers'!Q166*ManwithbedN2O)+('Mitigation drivers'!Q167*PMwithoutlitterN2O)+('Mitigation drivers'!Q168*PMwithlitterN2O)+('Mitigation drivers'!Q170*DigesterN2OEF))/100</f>
        <v>2.7200000000000002E-3</v>
      </c>
      <c r="W66" s="27">
        <f>(('Mitigation drivers'!R160*LagoonN2O)+('Mitigation drivers'!R161*LiquidN2O)+('Mitigation drivers'!R162*DrylotN2O)+('Mitigation drivers'!R163*SolidStorageN2O)+('Mitigation drivers'!R164*DailyspreadN2O)+('Mitigation drivers'!R165*CompostN2O)+('Mitigation drivers'!R166*ManwithbedN2O)+('Mitigation drivers'!R167*PMwithoutlitterN2O)+('Mitigation drivers'!R168*PMwithlitterN2O)+('Mitigation drivers'!R170*DigesterN2OEF))/100</f>
        <v>2.7200000000000002E-3</v>
      </c>
      <c r="X66" s="27">
        <f>(('Mitigation drivers'!S160*LagoonN2O)+('Mitigation drivers'!S161*LiquidN2O)+('Mitigation drivers'!S162*DrylotN2O)+('Mitigation drivers'!S163*SolidStorageN2O)+('Mitigation drivers'!S164*DailyspreadN2O)+('Mitigation drivers'!S165*CompostN2O)+('Mitigation drivers'!S166*ManwithbedN2O)+('Mitigation drivers'!S167*PMwithoutlitterN2O)+('Mitigation drivers'!S168*PMwithlitterN2O)+('Mitigation drivers'!S170*DigesterN2OEF))/100</f>
        <v>2.7200000000000002E-3</v>
      </c>
      <c r="Y66" s="27">
        <f>(('Mitigation drivers'!T160*LagoonN2O)+('Mitigation drivers'!T161*LiquidN2O)+('Mitigation drivers'!T162*DrylotN2O)+('Mitigation drivers'!T163*SolidStorageN2O)+('Mitigation drivers'!T164*DailyspreadN2O)+('Mitigation drivers'!T165*CompostN2O)+('Mitigation drivers'!T166*ManwithbedN2O)+('Mitigation drivers'!T167*PMwithoutlitterN2O)+('Mitigation drivers'!T168*PMwithlitterN2O)+('Mitigation drivers'!T170*DigesterN2OEF))/100</f>
        <v>2.7200000000000002E-3</v>
      </c>
      <c r="Z66" s="27">
        <f>(('Mitigation drivers'!U160*LagoonN2O)+('Mitigation drivers'!U161*LiquidN2O)+('Mitigation drivers'!U162*DrylotN2O)+('Mitigation drivers'!U163*SolidStorageN2O)+('Mitigation drivers'!U164*DailyspreadN2O)+('Mitigation drivers'!U165*CompostN2O)+('Mitigation drivers'!U166*ManwithbedN2O)+('Mitigation drivers'!U167*PMwithoutlitterN2O)+('Mitigation drivers'!U168*PMwithlitterN2O)+('Mitigation drivers'!U170*DigesterN2OEF))/100</f>
        <v>2.7200000000000002E-3</v>
      </c>
      <c r="AA66" s="27">
        <f>(('Mitigation drivers'!V160*LagoonN2O)+('Mitigation drivers'!V161*LiquidN2O)+('Mitigation drivers'!V162*DrylotN2O)+('Mitigation drivers'!V163*SolidStorageN2O)+('Mitigation drivers'!V164*DailyspreadN2O)+('Mitigation drivers'!V165*CompostN2O)+('Mitigation drivers'!V166*ManwithbedN2O)+('Mitigation drivers'!V167*PMwithoutlitterN2O)+('Mitigation drivers'!V168*PMwithlitterN2O)+('Mitigation drivers'!V170*DigesterN2OEF))/100</f>
        <v>2.7200000000000002E-3</v>
      </c>
      <c r="AB66" s="27">
        <f>(('Mitigation drivers'!W160*LagoonN2O)+('Mitigation drivers'!W161*LiquidN2O)+('Mitigation drivers'!W162*DrylotN2O)+('Mitigation drivers'!W163*SolidStorageN2O)+('Mitigation drivers'!W164*DailyspreadN2O)+('Mitigation drivers'!W165*CompostN2O)+('Mitigation drivers'!W166*ManwithbedN2O)+('Mitigation drivers'!W167*PMwithoutlitterN2O)+('Mitigation drivers'!W168*PMwithlitterN2O)+('Mitigation drivers'!W170*DigesterN2OEF))/100</f>
        <v>2.7200000000000002E-3</v>
      </c>
      <c r="AC66" s="27">
        <f>(('Mitigation drivers'!X160*LagoonN2O)+('Mitigation drivers'!X161*LiquidN2O)+('Mitigation drivers'!X162*DrylotN2O)+('Mitigation drivers'!X163*SolidStorageN2O)+('Mitigation drivers'!X164*DailyspreadN2O)+('Mitigation drivers'!X165*CompostN2O)+('Mitigation drivers'!X166*ManwithbedN2O)+('Mitigation drivers'!X167*PMwithoutlitterN2O)+('Mitigation drivers'!X168*PMwithlitterN2O)+('Mitigation drivers'!X170*DigesterN2OEF))/100</f>
        <v>2.7200000000000002E-3</v>
      </c>
      <c r="AD66" s="27">
        <f>(('Mitigation drivers'!Y160*LagoonN2O)+('Mitigation drivers'!Y161*LiquidN2O)+('Mitigation drivers'!Y162*DrylotN2O)+('Mitigation drivers'!Y163*SolidStorageN2O)+('Mitigation drivers'!Y164*DailyspreadN2O)+('Mitigation drivers'!Y165*CompostN2O)+('Mitigation drivers'!Y166*ManwithbedN2O)+('Mitigation drivers'!Y167*PMwithoutlitterN2O)+('Mitigation drivers'!Y168*PMwithlitterN2O)+('Mitigation drivers'!Y170*DigesterN2OEF))/100</f>
        <v>2.7200000000000002E-3</v>
      </c>
      <c r="AE66" s="27">
        <f>(('Mitigation drivers'!Z160*LagoonN2O)+('Mitigation drivers'!Z161*LiquidN2O)+('Mitigation drivers'!Z162*DrylotN2O)+('Mitigation drivers'!Z163*SolidStorageN2O)+('Mitigation drivers'!Z164*DailyspreadN2O)+('Mitigation drivers'!Z165*CompostN2O)+('Mitigation drivers'!Z166*ManwithbedN2O)+('Mitigation drivers'!Z167*PMwithoutlitterN2O)+('Mitigation drivers'!Z168*PMwithlitterN2O)+('Mitigation drivers'!Z170*DigesterN2OEF))/100</f>
        <v>2.7200000000000002E-3</v>
      </c>
      <c r="AF66" s="27">
        <f>(('Mitigation drivers'!AA160*LagoonN2O)+('Mitigation drivers'!AA161*LiquidN2O)+('Mitigation drivers'!AA162*DrylotN2O)+('Mitigation drivers'!AA163*SolidStorageN2O)+('Mitigation drivers'!AA164*DailyspreadN2O)+('Mitigation drivers'!AA165*CompostN2O)+('Mitigation drivers'!AA166*ManwithbedN2O)+('Mitigation drivers'!AA167*PMwithoutlitterN2O)+('Mitigation drivers'!AA168*PMwithlitterN2O)+('Mitigation drivers'!AA170*DigesterN2OEF))/100</f>
        <v>2.7200000000000002E-3</v>
      </c>
      <c r="AG66" s="27">
        <f>(('Mitigation drivers'!AB160*LagoonN2O)+('Mitigation drivers'!AB161*LiquidN2O)+('Mitigation drivers'!AB162*DrylotN2O)+('Mitigation drivers'!AB163*SolidStorageN2O)+('Mitigation drivers'!AB164*DailyspreadN2O)+('Mitigation drivers'!AB165*CompostN2O)+('Mitigation drivers'!AB166*ManwithbedN2O)+('Mitigation drivers'!AB167*PMwithoutlitterN2O)+('Mitigation drivers'!AB168*PMwithlitterN2O)+('Mitigation drivers'!AB170*DigesterN2OEF))/100</f>
        <v>2.7200000000000002E-3</v>
      </c>
      <c r="AH66" s="27">
        <f>(('Mitigation drivers'!AC160*LagoonN2O)+('Mitigation drivers'!AC161*LiquidN2O)+('Mitigation drivers'!AC162*DrylotN2O)+('Mitigation drivers'!AC163*SolidStorageN2O)+('Mitigation drivers'!AC164*DailyspreadN2O)+('Mitigation drivers'!AC165*CompostN2O)+('Mitigation drivers'!AC166*ManwithbedN2O)+('Mitigation drivers'!AC167*PMwithoutlitterN2O)+('Mitigation drivers'!AC168*PMwithlitterN2O)+('Mitigation drivers'!AC170*DigesterN2OEF))/100</f>
        <v>2.7200000000000002E-3</v>
      </c>
      <c r="AI66" s="27">
        <f>(('Mitigation drivers'!AD160*LagoonN2O)+('Mitigation drivers'!AD161*LiquidN2O)+('Mitigation drivers'!AD162*DrylotN2O)+('Mitigation drivers'!AD163*SolidStorageN2O)+('Mitigation drivers'!AD164*DailyspreadN2O)+('Mitigation drivers'!AD165*CompostN2O)+('Mitigation drivers'!AD166*ManwithbedN2O)+('Mitigation drivers'!AD167*PMwithoutlitterN2O)+('Mitigation drivers'!AD168*PMwithlitterN2O)+('Mitigation drivers'!AD170*DigesterN2OEF))/100</f>
        <v>2.7200000000000002E-3</v>
      </c>
      <c r="AJ66" s="27">
        <f>(('Mitigation drivers'!AE160*LagoonN2O)+('Mitigation drivers'!AE161*LiquidN2O)+('Mitigation drivers'!AE162*DrylotN2O)+('Mitigation drivers'!AE163*SolidStorageN2O)+('Mitigation drivers'!AE164*DailyspreadN2O)+('Mitigation drivers'!AE165*CompostN2O)+('Mitigation drivers'!AE166*ManwithbedN2O)+('Mitigation drivers'!AE167*PMwithoutlitterN2O)+('Mitigation drivers'!AE168*PMwithlitterN2O)+('Mitigation drivers'!AE170*DigesterN2OEF))/100</f>
        <v>2.7200000000000002E-3</v>
      </c>
      <c r="AK66" s="27">
        <f>(('Mitigation drivers'!AF160*LagoonN2O)+('Mitigation drivers'!AF161*LiquidN2O)+('Mitigation drivers'!AF162*DrylotN2O)+('Mitigation drivers'!AF163*SolidStorageN2O)+('Mitigation drivers'!AF164*DailyspreadN2O)+('Mitigation drivers'!AF165*CompostN2O)+('Mitigation drivers'!AF166*ManwithbedN2O)+('Mitigation drivers'!AF167*PMwithoutlitterN2O)+('Mitigation drivers'!AF168*PMwithlitterN2O)+('Mitigation drivers'!AF170*DigesterN2OEF))/100</f>
        <v>2.7200000000000002E-3</v>
      </c>
      <c r="AL66" s="27">
        <f>(('Mitigation drivers'!AG160*LagoonN2O)+('Mitigation drivers'!AG161*LiquidN2O)+('Mitigation drivers'!AG162*DrylotN2O)+('Mitigation drivers'!AG163*SolidStorageN2O)+('Mitigation drivers'!AG164*DailyspreadN2O)+('Mitigation drivers'!AG165*CompostN2O)+('Mitigation drivers'!AG166*ManwithbedN2O)+('Mitigation drivers'!AG167*PMwithoutlitterN2O)+('Mitigation drivers'!AG168*PMwithlitterN2O)+('Mitigation drivers'!AG170*DigesterN2OEF))/100</f>
        <v>2.7200000000000002E-3</v>
      </c>
      <c r="AM66" s="27">
        <f>(('Mitigation drivers'!AH160*LagoonN2O)+('Mitigation drivers'!AH161*LiquidN2O)+('Mitigation drivers'!AH162*DrylotN2O)+('Mitigation drivers'!AH163*SolidStorageN2O)+('Mitigation drivers'!AH164*DailyspreadN2O)+('Mitigation drivers'!AH165*CompostN2O)+('Mitigation drivers'!AH166*ManwithbedN2O)+('Mitigation drivers'!AH167*PMwithoutlitterN2O)+('Mitigation drivers'!AH168*PMwithlitterN2O)+('Mitigation drivers'!AH170*DigesterN2OEF))/100</f>
        <v>2.7200000000000002E-3</v>
      </c>
      <c r="AN66" s="27">
        <f>(('Mitigation drivers'!AI160*LagoonN2O)+('Mitigation drivers'!AI161*LiquidN2O)+('Mitigation drivers'!AI162*DrylotN2O)+('Mitigation drivers'!AI163*SolidStorageN2O)+('Mitigation drivers'!AI164*DailyspreadN2O)+('Mitigation drivers'!AI165*CompostN2O)+('Mitigation drivers'!AI166*ManwithbedN2O)+('Mitigation drivers'!AI167*PMwithoutlitterN2O)+('Mitigation drivers'!AI168*PMwithlitterN2O)+('Mitigation drivers'!AI170*DigesterN2OEF))/100</f>
        <v>2.7200000000000002E-3</v>
      </c>
      <c r="AO66" s="27">
        <f>(('Mitigation drivers'!AJ160*LagoonN2O)+('Mitigation drivers'!AJ161*LiquidN2O)+('Mitigation drivers'!AJ162*DrylotN2O)+('Mitigation drivers'!AJ163*SolidStorageN2O)+('Mitigation drivers'!AJ164*DailyspreadN2O)+('Mitigation drivers'!AJ165*CompostN2O)+('Mitigation drivers'!AJ166*ManwithbedN2O)+('Mitigation drivers'!AJ167*PMwithoutlitterN2O)+('Mitigation drivers'!AJ168*PMwithlitterN2O)+('Mitigation drivers'!AJ170*DigesterN2OEF))/100</f>
        <v>2.7200000000000002E-3</v>
      </c>
    </row>
    <row r="67" spans="1:41" x14ac:dyDescent="0.25">
      <c r="A67" t="str">
        <f t="shared" si="1"/>
        <v>3A Livestock</v>
      </c>
      <c r="B67" t="str">
        <f t="shared" si="8"/>
        <v>3A2 Manure management (N2O)</v>
      </c>
      <c r="C67" t="str">
        <f>'Activity data'!C18</f>
        <v>3A1h Swine</v>
      </c>
      <c r="D67" t="str">
        <f>'Activity data'!D18</f>
        <v>Subsistence</v>
      </c>
      <c r="E67" t="str">
        <f t="shared" si="27"/>
        <v>Manure management EF</v>
      </c>
      <c r="F67" t="str">
        <f t="shared" si="28"/>
        <v>N2O</v>
      </c>
      <c r="G67" t="str">
        <f t="shared" si="29"/>
        <v>kg N2O-N/kg Nex</v>
      </c>
      <c r="H67" s="27">
        <f>(('Mitigation drivers'!C172*LagoonN2O)+('Mitigation drivers'!C173*LiquidN2O)+('Mitigation drivers'!C174*DrylotN2O)+('Mitigation drivers'!C175*SolidStorageN2O)+('Mitigation drivers'!C176*DailyspreadN2O)+('Mitigation drivers'!C177*CompostN2O)+('Mitigation drivers'!C178*ManwithbedN2O)+('Mitigation drivers'!C179*PMwithoutlitterN2O)+('Mitigation drivers'!C180*PMwithlitterN2O)+('Mitigation drivers'!C182*DigesterN2OEF))/100</f>
        <v>7.1200000000000005E-3</v>
      </c>
      <c r="I67" s="27">
        <f>(('Mitigation drivers'!D172*LagoonN2O)+('Mitigation drivers'!D173*LiquidN2O)+('Mitigation drivers'!D174*DrylotN2O)+('Mitigation drivers'!D175*SolidStorageN2O)+('Mitigation drivers'!D176*DailyspreadN2O)+('Mitigation drivers'!D177*CompostN2O)+('Mitigation drivers'!D178*ManwithbedN2O)+('Mitigation drivers'!D179*PMwithoutlitterN2O)+('Mitigation drivers'!D180*PMwithlitterN2O)+('Mitigation drivers'!D182*DigesterN2OEF))/100</f>
        <v>7.1200000000000005E-3</v>
      </c>
      <c r="J67" s="27">
        <f>(('Mitigation drivers'!E172*LagoonN2O)+('Mitigation drivers'!E173*LiquidN2O)+('Mitigation drivers'!E174*DrylotN2O)+('Mitigation drivers'!E175*SolidStorageN2O)+('Mitigation drivers'!E176*DailyspreadN2O)+('Mitigation drivers'!E177*CompostN2O)+('Mitigation drivers'!E178*ManwithbedN2O)+('Mitigation drivers'!E179*PMwithoutlitterN2O)+('Mitigation drivers'!E180*PMwithlitterN2O)+('Mitigation drivers'!E182*DigesterN2OEF))/100</f>
        <v>7.1200000000000005E-3</v>
      </c>
      <c r="K67" s="27">
        <f>(('Mitigation drivers'!F172*LagoonN2O)+('Mitigation drivers'!F173*LiquidN2O)+('Mitigation drivers'!F174*DrylotN2O)+('Mitigation drivers'!F175*SolidStorageN2O)+('Mitigation drivers'!F176*DailyspreadN2O)+('Mitigation drivers'!F177*CompostN2O)+('Mitigation drivers'!F178*ManwithbedN2O)+('Mitigation drivers'!F179*PMwithoutlitterN2O)+('Mitigation drivers'!F180*PMwithlitterN2O)+('Mitigation drivers'!F182*DigesterN2OEF))/100</f>
        <v>7.1200000000000005E-3</v>
      </c>
      <c r="L67" s="27">
        <f>(('Mitigation drivers'!G172*LagoonN2O)+('Mitigation drivers'!G173*LiquidN2O)+('Mitigation drivers'!G174*DrylotN2O)+('Mitigation drivers'!G175*SolidStorageN2O)+('Mitigation drivers'!G176*DailyspreadN2O)+('Mitigation drivers'!G177*CompostN2O)+('Mitigation drivers'!G178*ManwithbedN2O)+('Mitigation drivers'!G179*PMwithoutlitterN2O)+('Mitigation drivers'!G180*PMwithlitterN2O)+('Mitigation drivers'!G182*DigesterN2OEF))/100</f>
        <v>7.1200000000000005E-3</v>
      </c>
      <c r="M67" s="27">
        <f>(('Mitigation drivers'!H172*LagoonN2O)+('Mitigation drivers'!H173*LiquidN2O)+('Mitigation drivers'!H174*DrylotN2O)+('Mitigation drivers'!H175*SolidStorageN2O)+('Mitigation drivers'!H176*DailyspreadN2O)+('Mitigation drivers'!H177*CompostN2O)+('Mitigation drivers'!H178*ManwithbedN2O)+('Mitigation drivers'!H179*PMwithoutlitterN2O)+('Mitigation drivers'!H180*PMwithlitterN2O)+('Mitigation drivers'!H182*DigesterN2OEF))/100</f>
        <v>7.1200000000000005E-3</v>
      </c>
      <c r="N67" s="27">
        <f>(('Mitigation drivers'!I172*LagoonN2O)+('Mitigation drivers'!I173*LiquidN2O)+('Mitigation drivers'!I174*DrylotN2O)+('Mitigation drivers'!I175*SolidStorageN2O)+('Mitigation drivers'!I176*DailyspreadN2O)+('Mitigation drivers'!I177*CompostN2O)+('Mitigation drivers'!I178*ManwithbedN2O)+('Mitigation drivers'!I179*PMwithoutlitterN2O)+('Mitigation drivers'!I180*PMwithlitterN2O)+('Mitigation drivers'!I182*DigesterN2OEF))/100</f>
        <v>7.1200000000000005E-3</v>
      </c>
      <c r="O67" s="27">
        <f>(('Mitigation drivers'!J172*LagoonN2O)+('Mitigation drivers'!J173*LiquidN2O)+('Mitigation drivers'!J174*DrylotN2O)+('Mitigation drivers'!J175*SolidStorageN2O)+('Mitigation drivers'!J176*DailyspreadN2O)+('Mitigation drivers'!J177*CompostN2O)+('Mitigation drivers'!J178*ManwithbedN2O)+('Mitigation drivers'!J179*PMwithoutlitterN2O)+('Mitigation drivers'!J180*PMwithlitterN2O)+('Mitigation drivers'!J182*DigesterN2OEF))/100</f>
        <v>7.1200000000000005E-3</v>
      </c>
      <c r="P67" s="27">
        <f>(('Mitigation drivers'!K172*LagoonN2O)+('Mitigation drivers'!K173*LiquidN2O)+('Mitigation drivers'!K174*DrylotN2O)+('Mitigation drivers'!K175*SolidStorageN2O)+('Mitigation drivers'!K176*DailyspreadN2O)+('Mitigation drivers'!K177*CompostN2O)+('Mitigation drivers'!K178*ManwithbedN2O)+('Mitigation drivers'!K179*PMwithoutlitterN2O)+('Mitigation drivers'!K180*PMwithlitterN2O)+('Mitigation drivers'!K182*DigesterN2OEF))/100</f>
        <v>7.1200000000000005E-3</v>
      </c>
      <c r="Q67" s="27">
        <f>(('Mitigation drivers'!L172*LagoonN2O)+('Mitigation drivers'!L173*LiquidN2O)+('Mitigation drivers'!L174*DrylotN2O)+('Mitigation drivers'!L175*SolidStorageN2O)+('Mitigation drivers'!L176*DailyspreadN2O)+('Mitigation drivers'!L177*CompostN2O)+('Mitigation drivers'!L178*ManwithbedN2O)+('Mitigation drivers'!L179*PMwithoutlitterN2O)+('Mitigation drivers'!L180*PMwithlitterN2O)+('Mitigation drivers'!L182*DigesterN2OEF))/100</f>
        <v>7.1200000000000005E-3</v>
      </c>
      <c r="R67" s="27">
        <f>(('Mitigation drivers'!M172*LagoonN2O)+('Mitigation drivers'!M173*LiquidN2O)+('Mitigation drivers'!M174*DrylotN2O)+('Mitigation drivers'!M175*SolidStorageN2O)+('Mitigation drivers'!M176*DailyspreadN2O)+('Mitigation drivers'!M177*CompostN2O)+('Mitigation drivers'!M178*ManwithbedN2O)+('Mitigation drivers'!M179*PMwithoutlitterN2O)+('Mitigation drivers'!M180*PMwithlitterN2O)+('Mitigation drivers'!M182*DigesterN2OEF))/100</f>
        <v>7.1200000000000005E-3</v>
      </c>
      <c r="S67" s="27">
        <f>(('Mitigation drivers'!N172*LagoonN2O)+('Mitigation drivers'!N173*LiquidN2O)+('Mitigation drivers'!N174*DrylotN2O)+('Mitigation drivers'!N175*SolidStorageN2O)+('Mitigation drivers'!N176*DailyspreadN2O)+('Mitigation drivers'!N177*CompostN2O)+('Mitigation drivers'!N178*ManwithbedN2O)+('Mitigation drivers'!N179*PMwithoutlitterN2O)+('Mitigation drivers'!N180*PMwithlitterN2O)+('Mitigation drivers'!N182*DigesterN2OEF))/100</f>
        <v>7.1200000000000005E-3</v>
      </c>
      <c r="T67" s="27">
        <f>(('Mitigation drivers'!O172*LagoonN2O)+('Mitigation drivers'!O173*LiquidN2O)+('Mitigation drivers'!O174*DrylotN2O)+('Mitigation drivers'!O175*SolidStorageN2O)+('Mitigation drivers'!O176*DailyspreadN2O)+('Mitigation drivers'!O177*CompostN2O)+('Mitigation drivers'!O178*ManwithbedN2O)+('Mitigation drivers'!O179*PMwithoutlitterN2O)+('Mitigation drivers'!O180*PMwithlitterN2O)+('Mitigation drivers'!O182*DigesterN2OEF))/100</f>
        <v>7.1200000000000005E-3</v>
      </c>
      <c r="U67" s="27">
        <f>(('Mitigation drivers'!P172*LagoonN2O)+('Mitigation drivers'!P173*LiquidN2O)+('Mitigation drivers'!P174*DrylotN2O)+('Mitigation drivers'!P175*SolidStorageN2O)+('Mitigation drivers'!P176*DailyspreadN2O)+('Mitigation drivers'!P177*CompostN2O)+('Mitigation drivers'!P178*ManwithbedN2O)+('Mitigation drivers'!P179*PMwithoutlitterN2O)+('Mitigation drivers'!P180*PMwithlitterN2O)+('Mitigation drivers'!P182*DigesterN2OEF))/100</f>
        <v>7.1200000000000005E-3</v>
      </c>
      <c r="V67" s="27">
        <f>(('Mitigation drivers'!Q172*LagoonN2O)+('Mitigation drivers'!Q173*LiquidN2O)+('Mitigation drivers'!Q174*DrylotN2O)+('Mitigation drivers'!Q175*SolidStorageN2O)+('Mitigation drivers'!Q176*DailyspreadN2O)+('Mitigation drivers'!Q177*CompostN2O)+('Mitigation drivers'!Q178*ManwithbedN2O)+('Mitigation drivers'!Q179*PMwithoutlitterN2O)+('Mitigation drivers'!Q180*PMwithlitterN2O)+('Mitigation drivers'!Q182*DigesterN2OEF))/100</f>
        <v>7.1200000000000005E-3</v>
      </c>
      <c r="W67" s="27">
        <f>(('Mitigation drivers'!R172*LagoonN2O)+('Mitigation drivers'!R173*LiquidN2O)+('Mitigation drivers'!R174*DrylotN2O)+('Mitigation drivers'!R175*SolidStorageN2O)+('Mitigation drivers'!R176*DailyspreadN2O)+('Mitigation drivers'!R177*CompostN2O)+('Mitigation drivers'!R178*ManwithbedN2O)+('Mitigation drivers'!R179*PMwithoutlitterN2O)+('Mitigation drivers'!R180*PMwithlitterN2O)+('Mitigation drivers'!R182*DigesterN2OEF))/100</f>
        <v>7.1200000000000005E-3</v>
      </c>
      <c r="X67" s="27">
        <f>(('Mitigation drivers'!S172*LagoonN2O)+('Mitigation drivers'!S173*LiquidN2O)+('Mitigation drivers'!S174*DrylotN2O)+('Mitigation drivers'!S175*SolidStorageN2O)+('Mitigation drivers'!S176*DailyspreadN2O)+('Mitigation drivers'!S177*CompostN2O)+('Mitigation drivers'!S178*ManwithbedN2O)+('Mitigation drivers'!S179*PMwithoutlitterN2O)+('Mitigation drivers'!S180*PMwithlitterN2O)+('Mitigation drivers'!S182*DigesterN2OEF))/100</f>
        <v>7.1200000000000005E-3</v>
      </c>
      <c r="Y67" s="27">
        <f>(('Mitigation drivers'!T172*LagoonN2O)+('Mitigation drivers'!T173*LiquidN2O)+('Mitigation drivers'!T174*DrylotN2O)+('Mitigation drivers'!T175*SolidStorageN2O)+('Mitigation drivers'!T176*DailyspreadN2O)+('Mitigation drivers'!T177*CompostN2O)+('Mitigation drivers'!T178*ManwithbedN2O)+('Mitigation drivers'!T179*PMwithoutlitterN2O)+('Mitigation drivers'!T180*PMwithlitterN2O)+('Mitigation drivers'!T182*DigesterN2OEF))/100</f>
        <v>7.1200000000000005E-3</v>
      </c>
      <c r="Z67" s="27">
        <f>(('Mitigation drivers'!U172*LagoonN2O)+('Mitigation drivers'!U173*LiquidN2O)+('Mitigation drivers'!U174*DrylotN2O)+('Mitigation drivers'!U175*SolidStorageN2O)+('Mitigation drivers'!U176*DailyspreadN2O)+('Mitigation drivers'!U177*CompostN2O)+('Mitigation drivers'!U178*ManwithbedN2O)+('Mitigation drivers'!U179*PMwithoutlitterN2O)+('Mitigation drivers'!U180*PMwithlitterN2O)+('Mitigation drivers'!U182*DigesterN2OEF))/100</f>
        <v>7.1200000000000005E-3</v>
      </c>
      <c r="AA67" s="27">
        <f>(('Mitigation drivers'!V172*LagoonN2O)+('Mitigation drivers'!V173*LiquidN2O)+('Mitigation drivers'!V174*DrylotN2O)+('Mitigation drivers'!V175*SolidStorageN2O)+('Mitigation drivers'!V176*DailyspreadN2O)+('Mitigation drivers'!V177*CompostN2O)+('Mitigation drivers'!V178*ManwithbedN2O)+('Mitigation drivers'!V179*PMwithoutlitterN2O)+('Mitigation drivers'!V180*PMwithlitterN2O)+('Mitigation drivers'!V182*DigesterN2OEF))/100</f>
        <v>7.1200000000000005E-3</v>
      </c>
      <c r="AB67" s="27">
        <f>(('Mitigation drivers'!W172*LagoonN2O)+('Mitigation drivers'!W173*LiquidN2O)+('Mitigation drivers'!W174*DrylotN2O)+('Mitigation drivers'!W175*SolidStorageN2O)+('Mitigation drivers'!W176*DailyspreadN2O)+('Mitigation drivers'!W177*CompostN2O)+('Mitigation drivers'!W178*ManwithbedN2O)+('Mitigation drivers'!W179*PMwithoutlitterN2O)+('Mitigation drivers'!W180*PMwithlitterN2O)+('Mitigation drivers'!W182*DigesterN2OEF))/100</f>
        <v>7.1200000000000005E-3</v>
      </c>
      <c r="AC67" s="27">
        <f>(('Mitigation drivers'!X172*LagoonN2O)+('Mitigation drivers'!X173*LiquidN2O)+('Mitigation drivers'!X174*DrylotN2O)+('Mitigation drivers'!X175*SolidStorageN2O)+('Mitigation drivers'!X176*DailyspreadN2O)+('Mitigation drivers'!X177*CompostN2O)+('Mitigation drivers'!X178*ManwithbedN2O)+('Mitigation drivers'!X179*PMwithoutlitterN2O)+('Mitigation drivers'!X180*PMwithlitterN2O)+('Mitigation drivers'!X182*DigesterN2OEF))/100</f>
        <v>7.1200000000000005E-3</v>
      </c>
      <c r="AD67" s="27">
        <f>(('Mitigation drivers'!Y172*LagoonN2O)+('Mitigation drivers'!Y173*LiquidN2O)+('Mitigation drivers'!Y174*DrylotN2O)+('Mitigation drivers'!Y175*SolidStorageN2O)+('Mitigation drivers'!Y176*DailyspreadN2O)+('Mitigation drivers'!Y177*CompostN2O)+('Mitigation drivers'!Y178*ManwithbedN2O)+('Mitigation drivers'!Y179*PMwithoutlitterN2O)+('Mitigation drivers'!Y180*PMwithlitterN2O)+('Mitigation drivers'!Y182*DigesterN2OEF))/100</f>
        <v>7.1200000000000005E-3</v>
      </c>
      <c r="AE67" s="27">
        <f>(('Mitigation drivers'!Z172*LagoonN2O)+('Mitigation drivers'!Z173*LiquidN2O)+('Mitigation drivers'!Z174*DrylotN2O)+('Mitigation drivers'!Z175*SolidStorageN2O)+('Mitigation drivers'!Z176*DailyspreadN2O)+('Mitigation drivers'!Z177*CompostN2O)+('Mitigation drivers'!Z178*ManwithbedN2O)+('Mitigation drivers'!Z179*PMwithoutlitterN2O)+('Mitigation drivers'!Z180*PMwithlitterN2O)+('Mitigation drivers'!Z182*DigesterN2OEF))/100</f>
        <v>7.1200000000000005E-3</v>
      </c>
      <c r="AF67" s="27">
        <f>(('Mitigation drivers'!AA172*LagoonN2O)+('Mitigation drivers'!AA173*LiquidN2O)+('Mitigation drivers'!AA174*DrylotN2O)+('Mitigation drivers'!AA175*SolidStorageN2O)+('Mitigation drivers'!AA176*DailyspreadN2O)+('Mitigation drivers'!AA177*CompostN2O)+('Mitigation drivers'!AA178*ManwithbedN2O)+('Mitigation drivers'!AA179*PMwithoutlitterN2O)+('Mitigation drivers'!AA180*PMwithlitterN2O)+('Mitigation drivers'!AA182*DigesterN2OEF))/100</f>
        <v>7.1200000000000005E-3</v>
      </c>
      <c r="AG67" s="27">
        <f>(('Mitigation drivers'!AB172*LagoonN2O)+('Mitigation drivers'!AB173*LiquidN2O)+('Mitigation drivers'!AB174*DrylotN2O)+('Mitigation drivers'!AB175*SolidStorageN2O)+('Mitigation drivers'!AB176*DailyspreadN2O)+('Mitigation drivers'!AB177*CompostN2O)+('Mitigation drivers'!AB178*ManwithbedN2O)+('Mitigation drivers'!AB179*PMwithoutlitterN2O)+('Mitigation drivers'!AB180*PMwithlitterN2O)+('Mitigation drivers'!AB182*DigesterN2OEF))/100</f>
        <v>7.1200000000000005E-3</v>
      </c>
      <c r="AH67" s="27">
        <f>(('Mitigation drivers'!AC172*LagoonN2O)+('Mitigation drivers'!AC173*LiquidN2O)+('Mitigation drivers'!AC174*DrylotN2O)+('Mitigation drivers'!AC175*SolidStorageN2O)+('Mitigation drivers'!AC176*DailyspreadN2O)+('Mitigation drivers'!AC177*CompostN2O)+('Mitigation drivers'!AC178*ManwithbedN2O)+('Mitigation drivers'!AC179*PMwithoutlitterN2O)+('Mitigation drivers'!AC180*PMwithlitterN2O)+('Mitigation drivers'!AC182*DigesterN2OEF))/100</f>
        <v>7.1200000000000005E-3</v>
      </c>
      <c r="AI67" s="27">
        <f>(('Mitigation drivers'!AD172*LagoonN2O)+('Mitigation drivers'!AD173*LiquidN2O)+('Mitigation drivers'!AD174*DrylotN2O)+('Mitigation drivers'!AD175*SolidStorageN2O)+('Mitigation drivers'!AD176*DailyspreadN2O)+('Mitigation drivers'!AD177*CompostN2O)+('Mitigation drivers'!AD178*ManwithbedN2O)+('Mitigation drivers'!AD179*PMwithoutlitterN2O)+('Mitigation drivers'!AD180*PMwithlitterN2O)+('Mitigation drivers'!AD182*DigesterN2OEF))/100</f>
        <v>7.1200000000000005E-3</v>
      </c>
      <c r="AJ67" s="27">
        <f>(('Mitigation drivers'!AE172*LagoonN2O)+('Mitigation drivers'!AE173*LiquidN2O)+('Mitigation drivers'!AE174*DrylotN2O)+('Mitigation drivers'!AE175*SolidStorageN2O)+('Mitigation drivers'!AE176*DailyspreadN2O)+('Mitigation drivers'!AE177*CompostN2O)+('Mitigation drivers'!AE178*ManwithbedN2O)+('Mitigation drivers'!AE179*PMwithoutlitterN2O)+('Mitigation drivers'!AE180*PMwithlitterN2O)+('Mitigation drivers'!AE182*DigesterN2OEF))/100</f>
        <v>7.1200000000000005E-3</v>
      </c>
      <c r="AK67" s="27">
        <f>(('Mitigation drivers'!AF172*LagoonN2O)+('Mitigation drivers'!AF173*LiquidN2O)+('Mitigation drivers'!AF174*DrylotN2O)+('Mitigation drivers'!AF175*SolidStorageN2O)+('Mitigation drivers'!AF176*DailyspreadN2O)+('Mitigation drivers'!AF177*CompostN2O)+('Mitigation drivers'!AF178*ManwithbedN2O)+('Mitigation drivers'!AF179*PMwithoutlitterN2O)+('Mitigation drivers'!AF180*PMwithlitterN2O)+('Mitigation drivers'!AF182*DigesterN2OEF))/100</f>
        <v>7.1200000000000005E-3</v>
      </c>
      <c r="AL67" s="27">
        <f>(('Mitigation drivers'!AG172*LagoonN2O)+('Mitigation drivers'!AG173*LiquidN2O)+('Mitigation drivers'!AG174*DrylotN2O)+('Mitigation drivers'!AG175*SolidStorageN2O)+('Mitigation drivers'!AG176*DailyspreadN2O)+('Mitigation drivers'!AG177*CompostN2O)+('Mitigation drivers'!AG178*ManwithbedN2O)+('Mitigation drivers'!AG179*PMwithoutlitterN2O)+('Mitigation drivers'!AG180*PMwithlitterN2O)+('Mitigation drivers'!AG182*DigesterN2OEF))/100</f>
        <v>7.1200000000000005E-3</v>
      </c>
      <c r="AM67" s="27">
        <f>(('Mitigation drivers'!AH172*LagoonN2O)+('Mitigation drivers'!AH173*LiquidN2O)+('Mitigation drivers'!AH174*DrylotN2O)+('Mitigation drivers'!AH175*SolidStorageN2O)+('Mitigation drivers'!AH176*DailyspreadN2O)+('Mitigation drivers'!AH177*CompostN2O)+('Mitigation drivers'!AH178*ManwithbedN2O)+('Mitigation drivers'!AH179*PMwithoutlitterN2O)+('Mitigation drivers'!AH180*PMwithlitterN2O)+('Mitigation drivers'!AH182*DigesterN2OEF))/100</f>
        <v>7.1200000000000005E-3</v>
      </c>
      <c r="AN67" s="27">
        <f>(('Mitigation drivers'!AI172*LagoonN2O)+('Mitigation drivers'!AI173*LiquidN2O)+('Mitigation drivers'!AI174*DrylotN2O)+('Mitigation drivers'!AI175*SolidStorageN2O)+('Mitigation drivers'!AI176*DailyspreadN2O)+('Mitigation drivers'!AI177*CompostN2O)+('Mitigation drivers'!AI178*ManwithbedN2O)+('Mitigation drivers'!AI179*PMwithoutlitterN2O)+('Mitigation drivers'!AI180*PMwithlitterN2O)+('Mitigation drivers'!AI182*DigesterN2OEF))/100</f>
        <v>7.1200000000000005E-3</v>
      </c>
      <c r="AO67" s="27">
        <f>(('Mitigation drivers'!AJ172*LagoonN2O)+('Mitigation drivers'!AJ173*LiquidN2O)+('Mitigation drivers'!AJ174*DrylotN2O)+('Mitigation drivers'!AJ175*SolidStorageN2O)+('Mitigation drivers'!AJ176*DailyspreadN2O)+('Mitigation drivers'!AJ177*CompostN2O)+('Mitigation drivers'!AJ178*ManwithbedN2O)+('Mitigation drivers'!AJ179*PMwithoutlitterN2O)+('Mitigation drivers'!AJ180*PMwithlitterN2O)+('Mitigation drivers'!AJ182*DigesterN2OEF))/100</f>
        <v>7.1200000000000005E-3</v>
      </c>
    </row>
    <row r="68" spans="1:41" x14ac:dyDescent="0.25">
      <c r="A68" t="str">
        <f t="shared" si="1"/>
        <v>3A Livestock</v>
      </c>
      <c r="B68" t="str">
        <f t="shared" si="8"/>
        <v>3A2 Manure management (N2O)</v>
      </c>
      <c r="C68" t="str">
        <f>'Activity data'!C19</f>
        <v>3A2i Poultry</v>
      </c>
      <c r="D68" t="str">
        <f>'Activity data'!D19</f>
        <v>Commercial layers</v>
      </c>
      <c r="E68" t="str">
        <f t="shared" si="27"/>
        <v>Manure management EF</v>
      </c>
      <c r="F68" t="str">
        <f t="shared" si="28"/>
        <v>N2O</v>
      </c>
      <c r="G68" t="str">
        <f t="shared" si="29"/>
        <v>kg N2O-N/kg Nex</v>
      </c>
      <c r="H68" s="27">
        <f>(('Mitigation drivers'!C185*LagoonN2O)+('Mitigation drivers'!C186*LiquidN2O)+('Mitigation drivers'!C187*DrylotN2O)+('Mitigation drivers'!C188*SolidStorageN2O)+('Mitigation drivers'!C189*DailyspreadN2O)+('Mitigation drivers'!C190*CompostN2O)+('Mitigation drivers'!C191*ManwithbedN2O)+('Mitigation drivers'!C192*PMwithoutlitterN2O)+('Mitigation drivers'!C193*PMwithlitterN2O)+('Mitigation drivers'!C195*DigesterN2OEF))/100</f>
        <v>1.4700000000000001E-2</v>
      </c>
      <c r="I68" s="27">
        <f>(('Mitigation drivers'!D185*LagoonN2O)+('Mitigation drivers'!D186*LiquidN2O)+('Mitigation drivers'!D187*DrylotN2O)+('Mitigation drivers'!D188*SolidStorageN2O)+('Mitigation drivers'!D189*DailyspreadN2O)+('Mitigation drivers'!D190*CompostN2O)+('Mitigation drivers'!D191*ManwithbedN2O)+('Mitigation drivers'!D192*PMwithoutlitterN2O)+('Mitigation drivers'!D193*PMwithlitterN2O)+('Mitigation drivers'!D195*DigesterN2OEF))/100</f>
        <v>1.4700000000000001E-2</v>
      </c>
      <c r="J68" s="27">
        <f>(('Mitigation drivers'!E185*LagoonN2O)+('Mitigation drivers'!E186*LiquidN2O)+('Mitigation drivers'!E187*DrylotN2O)+('Mitigation drivers'!E188*SolidStorageN2O)+('Mitigation drivers'!E189*DailyspreadN2O)+('Mitigation drivers'!E190*CompostN2O)+('Mitigation drivers'!E191*ManwithbedN2O)+('Mitigation drivers'!E192*PMwithoutlitterN2O)+('Mitigation drivers'!E193*PMwithlitterN2O)+('Mitigation drivers'!E195*DigesterN2OEF))/100</f>
        <v>1.4700000000000001E-2</v>
      </c>
      <c r="K68" s="27">
        <f>(('Mitigation drivers'!F185*LagoonN2O)+('Mitigation drivers'!F186*LiquidN2O)+('Mitigation drivers'!F187*DrylotN2O)+('Mitigation drivers'!F188*SolidStorageN2O)+('Mitigation drivers'!F189*DailyspreadN2O)+('Mitigation drivers'!F190*CompostN2O)+('Mitigation drivers'!F191*ManwithbedN2O)+('Mitigation drivers'!F192*PMwithoutlitterN2O)+('Mitigation drivers'!F193*PMwithlitterN2O)+('Mitigation drivers'!F195*DigesterN2OEF))/100</f>
        <v>1.4700000000000001E-2</v>
      </c>
      <c r="L68" s="27">
        <f>(('Mitigation drivers'!G185*LagoonN2O)+('Mitigation drivers'!G186*LiquidN2O)+('Mitigation drivers'!G187*DrylotN2O)+('Mitigation drivers'!G188*SolidStorageN2O)+('Mitigation drivers'!G189*DailyspreadN2O)+('Mitigation drivers'!G190*CompostN2O)+('Mitigation drivers'!G191*ManwithbedN2O)+('Mitigation drivers'!G192*PMwithoutlitterN2O)+('Mitigation drivers'!G193*PMwithlitterN2O)+('Mitigation drivers'!G195*DigesterN2OEF))/100</f>
        <v>1.4700000000000001E-2</v>
      </c>
      <c r="M68" s="27">
        <f>(('Mitigation drivers'!H185*LagoonN2O)+('Mitigation drivers'!H186*LiquidN2O)+('Mitigation drivers'!H187*DrylotN2O)+('Mitigation drivers'!H188*SolidStorageN2O)+('Mitigation drivers'!H189*DailyspreadN2O)+('Mitigation drivers'!H190*CompostN2O)+('Mitigation drivers'!H191*ManwithbedN2O)+('Mitigation drivers'!H192*PMwithoutlitterN2O)+('Mitigation drivers'!H193*PMwithlitterN2O)+('Mitigation drivers'!H195*DigesterN2OEF))/100</f>
        <v>1.4700000000000001E-2</v>
      </c>
      <c r="N68" s="27">
        <f>(('Mitigation drivers'!I185*LagoonN2O)+('Mitigation drivers'!I186*LiquidN2O)+('Mitigation drivers'!I187*DrylotN2O)+('Mitigation drivers'!I188*SolidStorageN2O)+('Mitigation drivers'!I189*DailyspreadN2O)+('Mitigation drivers'!I190*CompostN2O)+('Mitigation drivers'!I191*ManwithbedN2O)+('Mitigation drivers'!I192*PMwithoutlitterN2O)+('Mitigation drivers'!I193*PMwithlitterN2O)+('Mitigation drivers'!I195*DigesterN2OEF))/100</f>
        <v>1.4700000000000001E-2</v>
      </c>
      <c r="O68" s="27">
        <f>(('Mitigation drivers'!J185*LagoonN2O)+('Mitigation drivers'!J186*LiquidN2O)+('Mitigation drivers'!J187*DrylotN2O)+('Mitigation drivers'!J188*SolidStorageN2O)+('Mitigation drivers'!J189*DailyspreadN2O)+('Mitigation drivers'!J190*CompostN2O)+('Mitigation drivers'!J191*ManwithbedN2O)+('Mitigation drivers'!J192*PMwithoutlitterN2O)+('Mitigation drivers'!J193*PMwithlitterN2O)+('Mitigation drivers'!J195*DigesterN2OEF))/100</f>
        <v>1.4700000000000001E-2</v>
      </c>
      <c r="P68" s="27">
        <f>(('Mitigation drivers'!K185*LagoonN2O)+('Mitigation drivers'!K186*LiquidN2O)+('Mitigation drivers'!K187*DrylotN2O)+('Mitigation drivers'!K188*SolidStorageN2O)+('Mitigation drivers'!K189*DailyspreadN2O)+('Mitigation drivers'!K190*CompostN2O)+('Mitigation drivers'!K191*ManwithbedN2O)+('Mitigation drivers'!K192*PMwithoutlitterN2O)+('Mitigation drivers'!K193*PMwithlitterN2O)+('Mitigation drivers'!K195*DigesterN2OEF))/100</f>
        <v>1.4700000000000001E-2</v>
      </c>
      <c r="Q68" s="27">
        <f>(('Mitigation drivers'!L185*LagoonN2O)+('Mitigation drivers'!L186*LiquidN2O)+('Mitigation drivers'!L187*DrylotN2O)+('Mitigation drivers'!L188*SolidStorageN2O)+('Mitigation drivers'!L189*DailyspreadN2O)+('Mitigation drivers'!L190*CompostN2O)+('Mitigation drivers'!L191*ManwithbedN2O)+('Mitigation drivers'!L192*PMwithoutlitterN2O)+('Mitigation drivers'!L193*PMwithlitterN2O)+('Mitigation drivers'!L195*DigesterN2OEF))/100</f>
        <v>1.4700000000000001E-2</v>
      </c>
      <c r="R68" s="27">
        <f>(('Mitigation drivers'!M185*LagoonN2O)+('Mitigation drivers'!M186*LiquidN2O)+('Mitigation drivers'!M187*DrylotN2O)+('Mitigation drivers'!M188*SolidStorageN2O)+('Mitigation drivers'!M189*DailyspreadN2O)+('Mitigation drivers'!M190*CompostN2O)+('Mitigation drivers'!M191*ManwithbedN2O)+('Mitigation drivers'!M192*PMwithoutlitterN2O)+('Mitigation drivers'!M193*PMwithlitterN2O)+('Mitigation drivers'!M195*DigesterN2OEF))/100</f>
        <v>1.4700000000000001E-2</v>
      </c>
      <c r="S68" s="27">
        <f>(('Mitigation drivers'!N185*LagoonN2O)+('Mitigation drivers'!N186*LiquidN2O)+('Mitigation drivers'!N187*DrylotN2O)+('Mitigation drivers'!N188*SolidStorageN2O)+('Mitigation drivers'!N189*DailyspreadN2O)+('Mitigation drivers'!N190*CompostN2O)+('Mitigation drivers'!N191*ManwithbedN2O)+('Mitigation drivers'!N192*PMwithoutlitterN2O)+('Mitigation drivers'!N193*PMwithlitterN2O)+('Mitigation drivers'!N195*DigesterN2OEF))/100</f>
        <v>1.4700000000000001E-2</v>
      </c>
      <c r="T68" s="27">
        <f>(('Mitigation drivers'!O185*LagoonN2O)+('Mitigation drivers'!O186*LiquidN2O)+('Mitigation drivers'!O187*DrylotN2O)+('Mitigation drivers'!O188*SolidStorageN2O)+('Mitigation drivers'!O189*DailyspreadN2O)+('Mitigation drivers'!O190*CompostN2O)+('Mitigation drivers'!O191*ManwithbedN2O)+('Mitigation drivers'!O192*PMwithoutlitterN2O)+('Mitigation drivers'!O193*PMwithlitterN2O)+('Mitigation drivers'!O195*DigesterN2OEF))/100</f>
        <v>1.4700000000000001E-2</v>
      </c>
      <c r="U68" s="27">
        <f>(('Mitigation drivers'!P185*LagoonN2O)+('Mitigation drivers'!P186*LiquidN2O)+('Mitigation drivers'!P187*DrylotN2O)+('Mitigation drivers'!P188*SolidStorageN2O)+('Mitigation drivers'!P189*DailyspreadN2O)+('Mitigation drivers'!P190*CompostN2O)+('Mitigation drivers'!P191*ManwithbedN2O)+('Mitigation drivers'!P192*PMwithoutlitterN2O)+('Mitigation drivers'!P193*PMwithlitterN2O)+('Mitigation drivers'!P195*DigesterN2OEF))/100</f>
        <v>1.4700000000000001E-2</v>
      </c>
      <c r="V68" s="27">
        <f>(('Mitigation drivers'!Q185*LagoonN2O)+('Mitigation drivers'!Q186*LiquidN2O)+('Mitigation drivers'!Q187*DrylotN2O)+('Mitigation drivers'!Q188*SolidStorageN2O)+('Mitigation drivers'!Q189*DailyspreadN2O)+('Mitigation drivers'!Q190*CompostN2O)+('Mitigation drivers'!Q191*ManwithbedN2O)+('Mitigation drivers'!Q192*PMwithoutlitterN2O)+('Mitigation drivers'!Q193*PMwithlitterN2O)+('Mitigation drivers'!Q195*DigesterN2OEF))/100</f>
        <v>1.4700000000000001E-2</v>
      </c>
      <c r="W68" s="27">
        <f>(('Mitigation drivers'!R185*LagoonN2O)+('Mitigation drivers'!R186*LiquidN2O)+('Mitigation drivers'!R187*DrylotN2O)+('Mitigation drivers'!R188*SolidStorageN2O)+('Mitigation drivers'!R189*DailyspreadN2O)+('Mitigation drivers'!R190*CompostN2O)+('Mitigation drivers'!R191*ManwithbedN2O)+('Mitigation drivers'!R192*PMwithoutlitterN2O)+('Mitigation drivers'!R193*PMwithlitterN2O)+('Mitigation drivers'!R195*DigesterN2OEF))/100</f>
        <v>1.4700000000000001E-2</v>
      </c>
      <c r="X68" s="27">
        <f>(('Mitigation drivers'!S185*LagoonN2O)+('Mitigation drivers'!S186*LiquidN2O)+('Mitigation drivers'!S187*DrylotN2O)+('Mitigation drivers'!S188*SolidStorageN2O)+('Mitigation drivers'!S189*DailyspreadN2O)+('Mitigation drivers'!S190*CompostN2O)+('Mitigation drivers'!S191*ManwithbedN2O)+('Mitigation drivers'!S192*PMwithoutlitterN2O)+('Mitigation drivers'!S193*PMwithlitterN2O)+('Mitigation drivers'!S195*DigesterN2OEF))/100</f>
        <v>1.4700000000000001E-2</v>
      </c>
      <c r="Y68" s="27">
        <f>(('Mitigation drivers'!T185*LagoonN2O)+('Mitigation drivers'!T186*LiquidN2O)+('Mitigation drivers'!T187*DrylotN2O)+('Mitigation drivers'!T188*SolidStorageN2O)+('Mitigation drivers'!T189*DailyspreadN2O)+('Mitigation drivers'!T190*CompostN2O)+('Mitigation drivers'!T191*ManwithbedN2O)+('Mitigation drivers'!T192*PMwithoutlitterN2O)+('Mitigation drivers'!T193*PMwithlitterN2O)+('Mitigation drivers'!T195*DigesterN2OEF))/100</f>
        <v>1.4700000000000001E-2</v>
      </c>
      <c r="Z68" s="27">
        <f>(('Mitigation drivers'!U185*LagoonN2O)+('Mitigation drivers'!U186*LiquidN2O)+('Mitigation drivers'!U187*DrylotN2O)+('Mitigation drivers'!U188*SolidStorageN2O)+('Mitigation drivers'!U189*DailyspreadN2O)+('Mitigation drivers'!U190*CompostN2O)+('Mitigation drivers'!U191*ManwithbedN2O)+('Mitigation drivers'!U192*PMwithoutlitterN2O)+('Mitigation drivers'!U193*PMwithlitterN2O)+('Mitigation drivers'!U195*DigesterN2OEF))/100</f>
        <v>1.4700000000000001E-2</v>
      </c>
      <c r="AA68" s="27">
        <f>(('Mitigation drivers'!V185*LagoonN2O)+('Mitigation drivers'!V186*LiquidN2O)+('Mitigation drivers'!V187*DrylotN2O)+('Mitigation drivers'!V188*SolidStorageN2O)+('Mitigation drivers'!V189*DailyspreadN2O)+('Mitigation drivers'!V190*CompostN2O)+('Mitigation drivers'!V191*ManwithbedN2O)+('Mitigation drivers'!V192*PMwithoutlitterN2O)+('Mitigation drivers'!V193*PMwithlitterN2O)+('Mitigation drivers'!V195*DigesterN2OEF))/100</f>
        <v>1.4700000000000001E-2</v>
      </c>
      <c r="AB68" s="27">
        <f>(('Mitigation drivers'!W185*LagoonN2O)+('Mitigation drivers'!W186*LiquidN2O)+('Mitigation drivers'!W187*DrylotN2O)+('Mitigation drivers'!W188*SolidStorageN2O)+('Mitigation drivers'!W189*DailyspreadN2O)+('Mitigation drivers'!W190*CompostN2O)+('Mitigation drivers'!W191*ManwithbedN2O)+('Mitigation drivers'!W192*PMwithoutlitterN2O)+('Mitigation drivers'!W193*PMwithlitterN2O)+('Mitigation drivers'!W195*DigesterN2OEF))/100</f>
        <v>1.4700000000000001E-2</v>
      </c>
      <c r="AC68" s="27">
        <f>(('Mitigation drivers'!X185*LagoonN2O)+('Mitigation drivers'!X186*LiquidN2O)+('Mitigation drivers'!X187*DrylotN2O)+('Mitigation drivers'!X188*SolidStorageN2O)+('Mitigation drivers'!X189*DailyspreadN2O)+('Mitigation drivers'!X190*CompostN2O)+('Mitigation drivers'!X191*ManwithbedN2O)+('Mitigation drivers'!X192*PMwithoutlitterN2O)+('Mitigation drivers'!X193*PMwithlitterN2O)+('Mitigation drivers'!X195*DigesterN2OEF))/100</f>
        <v>1.4700000000000001E-2</v>
      </c>
      <c r="AD68" s="27">
        <f>(('Mitigation drivers'!Y185*LagoonN2O)+('Mitigation drivers'!Y186*LiquidN2O)+('Mitigation drivers'!Y187*DrylotN2O)+('Mitigation drivers'!Y188*SolidStorageN2O)+('Mitigation drivers'!Y189*DailyspreadN2O)+('Mitigation drivers'!Y190*CompostN2O)+('Mitigation drivers'!Y191*ManwithbedN2O)+('Mitigation drivers'!Y192*PMwithoutlitterN2O)+('Mitigation drivers'!Y193*PMwithlitterN2O)+('Mitigation drivers'!Y195*DigesterN2OEF))/100</f>
        <v>1.4700000000000001E-2</v>
      </c>
      <c r="AE68" s="27">
        <f>(('Mitigation drivers'!Z185*LagoonN2O)+('Mitigation drivers'!Z186*LiquidN2O)+('Mitigation drivers'!Z187*DrylotN2O)+('Mitigation drivers'!Z188*SolidStorageN2O)+('Mitigation drivers'!Z189*DailyspreadN2O)+('Mitigation drivers'!Z190*CompostN2O)+('Mitigation drivers'!Z191*ManwithbedN2O)+('Mitigation drivers'!Z192*PMwithoutlitterN2O)+('Mitigation drivers'!Z193*PMwithlitterN2O)+('Mitigation drivers'!Z195*DigesterN2OEF))/100</f>
        <v>1.4700000000000001E-2</v>
      </c>
      <c r="AF68" s="27">
        <f>(('Mitigation drivers'!AA185*LagoonN2O)+('Mitigation drivers'!AA186*LiquidN2O)+('Mitigation drivers'!AA187*DrylotN2O)+('Mitigation drivers'!AA188*SolidStorageN2O)+('Mitigation drivers'!AA189*DailyspreadN2O)+('Mitigation drivers'!AA190*CompostN2O)+('Mitigation drivers'!AA191*ManwithbedN2O)+('Mitigation drivers'!AA192*PMwithoutlitterN2O)+('Mitigation drivers'!AA193*PMwithlitterN2O)+('Mitigation drivers'!AA195*DigesterN2OEF))/100</f>
        <v>1.4700000000000001E-2</v>
      </c>
      <c r="AG68" s="27">
        <f>(('Mitigation drivers'!AB185*LagoonN2O)+('Mitigation drivers'!AB186*LiquidN2O)+('Mitigation drivers'!AB187*DrylotN2O)+('Mitigation drivers'!AB188*SolidStorageN2O)+('Mitigation drivers'!AB189*DailyspreadN2O)+('Mitigation drivers'!AB190*CompostN2O)+('Mitigation drivers'!AB191*ManwithbedN2O)+('Mitigation drivers'!AB192*PMwithoutlitterN2O)+('Mitigation drivers'!AB193*PMwithlitterN2O)+('Mitigation drivers'!AB195*DigesterN2OEF))/100</f>
        <v>1.4700000000000001E-2</v>
      </c>
      <c r="AH68" s="27">
        <f>(('Mitigation drivers'!AC185*LagoonN2O)+('Mitigation drivers'!AC186*LiquidN2O)+('Mitigation drivers'!AC187*DrylotN2O)+('Mitigation drivers'!AC188*SolidStorageN2O)+('Mitigation drivers'!AC189*DailyspreadN2O)+('Mitigation drivers'!AC190*CompostN2O)+('Mitigation drivers'!AC191*ManwithbedN2O)+('Mitigation drivers'!AC192*PMwithoutlitterN2O)+('Mitigation drivers'!AC193*PMwithlitterN2O)+('Mitigation drivers'!AC195*DigesterN2OEF))/100</f>
        <v>1.4700000000000001E-2</v>
      </c>
      <c r="AI68" s="27">
        <f>(('Mitigation drivers'!AD185*LagoonN2O)+('Mitigation drivers'!AD186*LiquidN2O)+('Mitigation drivers'!AD187*DrylotN2O)+('Mitigation drivers'!AD188*SolidStorageN2O)+('Mitigation drivers'!AD189*DailyspreadN2O)+('Mitigation drivers'!AD190*CompostN2O)+('Mitigation drivers'!AD191*ManwithbedN2O)+('Mitigation drivers'!AD192*PMwithoutlitterN2O)+('Mitigation drivers'!AD193*PMwithlitterN2O)+('Mitigation drivers'!AD195*DigesterN2OEF))/100</f>
        <v>1.4700000000000001E-2</v>
      </c>
      <c r="AJ68" s="27">
        <f>(('Mitigation drivers'!AE185*LagoonN2O)+('Mitigation drivers'!AE186*LiquidN2O)+('Mitigation drivers'!AE187*DrylotN2O)+('Mitigation drivers'!AE188*SolidStorageN2O)+('Mitigation drivers'!AE189*DailyspreadN2O)+('Mitigation drivers'!AE190*CompostN2O)+('Mitigation drivers'!AE191*ManwithbedN2O)+('Mitigation drivers'!AE192*PMwithoutlitterN2O)+('Mitigation drivers'!AE193*PMwithlitterN2O)+('Mitigation drivers'!AE195*DigesterN2OEF))/100</f>
        <v>1.4700000000000001E-2</v>
      </c>
      <c r="AK68" s="27">
        <f>(('Mitigation drivers'!AF185*LagoonN2O)+('Mitigation drivers'!AF186*LiquidN2O)+('Mitigation drivers'!AF187*DrylotN2O)+('Mitigation drivers'!AF188*SolidStorageN2O)+('Mitigation drivers'!AF189*DailyspreadN2O)+('Mitigation drivers'!AF190*CompostN2O)+('Mitigation drivers'!AF191*ManwithbedN2O)+('Mitigation drivers'!AF192*PMwithoutlitterN2O)+('Mitigation drivers'!AF193*PMwithlitterN2O)+('Mitigation drivers'!AF195*DigesterN2OEF))/100</f>
        <v>1.4700000000000001E-2</v>
      </c>
      <c r="AL68" s="27">
        <f>(('Mitigation drivers'!AG185*LagoonN2O)+('Mitigation drivers'!AG186*LiquidN2O)+('Mitigation drivers'!AG187*DrylotN2O)+('Mitigation drivers'!AG188*SolidStorageN2O)+('Mitigation drivers'!AG189*DailyspreadN2O)+('Mitigation drivers'!AG190*CompostN2O)+('Mitigation drivers'!AG191*ManwithbedN2O)+('Mitigation drivers'!AG192*PMwithoutlitterN2O)+('Mitigation drivers'!AG193*PMwithlitterN2O)+('Mitigation drivers'!AG195*DigesterN2OEF))/100</f>
        <v>1.4700000000000001E-2</v>
      </c>
      <c r="AM68" s="27">
        <f>(('Mitigation drivers'!AH185*LagoonN2O)+('Mitigation drivers'!AH186*LiquidN2O)+('Mitigation drivers'!AH187*DrylotN2O)+('Mitigation drivers'!AH188*SolidStorageN2O)+('Mitigation drivers'!AH189*DailyspreadN2O)+('Mitigation drivers'!AH190*CompostN2O)+('Mitigation drivers'!AH191*ManwithbedN2O)+('Mitigation drivers'!AH192*PMwithoutlitterN2O)+('Mitigation drivers'!AH193*PMwithlitterN2O)+('Mitigation drivers'!AH195*DigesterN2OEF))/100</f>
        <v>1.4700000000000001E-2</v>
      </c>
      <c r="AN68" s="27">
        <f>(('Mitigation drivers'!AI185*LagoonN2O)+('Mitigation drivers'!AI186*LiquidN2O)+('Mitigation drivers'!AI187*DrylotN2O)+('Mitigation drivers'!AI188*SolidStorageN2O)+('Mitigation drivers'!AI189*DailyspreadN2O)+('Mitigation drivers'!AI190*CompostN2O)+('Mitigation drivers'!AI191*ManwithbedN2O)+('Mitigation drivers'!AI192*PMwithoutlitterN2O)+('Mitigation drivers'!AI193*PMwithlitterN2O)+('Mitigation drivers'!AI195*DigesterN2OEF))/100</f>
        <v>1.4700000000000001E-2</v>
      </c>
      <c r="AO68" s="27">
        <f>(('Mitigation drivers'!AJ185*LagoonN2O)+('Mitigation drivers'!AJ186*LiquidN2O)+('Mitigation drivers'!AJ187*DrylotN2O)+('Mitigation drivers'!AJ188*SolidStorageN2O)+('Mitigation drivers'!AJ189*DailyspreadN2O)+('Mitigation drivers'!AJ190*CompostN2O)+('Mitigation drivers'!AJ191*ManwithbedN2O)+('Mitigation drivers'!AJ192*PMwithoutlitterN2O)+('Mitigation drivers'!AJ193*PMwithlitterN2O)+('Mitigation drivers'!AJ195*DigesterN2OEF))/100</f>
        <v>1.4700000000000001E-2</v>
      </c>
    </row>
    <row r="69" spans="1:41" x14ac:dyDescent="0.25">
      <c r="A69" t="str">
        <f t="shared" si="1"/>
        <v>3A Livestock</v>
      </c>
      <c r="B69" t="str">
        <f t="shared" si="8"/>
        <v>3A2 Manure management (N2O)</v>
      </c>
      <c r="C69" t="str">
        <f>'Activity data'!C20</f>
        <v>3A2i Poultry</v>
      </c>
      <c r="D69" t="str">
        <f>'Activity data'!D20</f>
        <v>Commercial broilers</v>
      </c>
      <c r="E69" t="str">
        <f t="shared" si="27"/>
        <v>Manure management EF</v>
      </c>
      <c r="F69" t="str">
        <f t="shared" si="28"/>
        <v>N2O</v>
      </c>
      <c r="G69" t="str">
        <f t="shared" si="29"/>
        <v>kg N2O-N/kg Nex</v>
      </c>
      <c r="H69" s="27">
        <f>(('Mitigation drivers'!C197*LagoonN2O)+('Mitigation drivers'!C198*LiquidN2O)+('Mitigation drivers'!C199*DrylotN2O)+('Mitigation drivers'!C200*SolidStorageN2O)+('Mitigation drivers'!C201*DailyspreadN2O)+('Mitigation drivers'!C202*CompostN2O)+('Mitigation drivers'!C203*ManwithbedN2O)+('Mitigation drivers'!C204*PMwithoutlitterN2O)+('Mitigation drivers'!C205*PMwithlitterN2O)+('Mitigation drivers'!C207*DigesterN2OEF))/100</f>
        <v>1.6449999999999999E-2</v>
      </c>
      <c r="I69" s="27">
        <f>(('Mitigation drivers'!D197*LagoonN2O)+('Mitigation drivers'!D198*LiquidN2O)+('Mitigation drivers'!D199*DrylotN2O)+('Mitigation drivers'!D200*SolidStorageN2O)+('Mitigation drivers'!D201*DailyspreadN2O)+('Mitigation drivers'!D202*CompostN2O)+('Mitigation drivers'!D203*ManwithbedN2O)+('Mitigation drivers'!D204*PMwithoutlitterN2O)+('Mitigation drivers'!D205*PMwithlitterN2O)+('Mitigation drivers'!D207*DigesterN2OEF))/100</f>
        <v>1.6449999999999999E-2</v>
      </c>
      <c r="J69" s="27">
        <f>(('Mitigation drivers'!E197*LagoonN2O)+('Mitigation drivers'!E198*LiquidN2O)+('Mitigation drivers'!E199*DrylotN2O)+('Mitigation drivers'!E200*SolidStorageN2O)+('Mitigation drivers'!E201*DailyspreadN2O)+('Mitigation drivers'!E202*CompostN2O)+('Mitigation drivers'!E203*ManwithbedN2O)+('Mitigation drivers'!E204*PMwithoutlitterN2O)+('Mitigation drivers'!E205*PMwithlitterN2O)+('Mitigation drivers'!E207*DigesterN2OEF))/100</f>
        <v>1.6449999999999999E-2</v>
      </c>
      <c r="K69" s="27">
        <f>(('Mitigation drivers'!F197*LagoonN2O)+('Mitigation drivers'!F198*LiquidN2O)+('Mitigation drivers'!F199*DrylotN2O)+('Mitigation drivers'!F200*SolidStorageN2O)+('Mitigation drivers'!F201*DailyspreadN2O)+('Mitigation drivers'!F202*CompostN2O)+('Mitigation drivers'!F203*ManwithbedN2O)+('Mitigation drivers'!F204*PMwithoutlitterN2O)+('Mitigation drivers'!F205*PMwithlitterN2O)+('Mitigation drivers'!F207*DigesterN2OEF))/100</f>
        <v>1.6449999999999999E-2</v>
      </c>
      <c r="L69" s="27">
        <f>(('Mitigation drivers'!G197*LagoonN2O)+('Mitigation drivers'!G198*LiquidN2O)+('Mitigation drivers'!G199*DrylotN2O)+('Mitigation drivers'!G200*SolidStorageN2O)+('Mitigation drivers'!G201*DailyspreadN2O)+('Mitigation drivers'!G202*CompostN2O)+('Mitigation drivers'!G203*ManwithbedN2O)+('Mitigation drivers'!G204*PMwithoutlitterN2O)+('Mitigation drivers'!G205*PMwithlitterN2O)+('Mitigation drivers'!G207*DigesterN2OEF))/100</f>
        <v>1.6449999999999999E-2</v>
      </c>
      <c r="M69" s="27">
        <f>(('Mitigation drivers'!H197*LagoonN2O)+('Mitigation drivers'!H198*LiquidN2O)+('Mitigation drivers'!H199*DrylotN2O)+('Mitigation drivers'!H200*SolidStorageN2O)+('Mitigation drivers'!H201*DailyspreadN2O)+('Mitigation drivers'!H202*CompostN2O)+('Mitigation drivers'!H203*ManwithbedN2O)+('Mitigation drivers'!H204*PMwithoutlitterN2O)+('Mitigation drivers'!H205*PMwithlitterN2O)+('Mitigation drivers'!H207*DigesterN2OEF))/100</f>
        <v>1.6449999999999999E-2</v>
      </c>
      <c r="N69" s="27">
        <f>(('Mitigation drivers'!I197*LagoonN2O)+('Mitigation drivers'!I198*LiquidN2O)+('Mitigation drivers'!I199*DrylotN2O)+('Mitigation drivers'!I200*SolidStorageN2O)+('Mitigation drivers'!I201*DailyspreadN2O)+('Mitigation drivers'!I202*CompostN2O)+('Mitigation drivers'!I203*ManwithbedN2O)+('Mitigation drivers'!I204*PMwithoutlitterN2O)+('Mitigation drivers'!I205*PMwithlitterN2O)+('Mitigation drivers'!I207*DigesterN2OEF))/100</f>
        <v>1.6449999999999999E-2</v>
      </c>
      <c r="O69" s="27">
        <f>(('Mitigation drivers'!J197*LagoonN2O)+('Mitigation drivers'!J198*LiquidN2O)+('Mitigation drivers'!J199*DrylotN2O)+('Mitigation drivers'!J200*SolidStorageN2O)+('Mitigation drivers'!J201*DailyspreadN2O)+('Mitigation drivers'!J202*CompostN2O)+('Mitigation drivers'!J203*ManwithbedN2O)+('Mitigation drivers'!J204*PMwithoutlitterN2O)+('Mitigation drivers'!J205*PMwithlitterN2O)+('Mitigation drivers'!J207*DigesterN2OEF))/100</f>
        <v>1.6449999999999999E-2</v>
      </c>
      <c r="P69" s="27">
        <f>(('Mitigation drivers'!K197*LagoonN2O)+('Mitigation drivers'!K198*LiquidN2O)+('Mitigation drivers'!K199*DrylotN2O)+('Mitigation drivers'!K200*SolidStorageN2O)+('Mitigation drivers'!K201*DailyspreadN2O)+('Mitigation drivers'!K202*CompostN2O)+('Mitigation drivers'!K203*ManwithbedN2O)+('Mitigation drivers'!K204*PMwithoutlitterN2O)+('Mitigation drivers'!K205*PMwithlitterN2O)+('Mitigation drivers'!K207*DigesterN2OEF))/100</f>
        <v>1.6449999999999999E-2</v>
      </c>
      <c r="Q69" s="27">
        <f>(('Mitigation drivers'!L197*LagoonN2O)+('Mitigation drivers'!L198*LiquidN2O)+('Mitigation drivers'!L199*DrylotN2O)+('Mitigation drivers'!L200*SolidStorageN2O)+('Mitigation drivers'!L201*DailyspreadN2O)+('Mitigation drivers'!L202*CompostN2O)+('Mitigation drivers'!L203*ManwithbedN2O)+('Mitigation drivers'!L204*PMwithoutlitterN2O)+('Mitigation drivers'!L205*PMwithlitterN2O)+('Mitigation drivers'!L207*DigesterN2OEF))/100</f>
        <v>1.6449999999999999E-2</v>
      </c>
      <c r="R69" s="27">
        <f>(('Mitigation drivers'!M197*LagoonN2O)+('Mitigation drivers'!M198*LiquidN2O)+('Mitigation drivers'!M199*DrylotN2O)+('Mitigation drivers'!M200*SolidStorageN2O)+('Mitigation drivers'!M201*DailyspreadN2O)+('Mitigation drivers'!M202*CompostN2O)+('Mitigation drivers'!M203*ManwithbedN2O)+('Mitigation drivers'!M204*PMwithoutlitterN2O)+('Mitigation drivers'!M205*PMwithlitterN2O)+('Mitigation drivers'!M207*DigesterN2OEF))/100</f>
        <v>1.6449999999999999E-2</v>
      </c>
      <c r="S69" s="27">
        <f>(('Mitigation drivers'!N197*LagoonN2O)+('Mitigation drivers'!N198*LiquidN2O)+('Mitigation drivers'!N199*DrylotN2O)+('Mitigation drivers'!N200*SolidStorageN2O)+('Mitigation drivers'!N201*DailyspreadN2O)+('Mitigation drivers'!N202*CompostN2O)+('Mitigation drivers'!N203*ManwithbedN2O)+('Mitigation drivers'!N204*PMwithoutlitterN2O)+('Mitigation drivers'!N205*PMwithlitterN2O)+('Mitigation drivers'!N207*DigesterN2OEF))/100</f>
        <v>1.6449999999999999E-2</v>
      </c>
      <c r="T69" s="27">
        <f>(('Mitigation drivers'!O197*LagoonN2O)+('Mitigation drivers'!O198*LiquidN2O)+('Mitigation drivers'!O199*DrylotN2O)+('Mitigation drivers'!O200*SolidStorageN2O)+('Mitigation drivers'!O201*DailyspreadN2O)+('Mitigation drivers'!O202*CompostN2O)+('Mitigation drivers'!O203*ManwithbedN2O)+('Mitigation drivers'!O204*PMwithoutlitterN2O)+('Mitigation drivers'!O205*PMwithlitterN2O)+('Mitigation drivers'!O207*DigesterN2OEF))/100</f>
        <v>1.6449999999999999E-2</v>
      </c>
      <c r="U69" s="27">
        <f>(('Mitigation drivers'!P197*LagoonN2O)+('Mitigation drivers'!P198*LiquidN2O)+('Mitigation drivers'!P199*DrylotN2O)+('Mitigation drivers'!P200*SolidStorageN2O)+('Mitigation drivers'!P201*DailyspreadN2O)+('Mitigation drivers'!P202*CompostN2O)+('Mitigation drivers'!P203*ManwithbedN2O)+('Mitigation drivers'!P204*PMwithoutlitterN2O)+('Mitigation drivers'!P205*PMwithlitterN2O)+('Mitigation drivers'!P207*DigesterN2OEF))/100</f>
        <v>1.6449999999999999E-2</v>
      </c>
      <c r="V69" s="27">
        <f>(('Mitigation drivers'!Q197*LagoonN2O)+('Mitigation drivers'!Q198*LiquidN2O)+('Mitigation drivers'!Q199*DrylotN2O)+('Mitigation drivers'!Q200*SolidStorageN2O)+('Mitigation drivers'!Q201*DailyspreadN2O)+('Mitigation drivers'!Q202*CompostN2O)+('Mitigation drivers'!Q203*ManwithbedN2O)+('Mitigation drivers'!Q204*PMwithoutlitterN2O)+('Mitigation drivers'!Q205*PMwithlitterN2O)+('Mitigation drivers'!Q207*DigesterN2OEF))/100</f>
        <v>1.6449999999999999E-2</v>
      </c>
      <c r="W69" s="27">
        <f>(('Mitigation drivers'!R197*LagoonN2O)+('Mitigation drivers'!R198*LiquidN2O)+('Mitigation drivers'!R199*DrylotN2O)+('Mitigation drivers'!R200*SolidStorageN2O)+('Mitigation drivers'!R201*DailyspreadN2O)+('Mitigation drivers'!R202*CompostN2O)+('Mitigation drivers'!R203*ManwithbedN2O)+('Mitigation drivers'!R204*PMwithoutlitterN2O)+('Mitigation drivers'!R205*PMwithlitterN2O)+('Mitigation drivers'!R207*DigesterN2OEF))/100</f>
        <v>1.6449999999999999E-2</v>
      </c>
      <c r="X69" s="27">
        <f>(('Mitigation drivers'!S197*LagoonN2O)+('Mitigation drivers'!S198*LiquidN2O)+('Mitigation drivers'!S199*DrylotN2O)+('Mitigation drivers'!S200*SolidStorageN2O)+('Mitigation drivers'!S201*DailyspreadN2O)+('Mitigation drivers'!S202*CompostN2O)+('Mitigation drivers'!S203*ManwithbedN2O)+('Mitigation drivers'!S204*PMwithoutlitterN2O)+('Mitigation drivers'!S205*PMwithlitterN2O)+('Mitigation drivers'!S207*DigesterN2OEF))/100</f>
        <v>1.6449999999999999E-2</v>
      </c>
      <c r="Y69" s="27">
        <f>(('Mitigation drivers'!T197*LagoonN2O)+('Mitigation drivers'!T198*LiquidN2O)+('Mitigation drivers'!T199*DrylotN2O)+('Mitigation drivers'!T200*SolidStorageN2O)+('Mitigation drivers'!T201*DailyspreadN2O)+('Mitigation drivers'!T202*CompostN2O)+('Mitigation drivers'!T203*ManwithbedN2O)+('Mitigation drivers'!T204*PMwithoutlitterN2O)+('Mitigation drivers'!T205*PMwithlitterN2O)+('Mitigation drivers'!T207*DigesterN2OEF))/100</f>
        <v>1.6449999999999999E-2</v>
      </c>
      <c r="Z69" s="27">
        <f>(('Mitigation drivers'!U197*LagoonN2O)+('Mitigation drivers'!U198*LiquidN2O)+('Mitigation drivers'!U199*DrylotN2O)+('Mitigation drivers'!U200*SolidStorageN2O)+('Mitigation drivers'!U201*DailyspreadN2O)+('Mitigation drivers'!U202*CompostN2O)+('Mitigation drivers'!U203*ManwithbedN2O)+('Mitigation drivers'!U204*PMwithoutlitterN2O)+('Mitigation drivers'!U205*PMwithlitterN2O)+('Mitigation drivers'!U207*DigesterN2OEF))/100</f>
        <v>1.6449999999999999E-2</v>
      </c>
      <c r="AA69" s="27">
        <f>(('Mitigation drivers'!V197*LagoonN2O)+('Mitigation drivers'!V198*LiquidN2O)+('Mitigation drivers'!V199*DrylotN2O)+('Mitigation drivers'!V200*SolidStorageN2O)+('Mitigation drivers'!V201*DailyspreadN2O)+('Mitigation drivers'!V202*CompostN2O)+('Mitigation drivers'!V203*ManwithbedN2O)+('Mitigation drivers'!V204*PMwithoutlitterN2O)+('Mitigation drivers'!V205*PMwithlitterN2O)+('Mitigation drivers'!V207*DigesterN2OEF))/100</f>
        <v>1.6449999999999999E-2</v>
      </c>
      <c r="AB69" s="27">
        <f>(('Mitigation drivers'!W197*LagoonN2O)+('Mitigation drivers'!W198*LiquidN2O)+('Mitigation drivers'!W199*DrylotN2O)+('Mitigation drivers'!W200*SolidStorageN2O)+('Mitigation drivers'!W201*DailyspreadN2O)+('Mitigation drivers'!W202*CompostN2O)+('Mitigation drivers'!W203*ManwithbedN2O)+('Mitigation drivers'!W204*PMwithoutlitterN2O)+('Mitigation drivers'!W205*PMwithlitterN2O)+('Mitigation drivers'!W207*DigesterN2OEF))/100</f>
        <v>1.6449999999999999E-2</v>
      </c>
      <c r="AC69" s="27">
        <f>(('Mitigation drivers'!X197*LagoonN2O)+('Mitigation drivers'!X198*LiquidN2O)+('Mitigation drivers'!X199*DrylotN2O)+('Mitigation drivers'!X200*SolidStorageN2O)+('Mitigation drivers'!X201*DailyspreadN2O)+('Mitigation drivers'!X202*CompostN2O)+('Mitigation drivers'!X203*ManwithbedN2O)+('Mitigation drivers'!X204*PMwithoutlitterN2O)+('Mitigation drivers'!X205*PMwithlitterN2O)+('Mitigation drivers'!X207*DigesterN2OEF))/100</f>
        <v>1.6449999999999999E-2</v>
      </c>
      <c r="AD69" s="27">
        <f>(('Mitigation drivers'!Y197*LagoonN2O)+('Mitigation drivers'!Y198*LiquidN2O)+('Mitigation drivers'!Y199*DrylotN2O)+('Mitigation drivers'!Y200*SolidStorageN2O)+('Mitigation drivers'!Y201*DailyspreadN2O)+('Mitigation drivers'!Y202*CompostN2O)+('Mitigation drivers'!Y203*ManwithbedN2O)+('Mitigation drivers'!Y204*PMwithoutlitterN2O)+('Mitigation drivers'!Y205*PMwithlitterN2O)+('Mitigation drivers'!Y207*DigesterN2OEF))/100</f>
        <v>1.6449999999999999E-2</v>
      </c>
      <c r="AE69" s="27">
        <f>(('Mitigation drivers'!Z197*LagoonN2O)+('Mitigation drivers'!Z198*LiquidN2O)+('Mitigation drivers'!Z199*DrylotN2O)+('Mitigation drivers'!Z200*SolidStorageN2O)+('Mitigation drivers'!Z201*DailyspreadN2O)+('Mitigation drivers'!Z202*CompostN2O)+('Mitigation drivers'!Z203*ManwithbedN2O)+('Mitigation drivers'!Z204*PMwithoutlitterN2O)+('Mitigation drivers'!Z205*PMwithlitterN2O)+('Mitigation drivers'!Z207*DigesterN2OEF))/100</f>
        <v>1.6449999999999999E-2</v>
      </c>
      <c r="AF69" s="27">
        <f>(('Mitigation drivers'!AA197*LagoonN2O)+('Mitigation drivers'!AA198*LiquidN2O)+('Mitigation drivers'!AA199*DrylotN2O)+('Mitigation drivers'!AA200*SolidStorageN2O)+('Mitigation drivers'!AA201*DailyspreadN2O)+('Mitigation drivers'!AA202*CompostN2O)+('Mitigation drivers'!AA203*ManwithbedN2O)+('Mitigation drivers'!AA204*PMwithoutlitterN2O)+('Mitigation drivers'!AA205*PMwithlitterN2O)+('Mitigation drivers'!AA207*DigesterN2OEF))/100</f>
        <v>1.6449999999999999E-2</v>
      </c>
      <c r="AG69" s="27">
        <f>(('Mitigation drivers'!AB197*LagoonN2O)+('Mitigation drivers'!AB198*LiquidN2O)+('Mitigation drivers'!AB199*DrylotN2O)+('Mitigation drivers'!AB200*SolidStorageN2O)+('Mitigation drivers'!AB201*DailyspreadN2O)+('Mitigation drivers'!AB202*CompostN2O)+('Mitigation drivers'!AB203*ManwithbedN2O)+('Mitigation drivers'!AB204*PMwithoutlitterN2O)+('Mitigation drivers'!AB205*PMwithlitterN2O)+('Mitigation drivers'!AB207*DigesterN2OEF))/100</f>
        <v>1.6449999999999999E-2</v>
      </c>
      <c r="AH69" s="27">
        <f>(('Mitigation drivers'!AC197*LagoonN2O)+('Mitigation drivers'!AC198*LiquidN2O)+('Mitigation drivers'!AC199*DrylotN2O)+('Mitigation drivers'!AC200*SolidStorageN2O)+('Mitigation drivers'!AC201*DailyspreadN2O)+('Mitigation drivers'!AC202*CompostN2O)+('Mitigation drivers'!AC203*ManwithbedN2O)+('Mitigation drivers'!AC204*PMwithoutlitterN2O)+('Mitigation drivers'!AC205*PMwithlitterN2O)+('Mitigation drivers'!AC207*DigesterN2OEF))/100</f>
        <v>1.6449999999999999E-2</v>
      </c>
      <c r="AI69" s="27">
        <f>(('Mitigation drivers'!AD197*LagoonN2O)+('Mitigation drivers'!AD198*LiquidN2O)+('Mitigation drivers'!AD199*DrylotN2O)+('Mitigation drivers'!AD200*SolidStorageN2O)+('Mitigation drivers'!AD201*DailyspreadN2O)+('Mitigation drivers'!AD202*CompostN2O)+('Mitigation drivers'!AD203*ManwithbedN2O)+('Mitigation drivers'!AD204*PMwithoutlitterN2O)+('Mitigation drivers'!AD205*PMwithlitterN2O)+('Mitigation drivers'!AD207*DigesterN2OEF))/100</f>
        <v>1.6449999999999999E-2</v>
      </c>
      <c r="AJ69" s="27">
        <f>(('Mitigation drivers'!AE197*LagoonN2O)+('Mitigation drivers'!AE198*LiquidN2O)+('Mitigation drivers'!AE199*DrylotN2O)+('Mitigation drivers'!AE200*SolidStorageN2O)+('Mitigation drivers'!AE201*DailyspreadN2O)+('Mitigation drivers'!AE202*CompostN2O)+('Mitigation drivers'!AE203*ManwithbedN2O)+('Mitigation drivers'!AE204*PMwithoutlitterN2O)+('Mitigation drivers'!AE205*PMwithlitterN2O)+('Mitigation drivers'!AE207*DigesterN2OEF))/100</f>
        <v>1.6449999999999999E-2</v>
      </c>
      <c r="AK69" s="27">
        <f>(('Mitigation drivers'!AF197*LagoonN2O)+('Mitigation drivers'!AF198*LiquidN2O)+('Mitigation drivers'!AF199*DrylotN2O)+('Mitigation drivers'!AF200*SolidStorageN2O)+('Mitigation drivers'!AF201*DailyspreadN2O)+('Mitigation drivers'!AF202*CompostN2O)+('Mitigation drivers'!AF203*ManwithbedN2O)+('Mitigation drivers'!AF204*PMwithoutlitterN2O)+('Mitigation drivers'!AF205*PMwithlitterN2O)+('Mitigation drivers'!AF207*DigesterN2OEF))/100</f>
        <v>1.6449999999999999E-2</v>
      </c>
      <c r="AL69" s="27">
        <f>(('Mitigation drivers'!AG197*LagoonN2O)+('Mitigation drivers'!AG198*LiquidN2O)+('Mitigation drivers'!AG199*DrylotN2O)+('Mitigation drivers'!AG200*SolidStorageN2O)+('Mitigation drivers'!AG201*DailyspreadN2O)+('Mitigation drivers'!AG202*CompostN2O)+('Mitigation drivers'!AG203*ManwithbedN2O)+('Mitigation drivers'!AG204*PMwithoutlitterN2O)+('Mitigation drivers'!AG205*PMwithlitterN2O)+('Mitigation drivers'!AG207*DigesterN2OEF))/100</f>
        <v>1.6449999999999999E-2</v>
      </c>
      <c r="AM69" s="27">
        <f>(('Mitigation drivers'!AH197*LagoonN2O)+('Mitigation drivers'!AH198*LiquidN2O)+('Mitigation drivers'!AH199*DrylotN2O)+('Mitigation drivers'!AH200*SolidStorageN2O)+('Mitigation drivers'!AH201*DailyspreadN2O)+('Mitigation drivers'!AH202*CompostN2O)+('Mitigation drivers'!AH203*ManwithbedN2O)+('Mitigation drivers'!AH204*PMwithoutlitterN2O)+('Mitigation drivers'!AH205*PMwithlitterN2O)+('Mitigation drivers'!AH207*DigesterN2OEF))/100</f>
        <v>1.6449999999999999E-2</v>
      </c>
      <c r="AN69" s="27">
        <f>(('Mitigation drivers'!AI197*LagoonN2O)+('Mitigation drivers'!AI198*LiquidN2O)+('Mitigation drivers'!AI199*DrylotN2O)+('Mitigation drivers'!AI200*SolidStorageN2O)+('Mitigation drivers'!AI201*DailyspreadN2O)+('Mitigation drivers'!AI202*CompostN2O)+('Mitigation drivers'!AI203*ManwithbedN2O)+('Mitigation drivers'!AI204*PMwithoutlitterN2O)+('Mitigation drivers'!AI205*PMwithlitterN2O)+('Mitigation drivers'!AI207*DigesterN2OEF))/100</f>
        <v>1.6449999999999999E-2</v>
      </c>
      <c r="AO69" s="27">
        <f>(('Mitigation drivers'!AJ197*LagoonN2O)+('Mitigation drivers'!AJ198*LiquidN2O)+('Mitigation drivers'!AJ199*DrylotN2O)+('Mitigation drivers'!AJ200*SolidStorageN2O)+('Mitigation drivers'!AJ201*DailyspreadN2O)+('Mitigation drivers'!AJ202*CompostN2O)+('Mitigation drivers'!AJ203*ManwithbedN2O)+('Mitigation drivers'!AJ204*PMwithoutlitterN2O)+('Mitigation drivers'!AJ205*PMwithlitterN2O)+('Mitigation drivers'!AJ207*DigesterN2OEF))/100</f>
        <v>1.6449999999999999E-2</v>
      </c>
    </row>
    <row r="70" spans="1:41" x14ac:dyDescent="0.25">
      <c r="A70" t="str">
        <f t="shared" ref="A70:A71" si="30">A69</f>
        <v>3A Livestock</v>
      </c>
      <c r="B70" t="str">
        <f t="shared" si="8"/>
        <v>3A2 Manure management (N2O)</v>
      </c>
      <c r="C70" t="str">
        <f>'Activity data'!C21</f>
        <v>3A2i Poultry</v>
      </c>
      <c r="D70" t="str">
        <f>'Activity data'!D21</f>
        <v>Subsistence layers</v>
      </c>
      <c r="E70" t="str">
        <f t="shared" si="27"/>
        <v>Manure management EF</v>
      </c>
      <c r="F70" t="str">
        <f t="shared" si="28"/>
        <v>N2O</v>
      </c>
      <c r="G70" t="str">
        <f t="shared" si="29"/>
        <v>kg N2O-N/kg Nex</v>
      </c>
      <c r="H70" s="27">
        <f>(('Mitigation drivers'!C209*LagoonN2O)+('Mitigation drivers'!C210*LiquidN2O)+('Mitigation drivers'!C211*DrylotN2O)+('Mitigation drivers'!C212*SolidStorageN2O)+('Mitigation drivers'!C213*DailyspreadN2O)+('Mitigation drivers'!C214*CompostN2O)+('Mitigation drivers'!C215*ManwithbedN2O)+('Mitigation drivers'!C216*PMwithoutlitterN2O)+('Mitigation drivers'!C217*PMwithlitterN2O)+('Mitigation drivers'!C219*DigesterN2OEF))/100</f>
        <v>1.4700000000000001E-2</v>
      </c>
      <c r="I70" s="27">
        <f>(('Mitigation drivers'!D209*LagoonN2O)+('Mitigation drivers'!D210*LiquidN2O)+('Mitigation drivers'!D211*DrylotN2O)+('Mitigation drivers'!D212*SolidStorageN2O)+('Mitigation drivers'!D213*DailyspreadN2O)+('Mitigation drivers'!D214*CompostN2O)+('Mitigation drivers'!D215*ManwithbedN2O)+('Mitigation drivers'!D216*PMwithoutlitterN2O)+('Mitigation drivers'!D217*PMwithlitterN2O)+('Mitigation drivers'!D219*DigesterN2OEF))/100</f>
        <v>1.4700000000000001E-2</v>
      </c>
      <c r="J70" s="27">
        <f>(('Mitigation drivers'!E209*LagoonN2O)+('Mitigation drivers'!E210*LiquidN2O)+('Mitigation drivers'!E211*DrylotN2O)+('Mitigation drivers'!E212*SolidStorageN2O)+('Mitigation drivers'!E213*DailyspreadN2O)+('Mitigation drivers'!E214*CompostN2O)+('Mitigation drivers'!E215*ManwithbedN2O)+('Mitigation drivers'!E216*PMwithoutlitterN2O)+('Mitigation drivers'!E217*PMwithlitterN2O)+('Mitigation drivers'!E219*DigesterN2OEF))/100</f>
        <v>1.4700000000000001E-2</v>
      </c>
      <c r="K70" s="27">
        <f>(('Mitigation drivers'!F209*LagoonN2O)+('Mitigation drivers'!F210*LiquidN2O)+('Mitigation drivers'!F211*DrylotN2O)+('Mitigation drivers'!F212*SolidStorageN2O)+('Mitigation drivers'!F213*DailyspreadN2O)+('Mitigation drivers'!F214*CompostN2O)+('Mitigation drivers'!F215*ManwithbedN2O)+('Mitigation drivers'!F216*PMwithoutlitterN2O)+('Mitigation drivers'!F217*PMwithlitterN2O)+('Mitigation drivers'!F219*DigesterN2OEF))/100</f>
        <v>1.4700000000000001E-2</v>
      </c>
      <c r="L70" s="27">
        <f>(('Mitigation drivers'!G209*LagoonN2O)+('Mitigation drivers'!G210*LiquidN2O)+('Mitigation drivers'!G211*DrylotN2O)+('Mitigation drivers'!G212*SolidStorageN2O)+('Mitigation drivers'!G213*DailyspreadN2O)+('Mitigation drivers'!G214*CompostN2O)+('Mitigation drivers'!G215*ManwithbedN2O)+('Mitigation drivers'!G216*PMwithoutlitterN2O)+('Mitigation drivers'!G217*PMwithlitterN2O)+('Mitigation drivers'!G219*DigesterN2OEF))/100</f>
        <v>1.4700000000000001E-2</v>
      </c>
      <c r="M70" s="27">
        <f>(('Mitigation drivers'!H209*LagoonN2O)+('Mitigation drivers'!H210*LiquidN2O)+('Mitigation drivers'!H211*DrylotN2O)+('Mitigation drivers'!H212*SolidStorageN2O)+('Mitigation drivers'!H213*DailyspreadN2O)+('Mitigation drivers'!H214*CompostN2O)+('Mitigation drivers'!H215*ManwithbedN2O)+('Mitigation drivers'!H216*PMwithoutlitterN2O)+('Mitigation drivers'!H217*PMwithlitterN2O)+('Mitigation drivers'!H219*DigesterN2OEF))/100</f>
        <v>1.4700000000000001E-2</v>
      </c>
      <c r="N70" s="27">
        <f>(('Mitigation drivers'!I209*LagoonN2O)+('Mitigation drivers'!I210*LiquidN2O)+('Mitigation drivers'!I211*DrylotN2O)+('Mitigation drivers'!I212*SolidStorageN2O)+('Mitigation drivers'!I213*DailyspreadN2O)+('Mitigation drivers'!I214*CompostN2O)+('Mitigation drivers'!I215*ManwithbedN2O)+('Mitigation drivers'!I216*PMwithoutlitterN2O)+('Mitigation drivers'!I217*PMwithlitterN2O)+('Mitigation drivers'!I219*DigesterN2OEF))/100</f>
        <v>1.4700000000000001E-2</v>
      </c>
      <c r="O70" s="27">
        <f>(('Mitigation drivers'!J209*LagoonN2O)+('Mitigation drivers'!J210*LiquidN2O)+('Mitigation drivers'!J211*DrylotN2O)+('Mitigation drivers'!J212*SolidStorageN2O)+('Mitigation drivers'!J213*DailyspreadN2O)+('Mitigation drivers'!J214*CompostN2O)+('Mitigation drivers'!J215*ManwithbedN2O)+('Mitigation drivers'!J216*PMwithoutlitterN2O)+('Mitigation drivers'!J217*PMwithlitterN2O)+('Mitigation drivers'!J219*DigesterN2OEF))/100</f>
        <v>1.4700000000000001E-2</v>
      </c>
      <c r="P70" s="27">
        <f>(('Mitigation drivers'!K209*LagoonN2O)+('Mitigation drivers'!K210*LiquidN2O)+('Mitigation drivers'!K211*DrylotN2O)+('Mitigation drivers'!K212*SolidStorageN2O)+('Mitigation drivers'!K213*DailyspreadN2O)+('Mitigation drivers'!K214*CompostN2O)+('Mitigation drivers'!K215*ManwithbedN2O)+('Mitigation drivers'!K216*PMwithoutlitterN2O)+('Mitigation drivers'!K217*PMwithlitterN2O)+('Mitigation drivers'!K219*DigesterN2OEF))/100</f>
        <v>1.4700000000000001E-2</v>
      </c>
      <c r="Q70" s="27">
        <f>(('Mitigation drivers'!L209*LagoonN2O)+('Mitigation drivers'!L210*LiquidN2O)+('Mitigation drivers'!L211*DrylotN2O)+('Mitigation drivers'!L212*SolidStorageN2O)+('Mitigation drivers'!L213*DailyspreadN2O)+('Mitigation drivers'!L214*CompostN2O)+('Mitigation drivers'!L215*ManwithbedN2O)+('Mitigation drivers'!L216*PMwithoutlitterN2O)+('Mitigation drivers'!L217*PMwithlitterN2O)+('Mitigation drivers'!L219*DigesterN2OEF))/100</f>
        <v>1.4700000000000001E-2</v>
      </c>
      <c r="R70" s="27">
        <f>(('Mitigation drivers'!M209*LagoonN2O)+('Mitigation drivers'!M210*LiquidN2O)+('Mitigation drivers'!M211*DrylotN2O)+('Mitigation drivers'!M212*SolidStorageN2O)+('Mitigation drivers'!M213*DailyspreadN2O)+('Mitigation drivers'!M214*CompostN2O)+('Mitigation drivers'!M215*ManwithbedN2O)+('Mitigation drivers'!M216*PMwithoutlitterN2O)+('Mitigation drivers'!M217*PMwithlitterN2O)+('Mitigation drivers'!M219*DigesterN2OEF))/100</f>
        <v>1.4700000000000001E-2</v>
      </c>
      <c r="S70" s="27">
        <f>(('Mitigation drivers'!N209*LagoonN2O)+('Mitigation drivers'!N210*LiquidN2O)+('Mitigation drivers'!N211*DrylotN2O)+('Mitigation drivers'!N212*SolidStorageN2O)+('Mitigation drivers'!N213*DailyspreadN2O)+('Mitigation drivers'!N214*CompostN2O)+('Mitigation drivers'!N215*ManwithbedN2O)+('Mitigation drivers'!N216*PMwithoutlitterN2O)+('Mitigation drivers'!N217*PMwithlitterN2O)+('Mitigation drivers'!N219*DigesterN2OEF))/100</f>
        <v>1.4700000000000001E-2</v>
      </c>
      <c r="T70" s="27">
        <f>(('Mitigation drivers'!O209*LagoonN2O)+('Mitigation drivers'!O210*LiquidN2O)+('Mitigation drivers'!O211*DrylotN2O)+('Mitigation drivers'!O212*SolidStorageN2O)+('Mitigation drivers'!O213*DailyspreadN2O)+('Mitigation drivers'!O214*CompostN2O)+('Mitigation drivers'!O215*ManwithbedN2O)+('Mitigation drivers'!O216*PMwithoutlitterN2O)+('Mitigation drivers'!O217*PMwithlitterN2O)+('Mitigation drivers'!O219*DigesterN2OEF))/100</f>
        <v>1.4700000000000001E-2</v>
      </c>
      <c r="U70" s="27">
        <f>(('Mitigation drivers'!P209*LagoonN2O)+('Mitigation drivers'!P210*LiquidN2O)+('Mitigation drivers'!P211*DrylotN2O)+('Mitigation drivers'!P212*SolidStorageN2O)+('Mitigation drivers'!P213*DailyspreadN2O)+('Mitigation drivers'!P214*CompostN2O)+('Mitigation drivers'!P215*ManwithbedN2O)+('Mitigation drivers'!P216*PMwithoutlitterN2O)+('Mitigation drivers'!P217*PMwithlitterN2O)+('Mitigation drivers'!P219*DigesterN2OEF))/100</f>
        <v>1.4700000000000001E-2</v>
      </c>
      <c r="V70" s="27">
        <f>(('Mitigation drivers'!Q209*LagoonN2O)+('Mitigation drivers'!Q210*LiquidN2O)+('Mitigation drivers'!Q211*DrylotN2O)+('Mitigation drivers'!Q212*SolidStorageN2O)+('Mitigation drivers'!Q213*DailyspreadN2O)+('Mitigation drivers'!Q214*CompostN2O)+('Mitigation drivers'!Q215*ManwithbedN2O)+('Mitigation drivers'!Q216*PMwithoutlitterN2O)+('Mitigation drivers'!Q217*PMwithlitterN2O)+('Mitigation drivers'!Q219*DigesterN2OEF))/100</f>
        <v>1.4700000000000001E-2</v>
      </c>
      <c r="W70" s="27">
        <f>(('Mitigation drivers'!R209*LagoonN2O)+('Mitigation drivers'!R210*LiquidN2O)+('Mitigation drivers'!R211*DrylotN2O)+('Mitigation drivers'!R212*SolidStorageN2O)+('Mitigation drivers'!R213*DailyspreadN2O)+('Mitigation drivers'!R214*CompostN2O)+('Mitigation drivers'!R215*ManwithbedN2O)+('Mitigation drivers'!R216*PMwithoutlitterN2O)+('Mitigation drivers'!R217*PMwithlitterN2O)+('Mitigation drivers'!R219*DigesterN2OEF))/100</f>
        <v>1.4700000000000001E-2</v>
      </c>
      <c r="X70" s="27">
        <f>(('Mitigation drivers'!S209*LagoonN2O)+('Mitigation drivers'!S210*LiquidN2O)+('Mitigation drivers'!S211*DrylotN2O)+('Mitigation drivers'!S212*SolidStorageN2O)+('Mitigation drivers'!S213*DailyspreadN2O)+('Mitigation drivers'!S214*CompostN2O)+('Mitigation drivers'!S215*ManwithbedN2O)+('Mitigation drivers'!S216*PMwithoutlitterN2O)+('Mitigation drivers'!S217*PMwithlitterN2O)+('Mitigation drivers'!S219*DigesterN2OEF))/100</f>
        <v>1.4700000000000001E-2</v>
      </c>
      <c r="Y70" s="27">
        <f>(('Mitigation drivers'!T209*LagoonN2O)+('Mitigation drivers'!T210*LiquidN2O)+('Mitigation drivers'!T211*DrylotN2O)+('Mitigation drivers'!T212*SolidStorageN2O)+('Mitigation drivers'!T213*DailyspreadN2O)+('Mitigation drivers'!T214*CompostN2O)+('Mitigation drivers'!T215*ManwithbedN2O)+('Mitigation drivers'!T216*PMwithoutlitterN2O)+('Mitigation drivers'!T217*PMwithlitterN2O)+('Mitigation drivers'!T219*DigesterN2OEF))/100</f>
        <v>1.4700000000000001E-2</v>
      </c>
      <c r="Z70" s="27">
        <f>(('Mitigation drivers'!U209*LagoonN2O)+('Mitigation drivers'!U210*LiquidN2O)+('Mitigation drivers'!U211*DrylotN2O)+('Mitigation drivers'!U212*SolidStorageN2O)+('Mitigation drivers'!U213*DailyspreadN2O)+('Mitigation drivers'!U214*CompostN2O)+('Mitigation drivers'!U215*ManwithbedN2O)+('Mitigation drivers'!U216*PMwithoutlitterN2O)+('Mitigation drivers'!U217*PMwithlitterN2O)+('Mitigation drivers'!U219*DigesterN2OEF))/100</f>
        <v>1.4700000000000001E-2</v>
      </c>
      <c r="AA70" s="27">
        <f>(('Mitigation drivers'!V209*LagoonN2O)+('Mitigation drivers'!V210*LiquidN2O)+('Mitigation drivers'!V211*DrylotN2O)+('Mitigation drivers'!V212*SolidStorageN2O)+('Mitigation drivers'!V213*DailyspreadN2O)+('Mitigation drivers'!V214*CompostN2O)+('Mitigation drivers'!V215*ManwithbedN2O)+('Mitigation drivers'!V216*PMwithoutlitterN2O)+('Mitigation drivers'!V217*PMwithlitterN2O)+('Mitigation drivers'!V219*DigesterN2OEF))/100</f>
        <v>1.4700000000000001E-2</v>
      </c>
      <c r="AB70" s="27">
        <f>(('Mitigation drivers'!W209*LagoonN2O)+('Mitigation drivers'!W210*LiquidN2O)+('Mitigation drivers'!W211*DrylotN2O)+('Mitigation drivers'!W212*SolidStorageN2O)+('Mitigation drivers'!W213*DailyspreadN2O)+('Mitigation drivers'!W214*CompostN2O)+('Mitigation drivers'!W215*ManwithbedN2O)+('Mitigation drivers'!W216*PMwithoutlitterN2O)+('Mitigation drivers'!W217*PMwithlitterN2O)+('Mitigation drivers'!W219*DigesterN2OEF))/100</f>
        <v>1.4700000000000001E-2</v>
      </c>
      <c r="AC70" s="27">
        <f>(('Mitigation drivers'!X209*LagoonN2O)+('Mitigation drivers'!X210*LiquidN2O)+('Mitigation drivers'!X211*DrylotN2O)+('Mitigation drivers'!X212*SolidStorageN2O)+('Mitigation drivers'!X213*DailyspreadN2O)+('Mitigation drivers'!X214*CompostN2O)+('Mitigation drivers'!X215*ManwithbedN2O)+('Mitigation drivers'!X216*PMwithoutlitterN2O)+('Mitigation drivers'!X217*PMwithlitterN2O)+('Mitigation drivers'!X219*DigesterN2OEF))/100</f>
        <v>1.4700000000000001E-2</v>
      </c>
      <c r="AD70" s="27">
        <f>(('Mitigation drivers'!Y209*LagoonN2O)+('Mitigation drivers'!Y210*LiquidN2O)+('Mitigation drivers'!Y211*DrylotN2O)+('Mitigation drivers'!Y212*SolidStorageN2O)+('Mitigation drivers'!Y213*DailyspreadN2O)+('Mitigation drivers'!Y214*CompostN2O)+('Mitigation drivers'!Y215*ManwithbedN2O)+('Mitigation drivers'!Y216*PMwithoutlitterN2O)+('Mitigation drivers'!Y217*PMwithlitterN2O)+('Mitigation drivers'!Y219*DigesterN2OEF))/100</f>
        <v>1.4700000000000001E-2</v>
      </c>
      <c r="AE70" s="27">
        <f>(('Mitigation drivers'!Z209*LagoonN2O)+('Mitigation drivers'!Z210*LiquidN2O)+('Mitigation drivers'!Z211*DrylotN2O)+('Mitigation drivers'!Z212*SolidStorageN2O)+('Mitigation drivers'!Z213*DailyspreadN2O)+('Mitigation drivers'!Z214*CompostN2O)+('Mitigation drivers'!Z215*ManwithbedN2O)+('Mitigation drivers'!Z216*PMwithoutlitterN2O)+('Mitigation drivers'!Z217*PMwithlitterN2O)+('Mitigation drivers'!Z219*DigesterN2OEF))/100</f>
        <v>1.4700000000000001E-2</v>
      </c>
      <c r="AF70" s="27">
        <f>(('Mitigation drivers'!AA209*LagoonN2O)+('Mitigation drivers'!AA210*LiquidN2O)+('Mitigation drivers'!AA211*DrylotN2O)+('Mitigation drivers'!AA212*SolidStorageN2O)+('Mitigation drivers'!AA213*DailyspreadN2O)+('Mitigation drivers'!AA214*CompostN2O)+('Mitigation drivers'!AA215*ManwithbedN2O)+('Mitigation drivers'!AA216*PMwithoutlitterN2O)+('Mitigation drivers'!AA217*PMwithlitterN2O)+('Mitigation drivers'!AA219*DigesterN2OEF))/100</f>
        <v>1.4700000000000001E-2</v>
      </c>
      <c r="AG70" s="27">
        <f>(('Mitigation drivers'!AB209*LagoonN2O)+('Mitigation drivers'!AB210*LiquidN2O)+('Mitigation drivers'!AB211*DrylotN2O)+('Mitigation drivers'!AB212*SolidStorageN2O)+('Mitigation drivers'!AB213*DailyspreadN2O)+('Mitigation drivers'!AB214*CompostN2O)+('Mitigation drivers'!AB215*ManwithbedN2O)+('Mitigation drivers'!AB216*PMwithoutlitterN2O)+('Mitigation drivers'!AB217*PMwithlitterN2O)+('Mitigation drivers'!AB219*DigesterN2OEF))/100</f>
        <v>1.4700000000000001E-2</v>
      </c>
      <c r="AH70" s="27">
        <f>(('Mitigation drivers'!AC209*LagoonN2O)+('Mitigation drivers'!AC210*LiquidN2O)+('Mitigation drivers'!AC211*DrylotN2O)+('Mitigation drivers'!AC212*SolidStorageN2O)+('Mitigation drivers'!AC213*DailyspreadN2O)+('Mitigation drivers'!AC214*CompostN2O)+('Mitigation drivers'!AC215*ManwithbedN2O)+('Mitigation drivers'!AC216*PMwithoutlitterN2O)+('Mitigation drivers'!AC217*PMwithlitterN2O)+('Mitigation drivers'!AC219*DigesterN2OEF))/100</f>
        <v>1.4700000000000001E-2</v>
      </c>
      <c r="AI70" s="27">
        <f>(('Mitigation drivers'!AD209*LagoonN2O)+('Mitigation drivers'!AD210*LiquidN2O)+('Mitigation drivers'!AD211*DrylotN2O)+('Mitigation drivers'!AD212*SolidStorageN2O)+('Mitigation drivers'!AD213*DailyspreadN2O)+('Mitigation drivers'!AD214*CompostN2O)+('Mitigation drivers'!AD215*ManwithbedN2O)+('Mitigation drivers'!AD216*PMwithoutlitterN2O)+('Mitigation drivers'!AD217*PMwithlitterN2O)+('Mitigation drivers'!AD219*DigesterN2OEF))/100</f>
        <v>1.4700000000000001E-2</v>
      </c>
      <c r="AJ70" s="27">
        <f>(('Mitigation drivers'!AE209*LagoonN2O)+('Mitigation drivers'!AE210*LiquidN2O)+('Mitigation drivers'!AE211*DrylotN2O)+('Mitigation drivers'!AE212*SolidStorageN2O)+('Mitigation drivers'!AE213*DailyspreadN2O)+('Mitigation drivers'!AE214*CompostN2O)+('Mitigation drivers'!AE215*ManwithbedN2O)+('Mitigation drivers'!AE216*PMwithoutlitterN2O)+('Mitigation drivers'!AE217*PMwithlitterN2O)+('Mitigation drivers'!AE219*DigesterN2OEF))/100</f>
        <v>1.4700000000000001E-2</v>
      </c>
      <c r="AK70" s="27">
        <f>(('Mitigation drivers'!AF209*LagoonN2O)+('Mitigation drivers'!AF210*LiquidN2O)+('Mitigation drivers'!AF211*DrylotN2O)+('Mitigation drivers'!AF212*SolidStorageN2O)+('Mitigation drivers'!AF213*DailyspreadN2O)+('Mitigation drivers'!AF214*CompostN2O)+('Mitigation drivers'!AF215*ManwithbedN2O)+('Mitigation drivers'!AF216*PMwithoutlitterN2O)+('Mitigation drivers'!AF217*PMwithlitterN2O)+('Mitigation drivers'!AF219*DigesterN2OEF))/100</f>
        <v>1.4700000000000001E-2</v>
      </c>
      <c r="AL70" s="27">
        <f>(('Mitigation drivers'!AG209*LagoonN2O)+('Mitigation drivers'!AG210*LiquidN2O)+('Mitigation drivers'!AG211*DrylotN2O)+('Mitigation drivers'!AG212*SolidStorageN2O)+('Mitigation drivers'!AG213*DailyspreadN2O)+('Mitigation drivers'!AG214*CompostN2O)+('Mitigation drivers'!AG215*ManwithbedN2O)+('Mitigation drivers'!AG216*PMwithoutlitterN2O)+('Mitigation drivers'!AG217*PMwithlitterN2O)+('Mitigation drivers'!AG219*DigesterN2OEF))/100</f>
        <v>1.4700000000000001E-2</v>
      </c>
      <c r="AM70" s="27">
        <f>(('Mitigation drivers'!AH209*LagoonN2O)+('Mitigation drivers'!AH210*LiquidN2O)+('Mitigation drivers'!AH211*DrylotN2O)+('Mitigation drivers'!AH212*SolidStorageN2O)+('Mitigation drivers'!AH213*DailyspreadN2O)+('Mitigation drivers'!AH214*CompostN2O)+('Mitigation drivers'!AH215*ManwithbedN2O)+('Mitigation drivers'!AH216*PMwithoutlitterN2O)+('Mitigation drivers'!AH217*PMwithlitterN2O)+('Mitigation drivers'!AH219*DigesterN2OEF))/100</f>
        <v>1.4700000000000001E-2</v>
      </c>
      <c r="AN70" s="27">
        <f>(('Mitigation drivers'!AI209*LagoonN2O)+('Mitigation drivers'!AI210*LiquidN2O)+('Mitigation drivers'!AI211*DrylotN2O)+('Mitigation drivers'!AI212*SolidStorageN2O)+('Mitigation drivers'!AI213*DailyspreadN2O)+('Mitigation drivers'!AI214*CompostN2O)+('Mitigation drivers'!AI215*ManwithbedN2O)+('Mitigation drivers'!AI216*PMwithoutlitterN2O)+('Mitigation drivers'!AI217*PMwithlitterN2O)+('Mitigation drivers'!AI219*DigesterN2OEF))/100</f>
        <v>1.4700000000000001E-2</v>
      </c>
      <c r="AO70" s="27">
        <f>(('Mitigation drivers'!AJ209*LagoonN2O)+('Mitigation drivers'!AJ210*LiquidN2O)+('Mitigation drivers'!AJ211*DrylotN2O)+('Mitigation drivers'!AJ212*SolidStorageN2O)+('Mitigation drivers'!AJ213*DailyspreadN2O)+('Mitigation drivers'!AJ214*CompostN2O)+('Mitigation drivers'!AJ215*ManwithbedN2O)+('Mitigation drivers'!AJ216*PMwithoutlitterN2O)+('Mitigation drivers'!AJ217*PMwithlitterN2O)+('Mitigation drivers'!AJ219*DigesterN2OEF))/100</f>
        <v>1.4700000000000001E-2</v>
      </c>
    </row>
    <row r="71" spans="1:41" x14ac:dyDescent="0.25">
      <c r="A71" t="str">
        <f t="shared" si="30"/>
        <v>3A Livestock</v>
      </c>
      <c r="B71" t="str">
        <f t="shared" si="8"/>
        <v>3A2 Manure management (N2O)</v>
      </c>
      <c r="C71" t="str">
        <f>'Activity data'!C22</f>
        <v>3A2i Poultry</v>
      </c>
      <c r="D71" t="str">
        <f>'Activity data'!D22</f>
        <v>Subsistence broilers</v>
      </c>
      <c r="E71" t="str">
        <f t="shared" si="27"/>
        <v>Manure management EF</v>
      </c>
      <c r="F71" t="str">
        <f t="shared" si="28"/>
        <v>N2O</v>
      </c>
      <c r="G71" t="str">
        <f t="shared" si="29"/>
        <v>kg N2O-N/kg Nex</v>
      </c>
      <c r="H71" s="27">
        <f>(('Mitigation drivers'!C221*LagoonN2O)+('Mitigation drivers'!C222*LiquidN2O)+('Mitigation drivers'!C223*DrylotN2O)+('Mitigation drivers'!C224*SolidStorageN2O)+('Mitigation drivers'!C225*DailyspreadN2O)+('Mitigation drivers'!C226*CompostN2O)+('Mitigation drivers'!C227*ManwithbedN2O)+('Mitigation drivers'!C228*PMwithoutlitterN2O)+('Mitigation drivers'!C229*PMwithlitterN2O)+('Mitigation drivers'!C231*DigesterN2OEF))/100</f>
        <v>1.6449999999999999E-2</v>
      </c>
      <c r="I71" s="27">
        <f>(('Mitigation drivers'!D221*LagoonN2O)+('Mitigation drivers'!D222*LiquidN2O)+('Mitigation drivers'!D223*DrylotN2O)+('Mitigation drivers'!D224*SolidStorageN2O)+('Mitigation drivers'!D225*DailyspreadN2O)+('Mitigation drivers'!D226*CompostN2O)+('Mitigation drivers'!D227*ManwithbedN2O)+('Mitigation drivers'!D228*PMwithoutlitterN2O)+('Mitigation drivers'!D229*PMwithlitterN2O)+('Mitigation drivers'!D231*DigesterN2OEF))/100</f>
        <v>1.6449999999999999E-2</v>
      </c>
      <c r="J71" s="27">
        <f>(('Mitigation drivers'!E221*LagoonN2O)+('Mitigation drivers'!E222*LiquidN2O)+('Mitigation drivers'!E223*DrylotN2O)+('Mitigation drivers'!E224*SolidStorageN2O)+('Mitigation drivers'!E225*DailyspreadN2O)+('Mitigation drivers'!E226*CompostN2O)+('Mitigation drivers'!E227*ManwithbedN2O)+('Mitigation drivers'!E228*PMwithoutlitterN2O)+('Mitigation drivers'!E229*PMwithlitterN2O)+('Mitigation drivers'!E231*DigesterN2OEF))/100</f>
        <v>1.6449999999999999E-2</v>
      </c>
      <c r="K71" s="27">
        <f>(('Mitigation drivers'!F221*LagoonN2O)+('Mitigation drivers'!F222*LiquidN2O)+('Mitigation drivers'!F223*DrylotN2O)+('Mitigation drivers'!F224*SolidStorageN2O)+('Mitigation drivers'!F225*DailyspreadN2O)+('Mitigation drivers'!F226*CompostN2O)+('Mitigation drivers'!F227*ManwithbedN2O)+('Mitigation drivers'!F228*PMwithoutlitterN2O)+('Mitigation drivers'!F229*PMwithlitterN2O)+('Mitigation drivers'!F231*DigesterN2OEF))/100</f>
        <v>1.6449999999999999E-2</v>
      </c>
      <c r="L71" s="27">
        <f>(('Mitigation drivers'!G221*LagoonN2O)+('Mitigation drivers'!G222*LiquidN2O)+('Mitigation drivers'!G223*DrylotN2O)+('Mitigation drivers'!G224*SolidStorageN2O)+('Mitigation drivers'!G225*DailyspreadN2O)+('Mitigation drivers'!G226*CompostN2O)+('Mitigation drivers'!G227*ManwithbedN2O)+('Mitigation drivers'!G228*PMwithoutlitterN2O)+('Mitigation drivers'!G229*PMwithlitterN2O)+('Mitigation drivers'!G231*DigesterN2OEF))/100</f>
        <v>1.6449999999999999E-2</v>
      </c>
      <c r="M71" s="27">
        <f>(('Mitigation drivers'!H221*LagoonN2O)+('Mitigation drivers'!H222*LiquidN2O)+('Mitigation drivers'!H223*DrylotN2O)+('Mitigation drivers'!H224*SolidStorageN2O)+('Mitigation drivers'!H225*DailyspreadN2O)+('Mitigation drivers'!H226*CompostN2O)+('Mitigation drivers'!H227*ManwithbedN2O)+('Mitigation drivers'!H228*PMwithoutlitterN2O)+('Mitigation drivers'!H229*PMwithlitterN2O)+('Mitigation drivers'!H231*DigesterN2OEF))/100</f>
        <v>1.6449999999999999E-2</v>
      </c>
      <c r="N71" s="27">
        <f>(('Mitigation drivers'!I221*LagoonN2O)+('Mitigation drivers'!I222*LiquidN2O)+('Mitigation drivers'!I223*DrylotN2O)+('Mitigation drivers'!I224*SolidStorageN2O)+('Mitigation drivers'!I225*DailyspreadN2O)+('Mitigation drivers'!I226*CompostN2O)+('Mitigation drivers'!I227*ManwithbedN2O)+('Mitigation drivers'!I228*PMwithoutlitterN2O)+('Mitigation drivers'!I229*PMwithlitterN2O)+('Mitigation drivers'!I231*DigesterN2OEF))/100</f>
        <v>1.6449999999999999E-2</v>
      </c>
      <c r="O71" s="27">
        <f>(('Mitigation drivers'!J221*LagoonN2O)+('Mitigation drivers'!J222*LiquidN2O)+('Mitigation drivers'!J223*DrylotN2O)+('Mitigation drivers'!J224*SolidStorageN2O)+('Mitigation drivers'!J225*DailyspreadN2O)+('Mitigation drivers'!J226*CompostN2O)+('Mitigation drivers'!J227*ManwithbedN2O)+('Mitigation drivers'!J228*PMwithoutlitterN2O)+('Mitigation drivers'!J229*PMwithlitterN2O)+('Mitigation drivers'!J231*DigesterN2OEF))/100</f>
        <v>1.6449999999999999E-2</v>
      </c>
      <c r="P71" s="27">
        <f>(('Mitigation drivers'!K221*LagoonN2O)+('Mitigation drivers'!K222*LiquidN2O)+('Mitigation drivers'!K223*DrylotN2O)+('Mitigation drivers'!K224*SolidStorageN2O)+('Mitigation drivers'!K225*DailyspreadN2O)+('Mitigation drivers'!K226*CompostN2O)+('Mitigation drivers'!K227*ManwithbedN2O)+('Mitigation drivers'!K228*PMwithoutlitterN2O)+('Mitigation drivers'!K229*PMwithlitterN2O)+('Mitigation drivers'!K231*DigesterN2OEF))/100</f>
        <v>1.6449999999999999E-2</v>
      </c>
      <c r="Q71" s="27">
        <f>(('Mitigation drivers'!L221*LagoonN2O)+('Mitigation drivers'!L222*LiquidN2O)+('Mitigation drivers'!L223*DrylotN2O)+('Mitigation drivers'!L224*SolidStorageN2O)+('Mitigation drivers'!L225*DailyspreadN2O)+('Mitigation drivers'!L226*CompostN2O)+('Mitigation drivers'!L227*ManwithbedN2O)+('Mitigation drivers'!L228*PMwithoutlitterN2O)+('Mitigation drivers'!L229*PMwithlitterN2O)+('Mitigation drivers'!L231*DigesterN2OEF))/100</f>
        <v>1.6449999999999999E-2</v>
      </c>
      <c r="R71" s="27">
        <f>(('Mitigation drivers'!M221*LagoonN2O)+('Mitigation drivers'!M222*LiquidN2O)+('Mitigation drivers'!M223*DrylotN2O)+('Mitigation drivers'!M224*SolidStorageN2O)+('Mitigation drivers'!M225*DailyspreadN2O)+('Mitigation drivers'!M226*CompostN2O)+('Mitigation drivers'!M227*ManwithbedN2O)+('Mitigation drivers'!M228*PMwithoutlitterN2O)+('Mitigation drivers'!M229*PMwithlitterN2O)+('Mitigation drivers'!M231*DigesterN2OEF))/100</f>
        <v>1.6449999999999999E-2</v>
      </c>
      <c r="S71" s="27">
        <f>(('Mitigation drivers'!N221*LagoonN2O)+('Mitigation drivers'!N222*LiquidN2O)+('Mitigation drivers'!N223*DrylotN2O)+('Mitigation drivers'!N224*SolidStorageN2O)+('Mitigation drivers'!N225*DailyspreadN2O)+('Mitigation drivers'!N226*CompostN2O)+('Mitigation drivers'!N227*ManwithbedN2O)+('Mitigation drivers'!N228*PMwithoutlitterN2O)+('Mitigation drivers'!N229*PMwithlitterN2O)+('Mitigation drivers'!N231*DigesterN2OEF))/100</f>
        <v>1.6449999999999999E-2</v>
      </c>
      <c r="T71" s="27">
        <f>(('Mitigation drivers'!O221*LagoonN2O)+('Mitigation drivers'!O222*LiquidN2O)+('Mitigation drivers'!O223*DrylotN2O)+('Mitigation drivers'!O224*SolidStorageN2O)+('Mitigation drivers'!O225*DailyspreadN2O)+('Mitigation drivers'!O226*CompostN2O)+('Mitigation drivers'!O227*ManwithbedN2O)+('Mitigation drivers'!O228*PMwithoutlitterN2O)+('Mitigation drivers'!O229*PMwithlitterN2O)+('Mitigation drivers'!O231*DigesterN2OEF))/100</f>
        <v>1.6449999999999999E-2</v>
      </c>
      <c r="U71" s="27">
        <f>(('Mitigation drivers'!P221*LagoonN2O)+('Mitigation drivers'!P222*LiquidN2O)+('Mitigation drivers'!P223*DrylotN2O)+('Mitigation drivers'!P224*SolidStorageN2O)+('Mitigation drivers'!P225*DailyspreadN2O)+('Mitigation drivers'!P226*CompostN2O)+('Mitigation drivers'!P227*ManwithbedN2O)+('Mitigation drivers'!P228*PMwithoutlitterN2O)+('Mitigation drivers'!P229*PMwithlitterN2O)+('Mitigation drivers'!P231*DigesterN2OEF))/100</f>
        <v>1.6449999999999999E-2</v>
      </c>
      <c r="V71" s="27">
        <f>(('Mitigation drivers'!Q221*LagoonN2O)+('Mitigation drivers'!Q222*LiquidN2O)+('Mitigation drivers'!Q223*DrylotN2O)+('Mitigation drivers'!Q224*SolidStorageN2O)+('Mitigation drivers'!Q225*DailyspreadN2O)+('Mitigation drivers'!Q226*CompostN2O)+('Mitigation drivers'!Q227*ManwithbedN2O)+('Mitigation drivers'!Q228*PMwithoutlitterN2O)+('Mitigation drivers'!Q229*PMwithlitterN2O)+('Mitigation drivers'!Q231*DigesterN2OEF))/100</f>
        <v>1.6449999999999999E-2</v>
      </c>
      <c r="W71" s="27">
        <f>(('Mitigation drivers'!R221*LagoonN2O)+('Mitigation drivers'!R222*LiquidN2O)+('Mitigation drivers'!R223*DrylotN2O)+('Mitigation drivers'!R224*SolidStorageN2O)+('Mitigation drivers'!R225*DailyspreadN2O)+('Mitigation drivers'!R226*CompostN2O)+('Mitigation drivers'!R227*ManwithbedN2O)+('Mitigation drivers'!R228*PMwithoutlitterN2O)+('Mitigation drivers'!R229*PMwithlitterN2O)+('Mitigation drivers'!R231*DigesterN2OEF))/100</f>
        <v>1.6449999999999999E-2</v>
      </c>
      <c r="X71" s="27">
        <f>(('Mitigation drivers'!S221*LagoonN2O)+('Mitigation drivers'!S222*LiquidN2O)+('Mitigation drivers'!S223*DrylotN2O)+('Mitigation drivers'!S224*SolidStorageN2O)+('Mitigation drivers'!S225*DailyspreadN2O)+('Mitigation drivers'!S226*CompostN2O)+('Mitigation drivers'!S227*ManwithbedN2O)+('Mitigation drivers'!S228*PMwithoutlitterN2O)+('Mitigation drivers'!S229*PMwithlitterN2O)+('Mitigation drivers'!S231*DigesterN2OEF))/100</f>
        <v>1.6449999999999999E-2</v>
      </c>
      <c r="Y71" s="27">
        <f>(('Mitigation drivers'!T221*LagoonN2O)+('Mitigation drivers'!T222*LiquidN2O)+('Mitigation drivers'!T223*DrylotN2O)+('Mitigation drivers'!T224*SolidStorageN2O)+('Mitigation drivers'!T225*DailyspreadN2O)+('Mitigation drivers'!T226*CompostN2O)+('Mitigation drivers'!T227*ManwithbedN2O)+('Mitigation drivers'!T228*PMwithoutlitterN2O)+('Mitigation drivers'!T229*PMwithlitterN2O)+('Mitigation drivers'!T231*DigesterN2OEF))/100</f>
        <v>1.6449999999999999E-2</v>
      </c>
      <c r="Z71" s="27">
        <f>(('Mitigation drivers'!U221*LagoonN2O)+('Mitigation drivers'!U222*LiquidN2O)+('Mitigation drivers'!U223*DrylotN2O)+('Mitigation drivers'!U224*SolidStorageN2O)+('Mitigation drivers'!U225*DailyspreadN2O)+('Mitigation drivers'!U226*CompostN2O)+('Mitigation drivers'!U227*ManwithbedN2O)+('Mitigation drivers'!U228*PMwithoutlitterN2O)+('Mitigation drivers'!U229*PMwithlitterN2O)+('Mitigation drivers'!U231*DigesterN2OEF))/100</f>
        <v>1.6449999999999999E-2</v>
      </c>
      <c r="AA71" s="27">
        <f>(('Mitigation drivers'!V221*LagoonN2O)+('Mitigation drivers'!V222*LiquidN2O)+('Mitigation drivers'!V223*DrylotN2O)+('Mitigation drivers'!V224*SolidStorageN2O)+('Mitigation drivers'!V225*DailyspreadN2O)+('Mitigation drivers'!V226*CompostN2O)+('Mitigation drivers'!V227*ManwithbedN2O)+('Mitigation drivers'!V228*PMwithoutlitterN2O)+('Mitigation drivers'!V229*PMwithlitterN2O)+('Mitigation drivers'!V231*DigesterN2OEF))/100</f>
        <v>1.6449999999999999E-2</v>
      </c>
      <c r="AB71" s="27">
        <f>(('Mitigation drivers'!W221*LagoonN2O)+('Mitigation drivers'!W222*LiquidN2O)+('Mitigation drivers'!W223*DrylotN2O)+('Mitigation drivers'!W224*SolidStorageN2O)+('Mitigation drivers'!W225*DailyspreadN2O)+('Mitigation drivers'!W226*CompostN2O)+('Mitigation drivers'!W227*ManwithbedN2O)+('Mitigation drivers'!W228*PMwithoutlitterN2O)+('Mitigation drivers'!W229*PMwithlitterN2O)+('Mitigation drivers'!W231*DigesterN2OEF))/100</f>
        <v>1.6449999999999999E-2</v>
      </c>
      <c r="AC71" s="27">
        <f>(('Mitigation drivers'!X221*LagoonN2O)+('Mitigation drivers'!X222*LiquidN2O)+('Mitigation drivers'!X223*DrylotN2O)+('Mitigation drivers'!X224*SolidStorageN2O)+('Mitigation drivers'!X225*DailyspreadN2O)+('Mitigation drivers'!X226*CompostN2O)+('Mitigation drivers'!X227*ManwithbedN2O)+('Mitigation drivers'!X228*PMwithoutlitterN2O)+('Mitigation drivers'!X229*PMwithlitterN2O)+('Mitigation drivers'!X231*DigesterN2OEF))/100</f>
        <v>1.6449999999999999E-2</v>
      </c>
      <c r="AD71" s="27">
        <f>(('Mitigation drivers'!Y221*LagoonN2O)+('Mitigation drivers'!Y222*LiquidN2O)+('Mitigation drivers'!Y223*DrylotN2O)+('Mitigation drivers'!Y224*SolidStorageN2O)+('Mitigation drivers'!Y225*DailyspreadN2O)+('Mitigation drivers'!Y226*CompostN2O)+('Mitigation drivers'!Y227*ManwithbedN2O)+('Mitigation drivers'!Y228*PMwithoutlitterN2O)+('Mitigation drivers'!Y229*PMwithlitterN2O)+('Mitigation drivers'!Y231*DigesterN2OEF))/100</f>
        <v>1.6449999999999999E-2</v>
      </c>
      <c r="AE71" s="27">
        <f>(('Mitigation drivers'!Z221*LagoonN2O)+('Mitigation drivers'!Z222*LiquidN2O)+('Mitigation drivers'!Z223*DrylotN2O)+('Mitigation drivers'!Z224*SolidStorageN2O)+('Mitigation drivers'!Z225*DailyspreadN2O)+('Mitigation drivers'!Z226*CompostN2O)+('Mitigation drivers'!Z227*ManwithbedN2O)+('Mitigation drivers'!Z228*PMwithoutlitterN2O)+('Mitigation drivers'!Z229*PMwithlitterN2O)+('Mitigation drivers'!Z231*DigesterN2OEF))/100</f>
        <v>1.6449999999999999E-2</v>
      </c>
      <c r="AF71" s="27">
        <f>(('Mitigation drivers'!AA221*LagoonN2O)+('Mitigation drivers'!AA222*LiquidN2O)+('Mitigation drivers'!AA223*DrylotN2O)+('Mitigation drivers'!AA224*SolidStorageN2O)+('Mitigation drivers'!AA225*DailyspreadN2O)+('Mitigation drivers'!AA226*CompostN2O)+('Mitigation drivers'!AA227*ManwithbedN2O)+('Mitigation drivers'!AA228*PMwithoutlitterN2O)+('Mitigation drivers'!AA229*PMwithlitterN2O)+('Mitigation drivers'!AA231*DigesterN2OEF))/100</f>
        <v>1.6449999999999999E-2</v>
      </c>
      <c r="AG71" s="27">
        <f>(('Mitigation drivers'!AB221*LagoonN2O)+('Mitigation drivers'!AB222*LiquidN2O)+('Mitigation drivers'!AB223*DrylotN2O)+('Mitigation drivers'!AB224*SolidStorageN2O)+('Mitigation drivers'!AB225*DailyspreadN2O)+('Mitigation drivers'!AB226*CompostN2O)+('Mitigation drivers'!AB227*ManwithbedN2O)+('Mitigation drivers'!AB228*PMwithoutlitterN2O)+('Mitigation drivers'!AB229*PMwithlitterN2O)+('Mitigation drivers'!AB231*DigesterN2OEF))/100</f>
        <v>1.6449999999999999E-2</v>
      </c>
      <c r="AH71" s="27">
        <f>(('Mitigation drivers'!AC221*LagoonN2O)+('Mitigation drivers'!AC222*LiquidN2O)+('Mitigation drivers'!AC223*DrylotN2O)+('Mitigation drivers'!AC224*SolidStorageN2O)+('Mitigation drivers'!AC225*DailyspreadN2O)+('Mitigation drivers'!AC226*CompostN2O)+('Mitigation drivers'!AC227*ManwithbedN2O)+('Mitigation drivers'!AC228*PMwithoutlitterN2O)+('Mitigation drivers'!AC229*PMwithlitterN2O)+('Mitigation drivers'!AC231*DigesterN2OEF))/100</f>
        <v>1.6449999999999999E-2</v>
      </c>
      <c r="AI71" s="27">
        <f>(('Mitigation drivers'!AD221*LagoonN2O)+('Mitigation drivers'!AD222*LiquidN2O)+('Mitigation drivers'!AD223*DrylotN2O)+('Mitigation drivers'!AD224*SolidStorageN2O)+('Mitigation drivers'!AD225*DailyspreadN2O)+('Mitigation drivers'!AD226*CompostN2O)+('Mitigation drivers'!AD227*ManwithbedN2O)+('Mitigation drivers'!AD228*PMwithoutlitterN2O)+('Mitigation drivers'!AD229*PMwithlitterN2O)+('Mitigation drivers'!AD231*DigesterN2OEF))/100</f>
        <v>1.6449999999999999E-2</v>
      </c>
      <c r="AJ71" s="27">
        <f>(('Mitigation drivers'!AE221*LagoonN2O)+('Mitigation drivers'!AE222*LiquidN2O)+('Mitigation drivers'!AE223*DrylotN2O)+('Mitigation drivers'!AE224*SolidStorageN2O)+('Mitigation drivers'!AE225*DailyspreadN2O)+('Mitigation drivers'!AE226*CompostN2O)+('Mitigation drivers'!AE227*ManwithbedN2O)+('Mitigation drivers'!AE228*PMwithoutlitterN2O)+('Mitigation drivers'!AE229*PMwithlitterN2O)+('Mitigation drivers'!AE231*DigesterN2OEF))/100</f>
        <v>1.6449999999999999E-2</v>
      </c>
      <c r="AK71" s="27">
        <f>(('Mitigation drivers'!AF221*LagoonN2O)+('Mitigation drivers'!AF222*LiquidN2O)+('Mitigation drivers'!AF223*DrylotN2O)+('Mitigation drivers'!AF224*SolidStorageN2O)+('Mitigation drivers'!AF225*DailyspreadN2O)+('Mitigation drivers'!AF226*CompostN2O)+('Mitigation drivers'!AF227*ManwithbedN2O)+('Mitigation drivers'!AF228*PMwithoutlitterN2O)+('Mitigation drivers'!AF229*PMwithlitterN2O)+('Mitigation drivers'!AF231*DigesterN2OEF))/100</f>
        <v>1.6449999999999999E-2</v>
      </c>
      <c r="AL71" s="27">
        <f>(('Mitigation drivers'!AG221*LagoonN2O)+('Mitigation drivers'!AG222*LiquidN2O)+('Mitigation drivers'!AG223*DrylotN2O)+('Mitigation drivers'!AG224*SolidStorageN2O)+('Mitigation drivers'!AG225*DailyspreadN2O)+('Mitigation drivers'!AG226*CompostN2O)+('Mitigation drivers'!AG227*ManwithbedN2O)+('Mitigation drivers'!AG228*PMwithoutlitterN2O)+('Mitigation drivers'!AG229*PMwithlitterN2O)+('Mitigation drivers'!AG231*DigesterN2OEF))/100</f>
        <v>1.6449999999999999E-2</v>
      </c>
      <c r="AM71" s="27">
        <f>(('Mitigation drivers'!AH221*LagoonN2O)+('Mitigation drivers'!AH222*LiquidN2O)+('Mitigation drivers'!AH223*DrylotN2O)+('Mitigation drivers'!AH224*SolidStorageN2O)+('Mitigation drivers'!AH225*DailyspreadN2O)+('Mitigation drivers'!AH226*CompostN2O)+('Mitigation drivers'!AH227*ManwithbedN2O)+('Mitigation drivers'!AH228*PMwithoutlitterN2O)+('Mitigation drivers'!AH229*PMwithlitterN2O)+('Mitigation drivers'!AH231*DigesterN2OEF))/100</f>
        <v>1.6449999999999999E-2</v>
      </c>
      <c r="AN71" s="27">
        <f>(('Mitigation drivers'!AI221*LagoonN2O)+('Mitigation drivers'!AI222*LiquidN2O)+('Mitigation drivers'!AI223*DrylotN2O)+('Mitigation drivers'!AI224*SolidStorageN2O)+('Mitigation drivers'!AI225*DailyspreadN2O)+('Mitigation drivers'!AI226*CompostN2O)+('Mitigation drivers'!AI227*ManwithbedN2O)+('Mitigation drivers'!AI228*PMwithoutlitterN2O)+('Mitigation drivers'!AI229*PMwithlitterN2O)+('Mitigation drivers'!AI231*DigesterN2OEF))/100</f>
        <v>1.6449999999999999E-2</v>
      </c>
      <c r="AO71" s="27">
        <f>(('Mitigation drivers'!AJ221*LagoonN2O)+('Mitigation drivers'!AJ222*LiquidN2O)+('Mitigation drivers'!AJ223*DrylotN2O)+('Mitigation drivers'!AJ224*SolidStorageN2O)+('Mitigation drivers'!AJ225*DailyspreadN2O)+('Mitigation drivers'!AJ226*CompostN2O)+('Mitigation drivers'!AJ227*ManwithbedN2O)+('Mitigation drivers'!AJ228*PMwithoutlitterN2O)+('Mitigation drivers'!AJ229*PMwithlitterN2O)+('Mitigation drivers'!AJ231*DigesterN2OEF))/100</f>
        <v>1.6449999999999999E-2</v>
      </c>
    </row>
    <row r="73" spans="1:41" x14ac:dyDescent="0.25">
      <c r="A73" t="str">
        <f>'IPCC Categories'!A5</f>
        <v>3A Livestock</v>
      </c>
      <c r="B73" t="str">
        <f>'IPCC Categories'!B20</f>
        <v>3A2 Manure management (N2O)</v>
      </c>
      <c r="C73" t="str">
        <f>'IPCC Categories'!B20</f>
        <v>3A2 Manure management (N2O)</v>
      </c>
      <c r="D73" t="s">
        <v>298</v>
      </c>
      <c r="E73" t="s">
        <v>297</v>
      </c>
      <c r="F73" t="s">
        <v>143</v>
      </c>
      <c r="G73" t="s">
        <v>149</v>
      </c>
      <c r="H73" s="28">
        <v>0</v>
      </c>
    </row>
    <row r="74" spans="1:41" x14ac:dyDescent="0.25">
      <c r="A74" t="str">
        <f>A73</f>
        <v>3A Livestock</v>
      </c>
      <c r="B74" t="str">
        <f>B73</f>
        <v>3A2 Manure management (N2O)</v>
      </c>
      <c r="C74" t="str">
        <f>C73</f>
        <v>3A2 Manure management (N2O)</v>
      </c>
      <c r="D74" t="s">
        <v>299</v>
      </c>
      <c r="E74" t="str">
        <f>E73</f>
        <v>Manure EF</v>
      </c>
      <c r="F74" t="str">
        <f>F73</f>
        <v>N2O</v>
      </c>
      <c r="G74" t="str">
        <f>G73</f>
        <v>kg N2O-N/kg Nex</v>
      </c>
      <c r="H74" s="28">
        <v>0</v>
      </c>
    </row>
    <row r="75" spans="1:41" x14ac:dyDescent="0.25">
      <c r="A75" t="str">
        <f t="shared" ref="A75:A82" si="31">A74</f>
        <v>3A Livestock</v>
      </c>
      <c r="B75" t="str">
        <f t="shared" ref="B75:B82" si="32">B74</f>
        <v>3A2 Manure management (N2O)</v>
      </c>
      <c r="C75" t="str">
        <f t="shared" ref="C75:C82" si="33">C74</f>
        <v>3A2 Manure management (N2O)</v>
      </c>
      <c r="D75" t="s">
        <v>300</v>
      </c>
      <c r="E75" t="str">
        <f t="shared" ref="E75:E82" si="34">E74</f>
        <v>Manure EF</v>
      </c>
      <c r="F75" t="str">
        <f t="shared" ref="F75:F82" si="35">F74</f>
        <v>N2O</v>
      </c>
      <c r="G75" t="str">
        <f t="shared" ref="G75:G82" si="36">G74</f>
        <v>kg N2O-N/kg Nex</v>
      </c>
      <c r="H75" s="28">
        <v>0.02</v>
      </c>
    </row>
    <row r="76" spans="1:41" x14ac:dyDescent="0.25">
      <c r="A76" t="str">
        <f t="shared" si="31"/>
        <v>3A Livestock</v>
      </c>
      <c r="B76" t="str">
        <f t="shared" si="32"/>
        <v>3A2 Manure management (N2O)</v>
      </c>
      <c r="C76" t="str">
        <f t="shared" si="33"/>
        <v>3A2 Manure management (N2O)</v>
      </c>
      <c r="D76" t="s">
        <v>301</v>
      </c>
      <c r="E76" t="str">
        <f t="shared" si="34"/>
        <v>Manure EF</v>
      </c>
      <c r="F76" t="str">
        <f t="shared" si="35"/>
        <v>N2O</v>
      </c>
      <c r="G76" t="str">
        <f t="shared" si="36"/>
        <v>kg N2O-N/kg Nex</v>
      </c>
      <c r="H76" s="28">
        <v>5.0000000000000001E-3</v>
      </c>
    </row>
    <row r="77" spans="1:41" x14ac:dyDescent="0.25">
      <c r="A77" t="str">
        <f t="shared" si="31"/>
        <v>3A Livestock</v>
      </c>
      <c r="B77" t="str">
        <f t="shared" si="32"/>
        <v>3A2 Manure management (N2O)</v>
      </c>
      <c r="C77" t="str">
        <f t="shared" si="33"/>
        <v>3A2 Manure management (N2O)</v>
      </c>
      <c r="D77" t="s">
        <v>302</v>
      </c>
      <c r="E77" t="str">
        <f t="shared" si="34"/>
        <v>Manure EF</v>
      </c>
      <c r="F77" t="str">
        <f t="shared" si="35"/>
        <v>N2O</v>
      </c>
      <c r="G77" t="str">
        <f t="shared" si="36"/>
        <v>kg N2O-N/kg Nex</v>
      </c>
      <c r="H77" s="28">
        <v>0</v>
      </c>
    </row>
    <row r="78" spans="1:41" x14ac:dyDescent="0.25">
      <c r="A78" t="str">
        <f t="shared" si="31"/>
        <v>3A Livestock</v>
      </c>
      <c r="B78" t="str">
        <f t="shared" si="32"/>
        <v>3A2 Manure management (N2O)</v>
      </c>
      <c r="C78" t="str">
        <f t="shared" si="33"/>
        <v>3A2 Manure management (N2O)</v>
      </c>
      <c r="D78" t="s">
        <v>303</v>
      </c>
      <c r="E78" t="str">
        <f t="shared" si="34"/>
        <v>Manure EF</v>
      </c>
      <c r="F78" t="str">
        <f t="shared" si="35"/>
        <v>N2O</v>
      </c>
      <c r="G78" t="str">
        <f t="shared" si="36"/>
        <v>kg N2O-N/kg Nex</v>
      </c>
      <c r="H78" s="28">
        <v>6.0000000000000001E-3</v>
      </c>
    </row>
    <row r="79" spans="1:41" x14ac:dyDescent="0.25">
      <c r="A79" t="str">
        <f t="shared" si="31"/>
        <v>3A Livestock</v>
      </c>
      <c r="B79" t="str">
        <f t="shared" si="32"/>
        <v>3A2 Manure management (N2O)</v>
      </c>
      <c r="C79" t="str">
        <f t="shared" si="33"/>
        <v>3A2 Manure management (N2O)</v>
      </c>
      <c r="D79" t="s">
        <v>304</v>
      </c>
      <c r="E79" t="str">
        <f t="shared" si="34"/>
        <v>Manure EF</v>
      </c>
      <c r="F79" t="str">
        <f t="shared" si="35"/>
        <v>N2O</v>
      </c>
      <c r="G79" t="str">
        <f t="shared" si="36"/>
        <v>kg N2O-N/kg Nex</v>
      </c>
      <c r="H79" s="28">
        <v>0.01</v>
      </c>
    </row>
    <row r="80" spans="1:41" x14ac:dyDescent="0.25">
      <c r="A80" t="str">
        <f t="shared" si="31"/>
        <v>3A Livestock</v>
      </c>
      <c r="B80" t="str">
        <f t="shared" si="32"/>
        <v>3A2 Manure management (N2O)</v>
      </c>
      <c r="C80" t="str">
        <f t="shared" si="33"/>
        <v>3A2 Manure management (N2O)</v>
      </c>
      <c r="D80" t="s">
        <v>305</v>
      </c>
      <c r="E80" t="str">
        <f t="shared" si="34"/>
        <v>Manure EF</v>
      </c>
      <c r="F80" t="str">
        <f t="shared" si="35"/>
        <v>N2O</v>
      </c>
      <c r="G80" t="str">
        <f t="shared" si="36"/>
        <v>kg N2O-N/kg Nex</v>
      </c>
      <c r="H80" s="28">
        <v>1E-3</v>
      </c>
    </row>
    <row r="81" spans="1:8" x14ac:dyDescent="0.25">
      <c r="A81" t="str">
        <f t="shared" si="31"/>
        <v>3A Livestock</v>
      </c>
      <c r="B81" t="str">
        <f t="shared" si="32"/>
        <v>3A2 Manure management (N2O)</v>
      </c>
      <c r="C81" t="str">
        <f t="shared" si="33"/>
        <v>3A2 Manure management (N2O)</v>
      </c>
      <c r="D81" t="s">
        <v>306</v>
      </c>
      <c r="E81" t="str">
        <f t="shared" si="34"/>
        <v>Manure EF</v>
      </c>
      <c r="F81" t="str">
        <f t="shared" si="35"/>
        <v>N2O</v>
      </c>
      <c r="G81" t="str">
        <f t="shared" si="36"/>
        <v>kg N2O-N/kg Nex</v>
      </c>
      <c r="H81" s="28">
        <v>1E-3</v>
      </c>
    </row>
    <row r="82" spans="1:8" x14ac:dyDescent="0.25">
      <c r="A82" t="str">
        <f t="shared" si="31"/>
        <v>3A Livestock</v>
      </c>
      <c r="B82" t="str">
        <f t="shared" si="32"/>
        <v>3A2 Manure management (N2O)</v>
      </c>
      <c r="C82" t="str">
        <f t="shared" si="33"/>
        <v>3A2 Manure management (N2O)</v>
      </c>
      <c r="D82" t="s">
        <v>871</v>
      </c>
      <c r="E82" t="str">
        <f t="shared" si="34"/>
        <v>Manure EF</v>
      </c>
      <c r="F82" t="str">
        <f t="shared" si="35"/>
        <v>N2O</v>
      </c>
      <c r="G82" t="str">
        <f t="shared" si="36"/>
        <v>kg N2O-N/kg Nex</v>
      </c>
      <c r="H82" s="28">
        <v>0</v>
      </c>
    </row>
    <row r="84" spans="1:8" x14ac:dyDescent="0.25">
      <c r="A84" t="str">
        <f>'IPCC Categories'!A59</f>
        <v>3C Aggregated and non-CO2 emissions on land</v>
      </c>
      <c r="B84" t="str">
        <f>'IPCC Categories'!B59</f>
        <v>3C1 Biomass burning (CH4)</v>
      </c>
      <c r="C84" t="str">
        <f>'Activity data'!C24</f>
        <v>3C1a Biomass burning in forest land</v>
      </c>
      <c r="D84" t="str">
        <f>'Activity data'!D24</f>
        <v>Indigenous forests</v>
      </c>
      <c r="E84" t="s">
        <v>414</v>
      </c>
      <c r="G84" t="s">
        <v>415</v>
      </c>
      <c r="H84" s="57">
        <v>19.8</v>
      </c>
    </row>
    <row r="85" spans="1:8" x14ac:dyDescent="0.25">
      <c r="A85" t="str">
        <f>A84</f>
        <v>3C Aggregated and non-CO2 emissions on land</v>
      </c>
      <c r="B85" t="str">
        <f>B84</f>
        <v>3C1 Biomass burning (CH4)</v>
      </c>
      <c r="C85" t="str">
        <f>'Activity data'!C25</f>
        <v>3C1a Biomass burning in forest land</v>
      </c>
      <c r="D85" t="str">
        <f>'Activity data'!D25</f>
        <v>Thickets</v>
      </c>
      <c r="E85" t="str">
        <f>E84</f>
        <v>Biomass burning Mb</v>
      </c>
      <c r="G85" t="s">
        <v>415</v>
      </c>
      <c r="H85" s="57">
        <v>1.4</v>
      </c>
    </row>
    <row r="86" spans="1:8" x14ac:dyDescent="0.25">
      <c r="A86" t="str">
        <f t="shared" ref="A86:A147" si="37">A85</f>
        <v>3C Aggregated and non-CO2 emissions on land</v>
      </c>
      <c r="B86" t="str">
        <f t="shared" ref="B86:B99" si="38">B85</f>
        <v>3C1 Biomass burning (CH4)</v>
      </c>
      <c r="C86" t="str">
        <f>'Activity data'!C26</f>
        <v>3C1a Biomass burning in forest land</v>
      </c>
      <c r="D86" t="str">
        <f>'Activity data'!D26</f>
        <v>Woodlands</v>
      </c>
      <c r="E86" t="str">
        <f t="shared" ref="E86:E115" si="39">E85</f>
        <v>Biomass burning Mb</v>
      </c>
      <c r="G86" t="s">
        <v>415</v>
      </c>
      <c r="H86" s="57">
        <v>4.4000000000000004</v>
      </c>
    </row>
    <row r="87" spans="1:8" x14ac:dyDescent="0.25">
      <c r="A87" t="str">
        <f t="shared" si="37"/>
        <v>3C Aggregated and non-CO2 emissions on land</v>
      </c>
      <c r="B87" t="str">
        <f t="shared" si="38"/>
        <v>3C1 Biomass burning (CH4)</v>
      </c>
      <c r="C87" t="str">
        <f>'Activity data'!C27</f>
        <v>3C1a Biomass burning in forest land</v>
      </c>
      <c r="D87" t="str">
        <f>'Activity data'!D27</f>
        <v>Plantations</v>
      </c>
      <c r="E87" t="str">
        <f t="shared" si="39"/>
        <v>Biomass burning Mb</v>
      </c>
      <c r="G87" t="s">
        <v>415</v>
      </c>
      <c r="H87" s="57">
        <v>33.6</v>
      </c>
    </row>
    <row r="88" spans="1:8" x14ac:dyDescent="0.25">
      <c r="A88" t="str">
        <f t="shared" si="37"/>
        <v>3C Aggregated and non-CO2 emissions on land</v>
      </c>
      <c r="B88" t="str">
        <f t="shared" si="38"/>
        <v>3C1 Biomass burning (CH4)</v>
      </c>
      <c r="C88" t="str">
        <f>'Activity data'!C28</f>
        <v>3C1b Biomass burning in Croplands</v>
      </c>
      <c r="D88" t="str">
        <f>'Activity data'!D28</f>
        <v>Annual non-pivot</v>
      </c>
      <c r="E88" t="str">
        <f t="shared" si="39"/>
        <v>Biomass burning Mb</v>
      </c>
      <c r="G88" t="s">
        <v>415</v>
      </c>
      <c r="H88" s="57">
        <v>7</v>
      </c>
    </row>
    <row r="89" spans="1:8" x14ac:dyDescent="0.25">
      <c r="A89" t="str">
        <f t="shared" si="37"/>
        <v>3C Aggregated and non-CO2 emissions on land</v>
      </c>
      <c r="B89" t="str">
        <f t="shared" si="38"/>
        <v>3C1 Biomass burning (CH4)</v>
      </c>
      <c r="C89" t="str">
        <f>'Activity data'!C29</f>
        <v>3C1b Biomass burning in Croplands</v>
      </c>
      <c r="D89" t="str">
        <f>'Activity data'!D29</f>
        <v>Annual pivot</v>
      </c>
      <c r="E89" t="str">
        <f t="shared" si="39"/>
        <v>Biomass burning Mb</v>
      </c>
      <c r="G89" t="s">
        <v>415</v>
      </c>
      <c r="H89" s="57">
        <v>7</v>
      </c>
    </row>
    <row r="90" spans="1:8" x14ac:dyDescent="0.25">
      <c r="A90" t="str">
        <f t="shared" si="37"/>
        <v>3C Aggregated and non-CO2 emissions on land</v>
      </c>
      <c r="B90" t="str">
        <f t="shared" si="38"/>
        <v>3C1 Biomass burning (CH4)</v>
      </c>
      <c r="C90" t="str">
        <f>'Activity data'!C30</f>
        <v>3C1b Biomass burning in Croplands</v>
      </c>
      <c r="D90" t="str">
        <f>'Activity data'!D30</f>
        <v>Perennial orchards</v>
      </c>
      <c r="E90" t="str">
        <f t="shared" si="39"/>
        <v>Biomass burning Mb</v>
      </c>
      <c r="G90" t="s">
        <v>415</v>
      </c>
      <c r="H90" s="57">
        <v>7</v>
      </c>
    </row>
    <row r="91" spans="1:8" x14ac:dyDescent="0.25">
      <c r="A91" t="str">
        <f t="shared" si="37"/>
        <v>3C Aggregated and non-CO2 emissions on land</v>
      </c>
      <c r="B91" t="str">
        <f t="shared" si="38"/>
        <v>3C1 Biomass burning (CH4)</v>
      </c>
      <c r="C91" t="str">
        <f>'Activity data'!C31</f>
        <v>3C1b Biomass burning in Croplands</v>
      </c>
      <c r="D91" t="str">
        <f>'Activity data'!D31</f>
        <v>Perennial vineyards</v>
      </c>
      <c r="E91" t="str">
        <f t="shared" si="39"/>
        <v>Biomass burning Mb</v>
      </c>
      <c r="G91" t="s">
        <v>415</v>
      </c>
      <c r="H91" s="57">
        <v>7</v>
      </c>
    </row>
    <row r="92" spans="1:8" x14ac:dyDescent="0.25">
      <c r="A92" t="str">
        <f t="shared" si="37"/>
        <v>3C Aggregated and non-CO2 emissions on land</v>
      </c>
      <c r="B92" t="str">
        <f t="shared" si="38"/>
        <v>3C1 Biomass burning (CH4)</v>
      </c>
      <c r="C92" t="str">
        <f>'Activity data'!C32</f>
        <v>3C1b Biomass burning in Croplands</v>
      </c>
      <c r="D92" t="str">
        <f>'Activity data'!D32</f>
        <v>Cropland subsistence</v>
      </c>
      <c r="E92" t="str">
        <f t="shared" si="39"/>
        <v>Biomass burning Mb</v>
      </c>
      <c r="G92" t="s">
        <v>415</v>
      </c>
      <c r="H92" s="57">
        <v>7</v>
      </c>
    </row>
    <row r="93" spans="1:8" x14ac:dyDescent="0.25">
      <c r="A93" t="str">
        <f t="shared" si="37"/>
        <v>3C Aggregated and non-CO2 emissions on land</v>
      </c>
      <c r="B93" t="str">
        <f t="shared" si="38"/>
        <v>3C1 Biomass burning (CH4)</v>
      </c>
      <c r="C93" t="str">
        <f>'Activity data'!C33</f>
        <v>3C1c Biomass burning in Grasslands</v>
      </c>
      <c r="D93" t="str">
        <f>'Activity data'!D33</f>
        <v>Grasslands</v>
      </c>
      <c r="E93" t="str">
        <f t="shared" si="39"/>
        <v>Biomass burning Mb</v>
      </c>
      <c r="G93" t="s">
        <v>415</v>
      </c>
      <c r="H93" s="57">
        <v>4.0999999999999996</v>
      </c>
    </row>
    <row r="94" spans="1:8" x14ac:dyDescent="0.25">
      <c r="A94" t="str">
        <f t="shared" si="37"/>
        <v>3C Aggregated and non-CO2 emissions on land</v>
      </c>
      <c r="B94" t="str">
        <f t="shared" si="38"/>
        <v>3C1 Biomass burning (CH4)</v>
      </c>
      <c r="C94" t="str">
        <f>'Activity data'!C34</f>
        <v>3C1c Biomass burning in Grasslands</v>
      </c>
      <c r="D94" t="str">
        <f>'Activity data'!D34</f>
        <v>Low shrublands</v>
      </c>
      <c r="E94" t="str">
        <f t="shared" si="39"/>
        <v>Biomass burning Mb</v>
      </c>
      <c r="G94" t="s">
        <v>415</v>
      </c>
      <c r="H94" s="57">
        <v>2.4</v>
      </c>
    </row>
    <row r="95" spans="1:8" x14ac:dyDescent="0.25">
      <c r="A95" t="str">
        <f>A99</f>
        <v>3C Aggregated and non-CO2 emissions on land</v>
      </c>
      <c r="B95" t="str">
        <f>B99</f>
        <v>3C1 Biomass burning (CH4)</v>
      </c>
      <c r="C95" t="str">
        <f>'Activity data'!C35</f>
        <v>3C1f Biomass burning in Other lands</v>
      </c>
      <c r="D95" t="str">
        <f>'Activity data'!D35</f>
        <v>Degraded land</v>
      </c>
      <c r="E95" t="str">
        <f>E99</f>
        <v>Biomass burning Mb</v>
      </c>
      <c r="G95" t="s">
        <v>415</v>
      </c>
      <c r="H95" s="57">
        <v>2</v>
      </c>
    </row>
    <row r="96" spans="1:8" x14ac:dyDescent="0.25">
      <c r="A96" t="str">
        <f>A94</f>
        <v>3C Aggregated and non-CO2 emissions on land</v>
      </c>
      <c r="B96" t="str">
        <f>B94</f>
        <v>3C1 Biomass burning (CH4)</v>
      </c>
      <c r="C96" t="str">
        <f>'Activity data'!C36</f>
        <v>3C1d Biomass burning in Wetlands</v>
      </c>
      <c r="D96" t="str">
        <f>'Activity data'!D36</f>
        <v>Wetlands</v>
      </c>
      <c r="E96" t="str">
        <f>E94</f>
        <v>Biomass burning Mb</v>
      </c>
      <c r="G96" t="s">
        <v>415</v>
      </c>
      <c r="H96" s="57">
        <v>4.0999999999999996</v>
      </c>
    </row>
    <row r="97" spans="1:8" x14ac:dyDescent="0.25">
      <c r="A97" t="str">
        <f t="shared" si="37"/>
        <v>3C Aggregated and non-CO2 emissions on land</v>
      </c>
      <c r="B97" t="str">
        <f t="shared" si="38"/>
        <v>3C1 Biomass burning (CH4)</v>
      </c>
      <c r="C97" t="str">
        <f>'Activity data'!C37</f>
        <v>3C1e Biomass burning in Settlements</v>
      </c>
      <c r="D97" t="str">
        <f>'Activity data'!D37</f>
        <v>Settlements</v>
      </c>
      <c r="E97" t="str">
        <f t="shared" si="39"/>
        <v>Biomass burning Mb</v>
      </c>
      <c r="G97" t="s">
        <v>415</v>
      </c>
      <c r="H97" s="57">
        <v>4.0999999999999996</v>
      </c>
    </row>
    <row r="98" spans="1:8" x14ac:dyDescent="0.25">
      <c r="A98" t="str">
        <f t="shared" si="37"/>
        <v>3C Aggregated and non-CO2 emissions on land</v>
      </c>
      <c r="B98" t="str">
        <f t="shared" si="38"/>
        <v>3C1 Biomass burning (CH4)</v>
      </c>
      <c r="C98" t="str">
        <f>'Activity data'!C38</f>
        <v>3C1e Biomass burning in Settlements</v>
      </c>
      <c r="D98" t="str">
        <f>'Activity data'!D38</f>
        <v>Mines</v>
      </c>
      <c r="E98" t="str">
        <f t="shared" si="39"/>
        <v>Biomass burning Mb</v>
      </c>
      <c r="G98" t="s">
        <v>415</v>
      </c>
      <c r="H98" s="57">
        <v>4.0999999999999996</v>
      </c>
    </row>
    <row r="99" spans="1:8" x14ac:dyDescent="0.25">
      <c r="A99" t="str">
        <f t="shared" si="37"/>
        <v>3C Aggregated and non-CO2 emissions on land</v>
      </c>
      <c r="B99" t="str">
        <f t="shared" si="38"/>
        <v>3C1 Biomass burning (CH4)</v>
      </c>
      <c r="C99" t="str">
        <f>'Activity data'!C39</f>
        <v>3C1f Biomass burning in Other lands</v>
      </c>
      <c r="D99" t="str">
        <f>'Activity data'!D39</f>
        <v>Bare ground</v>
      </c>
      <c r="E99" t="str">
        <f t="shared" si="39"/>
        <v>Biomass burning Mb</v>
      </c>
      <c r="G99" t="s">
        <v>415</v>
      </c>
      <c r="H99" s="57">
        <v>0</v>
      </c>
    </row>
    <row r="100" spans="1:8" x14ac:dyDescent="0.25">
      <c r="A100" t="str">
        <f>A95</f>
        <v>3C Aggregated and non-CO2 emissions on land</v>
      </c>
      <c r="B100" t="str">
        <f>'IPCC Categories'!B65</f>
        <v>3C1 Biomass burning (N2O)</v>
      </c>
      <c r="C100" t="str">
        <f t="shared" ref="C100:D119" si="40">C84</f>
        <v>3C1a Biomass burning in forest land</v>
      </c>
      <c r="D100" t="str">
        <f t="shared" si="40"/>
        <v>Indigenous forests</v>
      </c>
      <c r="E100" t="s">
        <v>413</v>
      </c>
      <c r="G100" t="s">
        <v>796</v>
      </c>
      <c r="H100" s="28">
        <v>1</v>
      </c>
    </row>
    <row r="101" spans="1:8" x14ac:dyDescent="0.25">
      <c r="A101" t="str">
        <f t="shared" si="37"/>
        <v>3C Aggregated and non-CO2 emissions on land</v>
      </c>
      <c r="B101" t="str">
        <f>B100</f>
        <v>3C1 Biomass burning (N2O)</v>
      </c>
      <c r="C101" t="str">
        <f t="shared" si="40"/>
        <v>3C1a Biomass burning in forest land</v>
      </c>
      <c r="D101" t="str">
        <f t="shared" si="40"/>
        <v>Thickets</v>
      </c>
      <c r="E101" t="str">
        <f t="shared" si="39"/>
        <v>Biomass burning Cf</v>
      </c>
      <c r="G101" t="s">
        <v>796</v>
      </c>
      <c r="H101" s="57">
        <v>0.95</v>
      </c>
    </row>
    <row r="102" spans="1:8" x14ac:dyDescent="0.25">
      <c r="A102" t="str">
        <f t="shared" si="37"/>
        <v>3C Aggregated and non-CO2 emissions on land</v>
      </c>
      <c r="B102" t="str">
        <f t="shared" ref="B102:B147" si="41">B101</f>
        <v>3C1 Biomass burning (N2O)</v>
      </c>
      <c r="C102" t="str">
        <f t="shared" si="40"/>
        <v>3C1a Biomass burning in forest land</v>
      </c>
      <c r="D102" t="str">
        <f t="shared" si="40"/>
        <v>Woodlands</v>
      </c>
      <c r="E102" t="str">
        <f t="shared" si="39"/>
        <v>Biomass burning Cf</v>
      </c>
      <c r="G102" t="s">
        <v>796</v>
      </c>
      <c r="H102" s="57">
        <v>0.8</v>
      </c>
    </row>
    <row r="103" spans="1:8" x14ac:dyDescent="0.25">
      <c r="A103" t="str">
        <f t="shared" si="37"/>
        <v>3C Aggregated and non-CO2 emissions on land</v>
      </c>
      <c r="B103" t="str">
        <f t="shared" si="41"/>
        <v>3C1 Biomass burning (N2O)</v>
      </c>
      <c r="C103" t="str">
        <f t="shared" si="40"/>
        <v>3C1a Biomass burning in forest land</v>
      </c>
      <c r="D103" t="str">
        <f t="shared" si="40"/>
        <v>Plantations</v>
      </c>
      <c r="E103" t="str">
        <f t="shared" si="39"/>
        <v>Biomass burning Cf</v>
      </c>
      <c r="G103" t="s">
        <v>796</v>
      </c>
      <c r="H103" s="28">
        <v>1</v>
      </c>
    </row>
    <row r="104" spans="1:8" x14ac:dyDescent="0.25">
      <c r="A104" t="str">
        <f t="shared" si="37"/>
        <v>3C Aggregated and non-CO2 emissions on land</v>
      </c>
      <c r="B104" t="str">
        <f t="shared" si="41"/>
        <v>3C1 Biomass burning (N2O)</v>
      </c>
      <c r="C104" t="str">
        <f t="shared" si="40"/>
        <v>3C1b Biomass burning in Croplands</v>
      </c>
      <c r="D104" t="str">
        <f t="shared" si="40"/>
        <v>Annual non-pivot</v>
      </c>
      <c r="E104" t="str">
        <f t="shared" si="39"/>
        <v>Biomass burning Cf</v>
      </c>
      <c r="G104" t="s">
        <v>796</v>
      </c>
      <c r="H104" s="28">
        <v>1</v>
      </c>
    </row>
    <row r="105" spans="1:8" x14ac:dyDescent="0.25">
      <c r="A105" t="str">
        <f t="shared" si="37"/>
        <v>3C Aggregated and non-CO2 emissions on land</v>
      </c>
      <c r="B105" t="str">
        <f t="shared" si="41"/>
        <v>3C1 Biomass burning (N2O)</v>
      </c>
      <c r="C105" t="str">
        <f t="shared" si="40"/>
        <v>3C1b Biomass burning in Croplands</v>
      </c>
      <c r="D105" t="str">
        <f t="shared" si="40"/>
        <v>Annual pivot</v>
      </c>
      <c r="E105" t="str">
        <f t="shared" si="39"/>
        <v>Biomass burning Cf</v>
      </c>
      <c r="G105" t="s">
        <v>796</v>
      </c>
      <c r="H105" s="28">
        <v>1</v>
      </c>
    </row>
    <row r="106" spans="1:8" x14ac:dyDescent="0.25">
      <c r="A106" t="str">
        <f t="shared" si="37"/>
        <v>3C Aggregated and non-CO2 emissions on land</v>
      </c>
      <c r="B106" t="str">
        <f t="shared" si="41"/>
        <v>3C1 Biomass burning (N2O)</v>
      </c>
      <c r="C106" t="str">
        <f t="shared" si="40"/>
        <v>3C1b Biomass burning in Croplands</v>
      </c>
      <c r="D106" t="str">
        <f t="shared" si="40"/>
        <v>Perennial orchards</v>
      </c>
      <c r="E106" t="str">
        <f t="shared" si="39"/>
        <v>Biomass burning Cf</v>
      </c>
      <c r="G106" t="s">
        <v>796</v>
      </c>
      <c r="H106" s="28">
        <v>1</v>
      </c>
    </row>
    <row r="107" spans="1:8" x14ac:dyDescent="0.25">
      <c r="A107" t="str">
        <f t="shared" si="37"/>
        <v>3C Aggregated and non-CO2 emissions on land</v>
      </c>
      <c r="B107" t="str">
        <f t="shared" si="41"/>
        <v>3C1 Biomass burning (N2O)</v>
      </c>
      <c r="C107" t="str">
        <f t="shared" si="40"/>
        <v>3C1b Biomass burning in Croplands</v>
      </c>
      <c r="D107" t="str">
        <f t="shared" si="40"/>
        <v>Perennial vineyards</v>
      </c>
      <c r="E107" t="str">
        <f t="shared" si="39"/>
        <v>Biomass burning Cf</v>
      </c>
      <c r="G107" t="s">
        <v>796</v>
      </c>
      <c r="H107" s="28">
        <v>1</v>
      </c>
    </row>
    <row r="108" spans="1:8" x14ac:dyDescent="0.25">
      <c r="A108" t="str">
        <f t="shared" si="37"/>
        <v>3C Aggregated and non-CO2 emissions on land</v>
      </c>
      <c r="B108" t="str">
        <f t="shared" si="41"/>
        <v>3C1 Biomass burning (N2O)</v>
      </c>
      <c r="C108" t="str">
        <f t="shared" si="40"/>
        <v>3C1b Biomass burning in Croplands</v>
      </c>
      <c r="D108" t="str">
        <f t="shared" si="40"/>
        <v>Cropland subsistence</v>
      </c>
      <c r="E108" t="str">
        <f t="shared" si="39"/>
        <v>Biomass burning Cf</v>
      </c>
      <c r="G108" t="s">
        <v>796</v>
      </c>
      <c r="H108" s="28">
        <v>1</v>
      </c>
    </row>
    <row r="109" spans="1:8" x14ac:dyDescent="0.25">
      <c r="A109" t="str">
        <f t="shared" si="37"/>
        <v>3C Aggregated and non-CO2 emissions on land</v>
      </c>
      <c r="B109" t="str">
        <f t="shared" si="41"/>
        <v>3C1 Biomass burning (N2O)</v>
      </c>
      <c r="C109" t="str">
        <f t="shared" si="40"/>
        <v>3C1c Biomass burning in Grasslands</v>
      </c>
      <c r="D109" t="str">
        <f t="shared" si="40"/>
        <v>Grasslands</v>
      </c>
      <c r="E109" t="str">
        <f t="shared" si="39"/>
        <v>Biomass burning Cf</v>
      </c>
      <c r="G109" t="s">
        <v>796</v>
      </c>
      <c r="H109" s="28">
        <v>1</v>
      </c>
    </row>
    <row r="110" spans="1:8" x14ac:dyDescent="0.25">
      <c r="A110" t="str">
        <f t="shared" si="37"/>
        <v>3C Aggregated and non-CO2 emissions on land</v>
      </c>
      <c r="B110" t="str">
        <f t="shared" si="41"/>
        <v>3C1 Biomass burning (N2O)</v>
      </c>
      <c r="C110" t="str">
        <f t="shared" si="40"/>
        <v>3C1c Biomass burning in Grasslands</v>
      </c>
      <c r="D110" t="str">
        <f t="shared" si="40"/>
        <v>Low shrublands</v>
      </c>
      <c r="E110" t="str">
        <f t="shared" si="39"/>
        <v>Biomass burning Cf</v>
      </c>
      <c r="G110" t="s">
        <v>796</v>
      </c>
      <c r="H110" s="57">
        <v>0.91</v>
      </c>
    </row>
    <row r="111" spans="1:8" x14ac:dyDescent="0.25">
      <c r="A111" t="str">
        <f>A115</f>
        <v>3C Aggregated and non-CO2 emissions on land</v>
      </c>
      <c r="B111" t="str">
        <f>B115</f>
        <v>3C1 Biomass burning (N2O)</v>
      </c>
      <c r="C111" t="str">
        <f t="shared" si="40"/>
        <v>3C1f Biomass burning in Other lands</v>
      </c>
      <c r="D111" t="str">
        <f t="shared" si="40"/>
        <v>Degraded land</v>
      </c>
      <c r="E111" t="str">
        <f>E115</f>
        <v>Biomass burning Cf</v>
      </c>
      <c r="G111" t="s">
        <v>796</v>
      </c>
      <c r="H111" s="28">
        <v>1</v>
      </c>
    </row>
    <row r="112" spans="1:8" x14ac:dyDescent="0.25">
      <c r="A112" t="str">
        <f>A110</f>
        <v>3C Aggregated and non-CO2 emissions on land</v>
      </c>
      <c r="B112" t="str">
        <f>B110</f>
        <v>3C1 Biomass burning (N2O)</v>
      </c>
      <c r="C112" t="str">
        <f t="shared" si="40"/>
        <v>3C1d Biomass burning in Wetlands</v>
      </c>
      <c r="D112" t="str">
        <f t="shared" si="40"/>
        <v>Wetlands</v>
      </c>
      <c r="E112" t="str">
        <f>E110</f>
        <v>Biomass burning Cf</v>
      </c>
      <c r="G112" t="s">
        <v>796</v>
      </c>
      <c r="H112" s="28">
        <v>1</v>
      </c>
    </row>
    <row r="113" spans="1:8" x14ac:dyDescent="0.25">
      <c r="A113" t="str">
        <f t="shared" si="37"/>
        <v>3C Aggregated and non-CO2 emissions on land</v>
      </c>
      <c r="B113" t="str">
        <f t="shared" si="41"/>
        <v>3C1 Biomass burning (N2O)</v>
      </c>
      <c r="C113" t="str">
        <f t="shared" si="40"/>
        <v>3C1e Biomass burning in Settlements</v>
      </c>
      <c r="D113" t="str">
        <f t="shared" si="40"/>
        <v>Settlements</v>
      </c>
      <c r="E113" t="str">
        <f t="shared" si="39"/>
        <v>Biomass burning Cf</v>
      </c>
      <c r="G113" t="s">
        <v>796</v>
      </c>
      <c r="H113" s="28">
        <v>1</v>
      </c>
    </row>
    <row r="114" spans="1:8" x14ac:dyDescent="0.25">
      <c r="A114" t="str">
        <f t="shared" si="37"/>
        <v>3C Aggregated and non-CO2 emissions on land</v>
      </c>
      <c r="B114" t="str">
        <f t="shared" si="41"/>
        <v>3C1 Biomass burning (N2O)</v>
      </c>
      <c r="C114" t="str">
        <f t="shared" si="40"/>
        <v>3C1e Biomass burning in Settlements</v>
      </c>
      <c r="D114" t="str">
        <f t="shared" si="40"/>
        <v>Mines</v>
      </c>
      <c r="E114" t="str">
        <f t="shared" si="39"/>
        <v>Biomass burning Cf</v>
      </c>
      <c r="G114" t="s">
        <v>796</v>
      </c>
      <c r="H114" s="28">
        <v>1</v>
      </c>
    </row>
    <row r="115" spans="1:8" x14ac:dyDescent="0.25">
      <c r="A115" t="str">
        <f t="shared" si="37"/>
        <v>3C Aggregated and non-CO2 emissions on land</v>
      </c>
      <c r="B115" t="str">
        <f t="shared" si="41"/>
        <v>3C1 Biomass burning (N2O)</v>
      </c>
      <c r="C115" t="str">
        <f t="shared" si="40"/>
        <v>3C1f Biomass burning in Other lands</v>
      </c>
      <c r="D115" t="str">
        <f t="shared" si="40"/>
        <v>Bare ground</v>
      </c>
      <c r="E115" t="str">
        <f t="shared" si="39"/>
        <v>Biomass burning Cf</v>
      </c>
      <c r="G115" t="s">
        <v>796</v>
      </c>
      <c r="H115" s="57">
        <v>0</v>
      </c>
    </row>
    <row r="116" spans="1:8" x14ac:dyDescent="0.25">
      <c r="A116" t="str">
        <f t="shared" si="37"/>
        <v>3C Aggregated and non-CO2 emissions on land</v>
      </c>
      <c r="B116" t="str">
        <f t="shared" si="41"/>
        <v>3C1 Biomass burning (N2O)</v>
      </c>
      <c r="C116" t="str">
        <f t="shared" si="40"/>
        <v>3C1a Biomass burning in forest land</v>
      </c>
      <c r="D116" t="str">
        <f t="shared" si="40"/>
        <v>Indigenous forests</v>
      </c>
      <c r="E116" t="s">
        <v>412</v>
      </c>
      <c r="F116" t="s">
        <v>125</v>
      </c>
      <c r="G116" t="s">
        <v>416</v>
      </c>
      <c r="H116" s="28">
        <v>4.7</v>
      </c>
    </row>
    <row r="117" spans="1:8" x14ac:dyDescent="0.25">
      <c r="A117" t="str">
        <f t="shared" si="37"/>
        <v>3C Aggregated and non-CO2 emissions on land</v>
      </c>
      <c r="B117" t="str">
        <f t="shared" si="41"/>
        <v>3C1 Biomass burning (N2O)</v>
      </c>
      <c r="C117" t="str">
        <f t="shared" si="40"/>
        <v>3C1a Biomass burning in forest land</v>
      </c>
      <c r="D117" t="str">
        <f t="shared" si="40"/>
        <v>Thickets</v>
      </c>
      <c r="E117" t="str">
        <f>E116</f>
        <v>Biomass burning EF</v>
      </c>
      <c r="F117" t="str">
        <f>F116</f>
        <v>CH4</v>
      </c>
      <c r="G117" t="s">
        <v>416</v>
      </c>
      <c r="H117" s="28">
        <v>4.7</v>
      </c>
    </row>
    <row r="118" spans="1:8" x14ac:dyDescent="0.25">
      <c r="A118" t="str">
        <f t="shared" si="37"/>
        <v>3C Aggregated and non-CO2 emissions on land</v>
      </c>
      <c r="B118" t="str">
        <f t="shared" si="41"/>
        <v>3C1 Biomass burning (N2O)</v>
      </c>
      <c r="C118" t="str">
        <f t="shared" si="40"/>
        <v>3C1a Biomass burning in forest land</v>
      </c>
      <c r="D118" t="str">
        <f t="shared" si="40"/>
        <v>Woodlands</v>
      </c>
      <c r="E118" t="str">
        <f t="shared" ref="E118:E131" si="42">E117</f>
        <v>Biomass burning EF</v>
      </c>
      <c r="F118" t="str">
        <f t="shared" ref="F118:F131" si="43">F117</f>
        <v>CH4</v>
      </c>
      <c r="G118" t="s">
        <v>416</v>
      </c>
      <c r="H118" s="28">
        <v>2.2999999999999998</v>
      </c>
    </row>
    <row r="119" spans="1:8" x14ac:dyDescent="0.25">
      <c r="A119" t="str">
        <f t="shared" si="37"/>
        <v>3C Aggregated and non-CO2 emissions on land</v>
      </c>
      <c r="B119" t="str">
        <f t="shared" si="41"/>
        <v>3C1 Biomass burning (N2O)</v>
      </c>
      <c r="C119" t="str">
        <f t="shared" si="40"/>
        <v>3C1a Biomass burning in forest land</v>
      </c>
      <c r="D119" t="str">
        <f t="shared" si="40"/>
        <v>Plantations</v>
      </c>
      <c r="E119" t="str">
        <f t="shared" si="42"/>
        <v>Biomass burning EF</v>
      </c>
      <c r="F119" t="str">
        <f t="shared" si="43"/>
        <v>CH4</v>
      </c>
      <c r="G119" t="s">
        <v>416</v>
      </c>
      <c r="H119" s="28">
        <v>4.7</v>
      </c>
    </row>
    <row r="120" spans="1:8" x14ac:dyDescent="0.25">
      <c r="A120" t="str">
        <f t="shared" si="37"/>
        <v>3C Aggregated and non-CO2 emissions on land</v>
      </c>
      <c r="B120" t="str">
        <f t="shared" si="41"/>
        <v>3C1 Biomass burning (N2O)</v>
      </c>
      <c r="C120" t="str">
        <f t="shared" ref="C120:D139" si="44">C104</f>
        <v>3C1b Biomass burning in Croplands</v>
      </c>
      <c r="D120" t="str">
        <f t="shared" si="44"/>
        <v>Annual non-pivot</v>
      </c>
      <c r="E120" t="str">
        <f t="shared" si="42"/>
        <v>Biomass burning EF</v>
      </c>
      <c r="F120" t="str">
        <f t="shared" si="43"/>
        <v>CH4</v>
      </c>
      <c r="G120" t="s">
        <v>416</v>
      </c>
      <c r="H120" s="28">
        <v>2.7</v>
      </c>
    </row>
    <row r="121" spans="1:8" x14ac:dyDescent="0.25">
      <c r="A121" t="str">
        <f t="shared" si="37"/>
        <v>3C Aggregated and non-CO2 emissions on land</v>
      </c>
      <c r="B121" t="str">
        <f t="shared" si="41"/>
        <v>3C1 Biomass burning (N2O)</v>
      </c>
      <c r="C121" t="str">
        <f t="shared" si="44"/>
        <v>3C1b Biomass burning in Croplands</v>
      </c>
      <c r="D121" t="str">
        <f t="shared" si="44"/>
        <v>Annual pivot</v>
      </c>
      <c r="E121" t="str">
        <f t="shared" si="42"/>
        <v>Biomass burning EF</v>
      </c>
      <c r="F121" t="str">
        <f t="shared" si="43"/>
        <v>CH4</v>
      </c>
      <c r="G121" t="s">
        <v>416</v>
      </c>
      <c r="H121" s="28">
        <v>2.7</v>
      </c>
    </row>
    <row r="122" spans="1:8" x14ac:dyDescent="0.25">
      <c r="A122" t="str">
        <f t="shared" si="37"/>
        <v>3C Aggregated and non-CO2 emissions on land</v>
      </c>
      <c r="B122" t="str">
        <f t="shared" si="41"/>
        <v>3C1 Biomass burning (N2O)</v>
      </c>
      <c r="C122" t="str">
        <f t="shared" si="44"/>
        <v>3C1b Biomass burning in Croplands</v>
      </c>
      <c r="D122" t="str">
        <f t="shared" si="44"/>
        <v>Perennial orchards</v>
      </c>
      <c r="E122" t="str">
        <f t="shared" si="42"/>
        <v>Biomass burning EF</v>
      </c>
      <c r="F122" t="str">
        <f t="shared" si="43"/>
        <v>CH4</v>
      </c>
      <c r="G122" t="s">
        <v>416</v>
      </c>
      <c r="H122" s="28">
        <v>2.7</v>
      </c>
    </row>
    <row r="123" spans="1:8" x14ac:dyDescent="0.25">
      <c r="A123" t="str">
        <f t="shared" si="37"/>
        <v>3C Aggregated and non-CO2 emissions on land</v>
      </c>
      <c r="B123" t="str">
        <f t="shared" si="41"/>
        <v>3C1 Biomass burning (N2O)</v>
      </c>
      <c r="C123" t="str">
        <f t="shared" si="44"/>
        <v>3C1b Biomass burning in Croplands</v>
      </c>
      <c r="D123" t="str">
        <f t="shared" si="44"/>
        <v>Perennial vineyards</v>
      </c>
      <c r="E123" t="str">
        <f t="shared" si="42"/>
        <v>Biomass burning EF</v>
      </c>
      <c r="F123" t="str">
        <f t="shared" si="43"/>
        <v>CH4</v>
      </c>
      <c r="G123" t="s">
        <v>416</v>
      </c>
      <c r="H123" s="28">
        <v>2.7</v>
      </c>
    </row>
    <row r="124" spans="1:8" x14ac:dyDescent="0.25">
      <c r="A124" t="str">
        <f t="shared" si="37"/>
        <v>3C Aggregated and non-CO2 emissions on land</v>
      </c>
      <c r="B124" t="str">
        <f t="shared" si="41"/>
        <v>3C1 Biomass burning (N2O)</v>
      </c>
      <c r="C124" t="str">
        <f t="shared" si="44"/>
        <v>3C1b Biomass burning in Croplands</v>
      </c>
      <c r="D124" t="str">
        <f t="shared" si="44"/>
        <v>Cropland subsistence</v>
      </c>
      <c r="E124" t="str">
        <f t="shared" si="42"/>
        <v>Biomass burning EF</v>
      </c>
      <c r="F124" t="str">
        <f t="shared" si="43"/>
        <v>CH4</v>
      </c>
      <c r="G124" t="s">
        <v>416</v>
      </c>
      <c r="H124" s="28">
        <v>2.7</v>
      </c>
    </row>
    <row r="125" spans="1:8" x14ac:dyDescent="0.25">
      <c r="A125" t="str">
        <f t="shared" si="37"/>
        <v>3C Aggregated and non-CO2 emissions on land</v>
      </c>
      <c r="B125" t="str">
        <f t="shared" si="41"/>
        <v>3C1 Biomass burning (N2O)</v>
      </c>
      <c r="C125" t="str">
        <f t="shared" si="44"/>
        <v>3C1c Biomass burning in Grasslands</v>
      </c>
      <c r="D125" t="str">
        <f t="shared" si="44"/>
        <v>Grasslands</v>
      </c>
      <c r="E125" t="str">
        <f t="shared" si="42"/>
        <v>Biomass burning EF</v>
      </c>
      <c r="F125" t="str">
        <f t="shared" si="43"/>
        <v>CH4</v>
      </c>
      <c r="G125" t="s">
        <v>416</v>
      </c>
      <c r="H125" s="28">
        <v>2.2999999999999998</v>
      </c>
    </row>
    <row r="126" spans="1:8" x14ac:dyDescent="0.25">
      <c r="A126" t="str">
        <f t="shared" si="37"/>
        <v>3C Aggregated and non-CO2 emissions on land</v>
      </c>
      <c r="B126" t="str">
        <f t="shared" si="41"/>
        <v>3C1 Biomass burning (N2O)</v>
      </c>
      <c r="C126" t="str">
        <f t="shared" si="44"/>
        <v>3C1c Biomass burning in Grasslands</v>
      </c>
      <c r="D126" t="str">
        <f t="shared" si="44"/>
        <v>Low shrublands</v>
      </c>
      <c r="E126" t="str">
        <f t="shared" si="42"/>
        <v>Biomass burning EF</v>
      </c>
      <c r="F126" t="str">
        <f t="shared" si="43"/>
        <v>CH4</v>
      </c>
      <c r="G126" t="s">
        <v>416</v>
      </c>
      <c r="H126" s="28">
        <v>4.7</v>
      </c>
    </row>
    <row r="127" spans="1:8" x14ac:dyDescent="0.25">
      <c r="A127" t="str">
        <f t="shared" si="37"/>
        <v>3C Aggregated and non-CO2 emissions on land</v>
      </c>
      <c r="B127" t="str">
        <f t="shared" si="41"/>
        <v>3C1 Biomass burning (N2O)</v>
      </c>
      <c r="C127" t="str">
        <f t="shared" si="44"/>
        <v>3C1f Biomass burning in Other lands</v>
      </c>
      <c r="D127" t="str">
        <f t="shared" si="44"/>
        <v>Degraded land</v>
      </c>
      <c r="E127" t="str">
        <f>E131</f>
        <v>Biomass burning EF</v>
      </c>
      <c r="F127" t="str">
        <f>F131</f>
        <v>CH4</v>
      </c>
      <c r="G127" t="s">
        <v>416</v>
      </c>
      <c r="H127" s="28">
        <v>2.2999999999999998</v>
      </c>
    </row>
    <row r="128" spans="1:8" x14ac:dyDescent="0.25">
      <c r="A128" t="str">
        <f t="shared" si="37"/>
        <v>3C Aggregated and non-CO2 emissions on land</v>
      </c>
      <c r="B128" t="str">
        <f t="shared" si="41"/>
        <v>3C1 Biomass burning (N2O)</v>
      </c>
      <c r="C128" t="str">
        <f t="shared" si="44"/>
        <v>3C1d Biomass burning in Wetlands</v>
      </c>
      <c r="D128" t="str">
        <f t="shared" si="44"/>
        <v>Wetlands</v>
      </c>
      <c r="E128" t="str">
        <f>E126</f>
        <v>Biomass burning EF</v>
      </c>
      <c r="F128" t="str">
        <f>F126</f>
        <v>CH4</v>
      </c>
      <c r="G128" t="s">
        <v>416</v>
      </c>
      <c r="H128" s="28">
        <v>2.2999999999999998</v>
      </c>
    </row>
    <row r="129" spans="1:8" x14ac:dyDescent="0.25">
      <c r="A129" t="str">
        <f t="shared" si="37"/>
        <v>3C Aggregated and non-CO2 emissions on land</v>
      </c>
      <c r="B129" t="str">
        <f t="shared" si="41"/>
        <v>3C1 Biomass burning (N2O)</v>
      </c>
      <c r="C129" t="str">
        <f t="shared" si="44"/>
        <v>3C1e Biomass burning in Settlements</v>
      </c>
      <c r="D129" t="str">
        <f t="shared" si="44"/>
        <v>Settlements</v>
      </c>
      <c r="E129" t="str">
        <f t="shared" si="42"/>
        <v>Biomass burning EF</v>
      </c>
      <c r="F129" t="str">
        <f t="shared" si="43"/>
        <v>CH4</v>
      </c>
      <c r="G129" t="s">
        <v>416</v>
      </c>
      <c r="H129" s="28">
        <v>2.2999999999999998</v>
      </c>
    </row>
    <row r="130" spans="1:8" x14ac:dyDescent="0.25">
      <c r="A130" t="str">
        <f t="shared" si="37"/>
        <v>3C Aggregated and non-CO2 emissions on land</v>
      </c>
      <c r="B130" t="str">
        <f t="shared" si="41"/>
        <v>3C1 Biomass burning (N2O)</v>
      </c>
      <c r="C130" t="str">
        <f t="shared" si="44"/>
        <v>3C1e Biomass burning in Settlements</v>
      </c>
      <c r="D130" t="str">
        <f t="shared" si="44"/>
        <v>Mines</v>
      </c>
      <c r="E130" t="str">
        <f t="shared" si="42"/>
        <v>Biomass burning EF</v>
      </c>
      <c r="F130" t="str">
        <f t="shared" si="43"/>
        <v>CH4</v>
      </c>
      <c r="G130" t="s">
        <v>416</v>
      </c>
      <c r="H130" s="28">
        <v>2.2999999999999998</v>
      </c>
    </row>
    <row r="131" spans="1:8" x14ac:dyDescent="0.25">
      <c r="A131" t="str">
        <f t="shared" si="37"/>
        <v>3C Aggregated and non-CO2 emissions on land</v>
      </c>
      <c r="B131" t="str">
        <f t="shared" si="41"/>
        <v>3C1 Biomass burning (N2O)</v>
      </c>
      <c r="C131" t="str">
        <f t="shared" si="44"/>
        <v>3C1f Biomass burning in Other lands</v>
      </c>
      <c r="D131" t="str">
        <f t="shared" si="44"/>
        <v>Bare ground</v>
      </c>
      <c r="E131" t="str">
        <f t="shared" si="42"/>
        <v>Biomass burning EF</v>
      </c>
      <c r="F131" t="str">
        <f t="shared" si="43"/>
        <v>CH4</v>
      </c>
      <c r="G131" t="s">
        <v>416</v>
      </c>
      <c r="H131" s="28">
        <v>0</v>
      </c>
    </row>
    <row r="132" spans="1:8" x14ac:dyDescent="0.25">
      <c r="A132" t="str">
        <f t="shared" si="37"/>
        <v>3C Aggregated and non-CO2 emissions on land</v>
      </c>
      <c r="B132" t="str">
        <f t="shared" si="41"/>
        <v>3C1 Biomass burning (N2O)</v>
      </c>
      <c r="C132" t="str">
        <f t="shared" si="44"/>
        <v>3C1a Biomass burning in forest land</v>
      </c>
      <c r="D132" t="str">
        <f t="shared" si="44"/>
        <v>Indigenous forests</v>
      </c>
      <c r="E132" t="str">
        <f>E127</f>
        <v>Biomass burning EF</v>
      </c>
      <c r="F132" t="s">
        <v>143</v>
      </c>
      <c r="G132" t="s">
        <v>416</v>
      </c>
      <c r="H132" s="28">
        <v>0.26</v>
      </c>
    </row>
    <row r="133" spans="1:8" x14ac:dyDescent="0.25">
      <c r="A133" t="str">
        <f t="shared" si="37"/>
        <v>3C Aggregated and non-CO2 emissions on land</v>
      </c>
      <c r="B133" t="str">
        <f t="shared" si="41"/>
        <v>3C1 Biomass burning (N2O)</v>
      </c>
      <c r="C133" t="str">
        <f t="shared" si="44"/>
        <v>3C1a Biomass burning in forest land</v>
      </c>
      <c r="D133" t="str">
        <f t="shared" si="44"/>
        <v>Thickets</v>
      </c>
      <c r="E133" t="str">
        <f t="shared" ref="E133:E147" si="45">E132</f>
        <v>Biomass burning EF</v>
      </c>
      <c r="F133" t="str">
        <f t="shared" ref="F133:F147" si="46">F132</f>
        <v>N2O</v>
      </c>
      <c r="G133" t="s">
        <v>416</v>
      </c>
      <c r="H133" s="28">
        <v>0.26</v>
      </c>
    </row>
    <row r="134" spans="1:8" x14ac:dyDescent="0.25">
      <c r="A134" t="str">
        <f t="shared" si="37"/>
        <v>3C Aggregated and non-CO2 emissions on land</v>
      </c>
      <c r="B134" t="str">
        <f t="shared" si="41"/>
        <v>3C1 Biomass burning (N2O)</v>
      </c>
      <c r="C134" t="str">
        <f t="shared" si="44"/>
        <v>3C1a Biomass burning in forest land</v>
      </c>
      <c r="D134" t="str">
        <f t="shared" si="44"/>
        <v>Woodlands</v>
      </c>
      <c r="E134" t="str">
        <f t="shared" si="45"/>
        <v>Biomass burning EF</v>
      </c>
      <c r="F134" t="str">
        <f t="shared" si="46"/>
        <v>N2O</v>
      </c>
      <c r="G134" t="s">
        <v>416</v>
      </c>
      <c r="H134" s="28">
        <v>0.21</v>
      </c>
    </row>
    <row r="135" spans="1:8" x14ac:dyDescent="0.25">
      <c r="A135" t="str">
        <f t="shared" si="37"/>
        <v>3C Aggregated and non-CO2 emissions on land</v>
      </c>
      <c r="B135" t="str">
        <f t="shared" si="41"/>
        <v>3C1 Biomass burning (N2O)</v>
      </c>
      <c r="C135" t="str">
        <f t="shared" si="44"/>
        <v>3C1a Biomass burning in forest land</v>
      </c>
      <c r="D135" t="str">
        <f t="shared" si="44"/>
        <v>Plantations</v>
      </c>
      <c r="E135" t="str">
        <f t="shared" si="45"/>
        <v>Biomass burning EF</v>
      </c>
      <c r="F135" t="str">
        <f t="shared" si="46"/>
        <v>N2O</v>
      </c>
      <c r="G135" t="s">
        <v>416</v>
      </c>
      <c r="H135" s="28">
        <v>0.26</v>
      </c>
    </row>
    <row r="136" spans="1:8" x14ac:dyDescent="0.25">
      <c r="A136" t="str">
        <f t="shared" si="37"/>
        <v>3C Aggregated and non-CO2 emissions on land</v>
      </c>
      <c r="B136" t="str">
        <f t="shared" si="41"/>
        <v>3C1 Biomass burning (N2O)</v>
      </c>
      <c r="C136" t="str">
        <f t="shared" si="44"/>
        <v>3C1b Biomass burning in Croplands</v>
      </c>
      <c r="D136" t="str">
        <f t="shared" si="44"/>
        <v>Annual non-pivot</v>
      </c>
      <c r="E136" t="str">
        <f t="shared" si="45"/>
        <v>Biomass burning EF</v>
      </c>
      <c r="F136" t="str">
        <f t="shared" si="46"/>
        <v>N2O</v>
      </c>
      <c r="G136" t="s">
        <v>416</v>
      </c>
      <c r="H136" s="28">
        <v>7.0000000000000007E-2</v>
      </c>
    </row>
    <row r="137" spans="1:8" x14ac:dyDescent="0.25">
      <c r="A137" t="str">
        <f t="shared" si="37"/>
        <v>3C Aggregated and non-CO2 emissions on land</v>
      </c>
      <c r="B137" t="str">
        <f t="shared" si="41"/>
        <v>3C1 Biomass burning (N2O)</v>
      </c>
      <c r="C137" t="str">
        <f t="shared" si="44"/>
        <v>3C1b Biomass burning in Croplands</v>
      </c>
      <c r="D137" t="str">
        <f t="shared" si="44"/>
        <v>Annual pivot</v>
      </c>
      <c r="E137" t="str">
        <f t="shared" si="45"/>
        <v>Biomass burning EF</v>
      </c>
      <c r="F137" t="str">
        <f t="shared" si="46"/>
        <v>N2O</v>
      </c>
      <c r="G137" t="s">
        <v>416</v>
      </c>
      <c r="H137" s="28">
        <v>7.0000000000000007E-2</v>
      </c>
    </row>
    <row r="138" spans="1:8" x14ac:dyDescent="0.25">
      <c r="A138" t="str">
        <f t="shared" si="37"/>
        <v>3C Aggregated and non-CO2 emissions on land</v>
      </c>
      <c r="B138" t="str">
        <f t="shared" si="41"/>
        <v>3C1 Biomass burning (N2O)</v>
      </c>
      <c r="C138" t="str">
        <f t="shared" si="44"/>
        <v>3C1b Biomass burning in Croplands</v>
      </c>
      <c r="D138" t="str">
        <f t="shared" si="44"/>
        <v>Perennial orchards</v>
      </c>
      <c r="E138" t="str">
        <f t="shared" si="45"/>
        <v>Biomass burning EF</v>
      </c>
      <c r="F138" t="str">
        <f t="shared" si="46"/>
        <v>N2O</v>
      </c>
      <c r="G138" t="s">
        <v>416</v>
      </c>
      <c r="H138" s="28">
        <v>7.0000000000000007E-2</v>
      </c>
    </row>
    <row r="139" spans="1:8" x14ac:dyDescent="0.25">
      <c r="A139" t="str">
        <f t="shared" si="37"/>
        <v>3C Aggregated and non-CO2 emissions on land</v>
      </c>
      <c r="B139" t="str">
        <f t="shared" si="41"/>
        <v>3C1 Biomass burning (N2O)</v>
      </c>
      <c r="C139" t="str">
        <f t="shared" si="44"/>
        <v>3C1b Biomass burning in Croplands</v>
      </c>
      <c r="D139" t="str">
        <f t="shared" si="44"/>
        <v>Perennial vineyards</v>
      </c>
      <c r="E139" t="str">
        <f t="shared" si="45"/>
        <v>Biomass burning EF</v>
      </c>
      <c r="F139" t="str">
        <f t="shared" si="46"/>
        <v>N2O</v>
      </c>
      <c r="G139" t="s">
        <v>416</v>
      </c>
      <c r="H139" s="28">
        <v>7.0000000000000007E-2</v>
      </c>
    </row>
    <row r="140" spans="1:8" x14ac:dyDescent="0.25">
      <c r="A140" t="str">
        <f t="shared" si="37"/>
        <v>3C Aggregated and non-CO2 emissions on land</v>
      </c>
      <c r="B140" t="str">
        <f t="shared" si="41"/>
        <v>3C1 Biomass burning (N2O)</v>
      </c>
      <c r="C140" t="str">
        <f t="shared" ref="C140:D147" si="47">C124</f>
        <v>3C1b Biomass burning in Croplands</v>
      </c>
      <c r="D140" t="str">
        <f t="shared" si="47"/>
        <v>Cropland subsistence</v>
      </c>
      <c r="E140" t="str">
        <f t="shared" si="45"/>
        <v>Biomass burning EF</v>
      </c>
      <c r="F140" t="str">
        <f t="shared" si="46"/>
        <v>N2O</v>
      </c>
      <c r="G140" t="s">
        <v>416</v>
      </c>
      <c r="H140" s="28">
        <v>7.0000000000000007E-2</v>
      </c>
    </row>
    <row r="141" spans="1:8" x14ac:dyDescent="0.25">
      <c r="A141" t="str">
        <f t="shared" si="37"/>
        <v>3C Aggregated and non-CO2 emissions on land</v>
      </c>
      <c r="B141" t="str">
        <f t="shared" si="41"/>
        <v>3C1 Biomass burning (N2O)</v>
      </c>
      <c r="C141" t="str">
        <f t="shared" si="47"/>
        <v>3C1c Biomass burning in Grasslands</v>
      </c>
      <c r="D141" t="str">
        <f t="shared" si="47"/>
        <v>Grasslands</v>
      </c>
      <c r="E141" t="str">
        <f t="shared" si="45"/>
        <v>Biomass burning EF</v>
      </c>
      <c r="F141" t="str">
        <f t="shared" si="46"/>
        <v>N2O</v>
      </c>
      <c r="G141" t="s">
        <v>416</v>
      </c>
      <c r="H141" s="28">
        <v>0.21</v>
      </c>
    </row>
    <row r="142" spans="1:8" x14ac:dyDescent="0.25">
      <c r="A142" t="str">
        <f t="shared" si="37"/>
        <v>3C Aggregated and non-CO2 emissions on land</v>
      </c>
      <c r="B142" t="str">
        <f t="shared" si="41"/>
        <v>3C1 Biomass burning (N2O)</v>
      </c>
      <c r="C142" t="str">
        <f t="shared" si="47"/>
        <v>3C1c Biomass burning in Grasslands</v>
      </c>
      <c r="D142" t="str">
        <f t="shared" si="47"/>
        <v>Low shrublands</v>
      </c>
      <c r="E142" t="str">
        <f t="shared" si="45"/>
        <v>Biomass burning EF</v>
      </c>
      <c r="F142" t="str">
        <f t="shared" si="46"/>
        <v>N2O</v>
      </c>
      <c r="G142" t="s">
        <v>416</v>
      </c>
      <c r="H142" s="28">
        <v>0.26</v>
      </c>
    </row>
    <row r="143" spans="1:8" x14ac:dyDescent="0.25">
      <c r="A143" t="str">
        <f t="shared" si="37"/>
        <v>3C Aggregated and non-CO2 emissions on land</v>
      </c>
      <c r="B143" t="str">
        <f t="shared" si="41"/>
        <v>3C1 Biomass burning (N2O)</v>
      </c>
      <c r="C143" t="str">
        <f t="shared" si="47"/>
        <v>3C1f Biomass burning in Other lands</v>
      </c>
      <c r="D143" t="str">
        <f t="shared" si="47"/>
        <v>Degraded land</v>
      </c>
      <c r="E143" t="str">
        <f>E147</f>
        <v>Biomass burning EF</v>
      </c>
      <c r="F143" t="str">
        <f>F147</f>
        <v>N2O</v>
      </c>
      <c r="G143" t="s">
        <v>416</v>
      </c>
      <c r="H143" s="28">
        <v>0.21</v>
      </c>
    </row>
    <row r="144" spans="1:8" x14ac:dyDescent="0.25">
      <c r="A144" t="str">
        <f t="shared" si="37"/>
        <v>3C Aggregated and non-CO2 emissions on land</v>
      </c>
      <c r="B144" t="str">
        <f t="shared" si="41"/>
        <v>3C1 Biomass burning (N2O)</v>
      </c>
      <c r="C144" t="str">
        <f t="shared" si="47"/>
        <v>3C1d Biomass burning in Wetlands</v>
      </c>
      <c r="D144" t="str">
        <f t="shared" si="47"/>
        <v>Wetlands</v>
      </c>
      <c r="E144" t="str">
        <f>E142</f>
        <v>Biomass burning EF</v>
      </c>
      <c r="F144" t="str">
        <f>F142</f>
        <v>N2O</v>
      </c>
      <c r="G144" t="s">
        <v>416</v>
      </c>
      <c r="H144" s="28">
        <v>0.21</v>
      </c>
    </row>
    <row r="145" spans="1:8" x14ac:dyDescent="0.25">
      <c r="A145" t="str">
        <f t="shared" si="37"/>
        <v>3C Aggregated and non-CO2 emissions on land</v>
      </c>
      <c r="B145" t="str">
        <f t="shared" si="41"/>
        <v>3C1 Biomass burning (N2O)</v>
      </c>
      <c r="C145" t="str">
        <f t="shared" si="47"/>
        <v>3C1e Biomass burning in Settlements</v>
      </c>
      <c r="D145" t="str">
        <f t="shared" si="47"/>
        <v>Settlements</v>
      </c>
      <c r="E145" t="str">
        <f t="shared" si="45"/>
        <v>Biomass burning EF</v>
      </c>
      <c r="F145" t="str">
        <f t="shared" si="46"/>
        <v>N2O</v>
      </c>
      <c r="G145" t="s">
        <v>416</v>
      </c>
      <c r="H145" s="28">
        <v>0.21</v>
      </c>
    </row>
    <row r="146" spans="1:8" x14ac:dyDescent="0.25">
      <c r="A146" t="str">
        <f t="shared" si="37"/>
        <v>3C Aggregated and non-CO2 emissions on land</v>
      </c>
      <c r="B146" t="str">
        <f t="shared" si="41"/>
        <v>3C1 Biomass burning (N2O)</v>
      </c>
      <c r="C146" t="str">
        <f t="shared" si="47"/>
        <v>3C1e Biomass burning in Settlements</v>
      </c>
      <c r="D146" t="str">
        <f t="shared" si="47"/>
        <v>Mines</v>
      </c>
      <c r="E146" t="str">
        <f t="shared" si="45"/>
        <v>Biomass burning EF</v>
      </c>
      <c r="F146" t="str">
        <f t="shared" si="46"/>
        <v>N2O</v>
      </c>
      <c r="G146" t="s">
        <v>416</v>
      </c>
      <c r="H146" s="28">
        <v>0.21</v>
      </c>
    </row>
    <row r="147" spans="1:8" x14ac:dyDescent="0.25">
      <c r="A147" t="str">
        <f t="shared" si="37"/>
        <v>3C Aggregated and non-CO2 emissions on land</v>
      </c>
      <c r="B147" t="str">
        <f t="shared" si="41"/>
        <v>3C1 Biomass burning (N2O)</v>
      </c>
      <c r="C147" t="str">
        <f t="shared" si="47"/>
        <v>3C1f Biomass burning in Other lands</v>
      </c>
      <c r="D147" t="str">
        <f t="shared" si="47"/>
        <v>Bare ground</v>
      </c>
      <c r="E147" t="str">
        <f t="shared" si="45"/>
        <v>Biomass burning EF</v>
      </c>
      <c r="F147" t="str">
        <f t="shared" si="46"/>
        <v>N2O</v>
      </c>
      <c r="G147" t="s">
        <v>416</v>
      </c>
      <c r="H147" s="28">
        <v>0</v>
      </c>
    </row>
    <row r="149" spans="1:8" x14ac:dyDescent="0.25">
      <c r="A149" t="str">
        <f>'IPCC Categories'!A59</f>
        <v>3C Aggregated and non-CO2 emissions on land</v>
      </c>
      <c r="B149" t="str">
        <f>'IPCC Categories'!B71</f>
        <v>3C2 Liming (CO2)</v>
      </c>
      <c r="E149" t="s">
        <v>450</v>
      </c>
      <c r="F149" t="s">
        <v>452</v>
      </c>
      <c r="G149" t="s">
        <v>451</v>
      </c>
      <c r="H149" s="28">
        <v>0.125</v>
      </c>
    </row>
    <row r="150" spans="1:8" x14ac:dyDescent="0.25">
      <c r="A150" t="str">
        <f>A149</f>
        <v>3C Aggregated and non-CO2 emissions on land</v>
      </c>
      <c r="B150" t="str">
        <f>'IPCC Categories'!B72</f>
        <v>3C3 Urea application (CO2)</v>
      </c>
      <c r="E150" t="s">
        <v>460</v>
      </c>
      <c r="F150" t="s">
        <v>452</v>
      </c>
      <c r="G150" t="s">
        <v>461</v>
      </c>
      <c r="H150" s="28">
        <v>0.2</v>
      </c>
    </row>
    <row r="152" spans="1:8" x14ac:dyDescent="0.25">
      <c r="A152" t="str">
        <f>A150</f>
        <v>3C Aggregated and non-CO2 emissions on land</v>
      </c>
      <c r="B152" t="str">
        <f>'IPCC Categories'!B73</f>
        <v>3C4 Direct N2O from managed soils (N2O)</v>
      </c>
      <c r="C152" t="s">
        <v>466</v>
      </c>
      <c r="D152" t="s">
        <v>467</v>
      </c>
      <c r="E152" t="str">
        <f>C152&amp;D152</f>
        <v>FracMM - Diary cattle</v>
      </c>
      <c r="F152" t="s">
        <v>143</v>
      </c>
      <c r="G152" t="s">
        <v>449</v>
      </c>
      <c r="H152" s="23">
        <f>(SUM('Mitigation drivers'!C12:C20,'Mitigation drivers'!C24:C32)/2)/100</f>
        <v>0.7</v>
      </c>
    </row>
    <row r="153" spans="1:8" x14ac:dyDescent="0.25">
      <c r="A153" t="str">
        <f>A152</f>
        <v>3C Aggregated and non-CO2 emissions on land</v>
      </c>
      <c r="B153" t="str">
        <f>B152</f>
        <v>3C4 Direct N2O from managed soils (N2O)</v>
      </c>
      <c r="C153" t="str">
        <f>C152</f>
        <v>FracMM</v>
      </c>
      <c r="D153" t="s">
        <v>468</v>
      </c>
      <c r="E153" t="str">
        <f t="shared" ref="E153:E176" si="48">C153&amp;D153</f>
        <v>FracMM - commercial other cattle</v>
      </c>
      <c r="F153" t="str">
        <f>F152</f>
        <v>N2O</v>
      </c>
      <c r="G153" t="str">
        <f>G152</f>
        <v>fraction</v>
      </c>
      <c r="H153" s="23">
        <f>(SUM('Mitigation drivers'!C36:C44,'Mitigation drivers'!C49:C57)/2)/100</f>
        <v>0.05</v>
      </c>
    </row>
    <row r="154" spans="1:8" x14ac:dyDescent="0.25">
      <c r="A154" t="str">
        <f t="shared" ref="A154:A163" si="49">A153</f>
        <v>3C Aggregated and non-CO2 emissions on land</v>
      </c>
      <c r="B154" t="str">
        <f t="shared" ref="B154:B163" si="50">B153</f>
        <v>3C4 Direct N2O from managed soils (N2O)</v>
      </c>
      <c r="C154" t="str">
        <f t="shared" ref="C154:C163" si="51">C153</f>
        <v>FracMM</v>
      </c>
      <c r="D154" t="s">
        <v>469</v>
      </c>
      <c r="E154" t="str">
        <f t="shared" si="48"/>
        <v>FracMM - feedlot other cattle</v>
      </c>
      <c r="F154" t="str">
        <f t="shared" ref="F154:F163" si="52">F153</f>
        <v>N2O</v>
      </c>
      <c r="G154" t="str">
        <f t="shared" ref="G154:G163" si="53">G153</f>
        <v>fraction</v>
      </c>
      <c r="H154" s="23">
        <f>(SUM('Mitigation drivers'!C73:C81))/100</f>
        <v>1</v>
      </c>
    </row>
    <row r="155" spans="1:8" x14ac:dyDescent="0.25">
      <c r="A155" t="str">
        <f t="shared" si="49"/>
        <v>3C Aggregated and non-CO2 emissions on land</v>
      </c>
      <c r="B155" t="str">
        <f t="shared" si="50"/>
        <v>3C4 Direct N2O from managed soils (N2O)</v>
      </c>
      <c r="C155" t="str">
        <f t="shared" si="51"/>
        <v>FracMM</v>
      </c>
      <c r="D155" t="s">
        <v>470</v>
      </c>
      <c r="E155" t="str">
        <f t="shared" si="48"/>
        <v>FracMM - subsistence other cattle</v>
      </c>
      <c r="F155" t="str">
        <f t="shared" si="52"/>
        <v>N2O</v>
      </c>
      <c r="G155" t="str">
        <f t="shared" si="53"/>
        <v>fraction</v>
      </c>
      <c r="H155" s="23">
        <f>(SUM('Mitigation drivers'!C61:C69))/100</f>
        <v>0.1</v>
      </c>
    </row>
    <row r="156" spans="1:8" x14ac:dyDescent="0.25">
      <c r="A156" t="str">
        <f t="shared" si="49"/>
        <v>3C Aggregated and non-CO2 emissions on land</v>
      </c>
      <c r="B156" t="str">
        <f t="shared" si="50"/>
        <v>3C4 Direct N2O from managed soils (N2O)</v>
      </c>
      <c r="C156" t="str">
        <f t="shared" si="51"/>
        <v>FracMM</v>
      </c>
      <c r="D156" t="s">
        <v>471</v>
      </c>
      <c r="E156" t="str">
        <f t="shared" si="48"/>
        <v>FracMM - commercial sheep</v>
      </c>
      <c r="F156" t="str">
        <f t="shared" si="52"/>
        <v>N2O</v>
      </c>
      <c r="G156" t="str">
        <f t="shared" si="53"/>
        <v>fraction</v>
      </c>
      <c r="H156" s="23">
        <f>(SUM('Mitigation drivers'!C86:C94))/100</f>
        <v>0.01</v>
      </c>
    </row>
    <row r="157" spans="1:8" x14ac:dyDescent="0.25">
      <c r="A157" t="str">
        <f t="shared" si="49"/>
        <v>3C Aggregated and non-CO2 emissions on land</v>
      </c>
      <c r="B157" t="str">
        <f t="shared" si="50"/>
        <v>3C4 Direct N2O from managed soils (N2O)</v>
      </c>
      <c r="C157" t="str">
        <f t="shared" si="51"/>
        <v>FracMM</v>
      </c>
      <c r="D157" t="s">
        <v>472</v>
      </c>
      <c r="E157" t="str">
        <f t="shared" si="48"/>
        <v>FracMM - subsistence sheep</v>
      </c>
      <c r="F157" t="str">
        <f t="shared" si="52"/>
        <v>N2O</v>
      </c>
      <c r="G157" t="str">
        <f t="shared" si="53"/>
        <v>fraction</v>
      </c>
      <c r="H157" s="23">
        <f>(SUM('Mitigation drivers'!C97:C105))/100</f>
        <v>7.0000000000000007E-2</v>
      </c>
    </row>
    <row r="158" spans="1:8" x14ac:dyDescent="0.25">
      <c r="A158" t="str">
        <f t="shared" si="49"/>
        <v>3C Aggregated and non-CO2 emissions on land</v>
      </c>
      <c r="B158" t="str">
        <f t="shared" si="50"/>
        <v>3C4 Direct N2O from managed soils (N2O)</v>
      </c>
      <c r="C158" t="str">
        <f t="shared" si="51"/>
        <v>FracMM</v>
      </c>
      <c r="D158" t="s">
        <v>473</v>
      </c>
      <c r="E158" t="str">
        <f t="shared" si="48"/>
        <v>FracMM - commercial goats</v>
      </c>
      <c r="F158" t="str">
        <f t="shared" si="52"/>
        <v>N2O</v>
      </c>
      <c r="G158" t="str">
        <f t="shared" si="53"/>
        <v>fraction</v>
      </c>
      <c r="H158" s="23">
        <f>(SUM('Mitigation drivers'!C110:C118))/100</f>
        <v>0.01</v>
      </c>
    </row>
    <row r="159" spans="1:8" x14ac:dyDescent="0.25">
      <c r="A159" t="str">
        <f t="shared" si="49"/>
        <v>3C Aggregated and non-CO2 emissions on land</v>
      </c>
      <c r="B159" t="str">
        <f t="shared" si="50"/>
        <v>3C4 Direct N2O from managed soils (N2O)</v>
      </c>
      <c r="C159" t="str">
        <f t="shared" si="51"/>
        <v>FracMM</v>
      </c>
      <c r="D159" t="s">
        <v>474</v>
      </c>
      <c r="E159" t="str">
        <f t="shared" si="48"/>
        <v>FracMM - subsistence goats</v>
      </c>
      <c r="F159" t="str">
        <f t="shared" si="52"/>
        <v>N2O</v>
      </c>
      <c r="G159" t="str">
        <f t="shared" si="53"/>
        <v>fraction</v>
      </c>
      <c r="H159" s="23">
        <f>(SUM('Mitigation drivers'!C122:C130))/100</f>
        <v>7.0000000000000007E-2</v>
      </c>
    </row>
    <row r="160" spans="1:8" x14ac:dyDescent="0.25">
      <c r="A160" t="str">
        <f t="shared" si="49"/>
        <v>3C Aggregated and non-CO2 emissions on land</v>
      </c>
      <c r="B160" t="str">
        <f t="shared" si="50"/>
        <v>3C4 Direct N2O from managed soils (N2O)</v>
      </c>
      <c r="C160" t="str">
        <f t="shared" si="51"/>
        <v>FracMM</v>
      </c>
      <c r="D160" t="s">
        <v>475</v>
      </c>
      <c r="E160" t="str">
        <f t="shared" si="48"/>
        <v>FracMM - commercial swine</v>
      </c>
      <c r="F160" t="str">
        <f t="shared" si="52"/>
        <v>N2O</v>
      </c>
      <c r="G160" t="str">
        <f t="shared" si="53"/>
        <v>fraction</v>
      </c>
      <c r="H160" s="23">
        <f>(SUM('Mitigation drivers'!C160:C168))/100</f>
        <v>1</v>
      </c>
    </row>
    <row r="161" spans="1:8" x14ac:dyDescent="0.25">
      <c r="A161" t="str">
        <f t="shared" si="49"/>
        <v>3C Aggregated and non-CO2 emissions on land</v>
      </c>
      <c r="B161" t="str">
        <f t="shared" si="50"/>
        <v>3C4 Direct N2O from managed soils (N2O)</v>
      </c>
      <c r="C161" t="str">
        <f t="shared" si="51"/>
        <v>FracMM</v>
      </c>
      <c r="D161" t="s">
        <v>476</v>
      </c>
      <c r="E161" t="str">
        <f t="shared" si="48"/>
        <v>FracMM - subsistence swine</v>
      </c>
      <c r="F161" t="str">
        <f t="shared" si="52"/>
        <v>N2O</v>
      </c>
      <c r="G161" t="str">
        <f t="shared" si="53"/>
        <v>fraction</v>
      </c>
      <c r="H161" s="23">
        <f>(SUM('Mitigation drivers'!C172:C180))/100</f>
        <v>1</v>
      </c>
    </row>
    <row r="162" spans="1:8" x14ac:dyDescent="0.25">
      <c r="A162" t="str">
        <f t="shared" si="49"/>
        <v>3C Aggregated and non-CO2 emissions on land</v>
      </c>
      <c r="B162" t="str">
        <f t="shared" si="50"/>
        <v>3C4 Direct N2O from managed soils (N2O)</v>
      </c>
      <c r="C162" t="str">
        <f t="shared" si="51"/>
        <v>FracMM</v>
      </c>
      <c r="D162" t="s">
        <v>477</v>
      </c>
      <c r="E162" t="str">
        <f t="shared" si="48"/>
        <v>FracMM - broilers</v>
      </c>
      <c r="F162" t="str">
        <f t="shared" si="52"/>
        <v>N2O</v>
      </c>
      <c r="G162" t="str">
        <f t="shared" si="53"/>
        <v>fraction</v>
      </c>
      <c r="H162" s="23">
        <f>(SUM('Mitigation drivers'!C197:C205,'Mitigation drivers'!C221:C229)/2)/100</f>
        <v>1</v>
      </c>
    </row>
    <row r="163" spans="1:8" x14ac:dyDescent="0.25">
      <c r="A163" t="str">
        <f t="shared" si="49"/>
        <v>3C Aggregated and non-CO2 emissions on land</v>
      </c>
      <c r="B163" t="str">
        <f t="shared" si="50"/>
        <v>3C4 Direct N2O from managed soils (N2O)</v>
      </c>
      <c r="C163" t="str">
        <f t="shared" si="51"/>
        <v>FracMM</v>
      </c>
      <c r="D163" t="s">
        <v>478</v>
      </c>
      <c r="E163" t="str">
        <f t="shared" si="48"/>
        <v>FracMM - layers</v>
      </c>
      <c r="F163" t="str">
        <f t="shared" si="52"/>
        <v>N2O</v>
      </c>
      <c r="G163" t="str">
        <f t="shared" si="53"/>
        <v>fraction</v>
      </c>
      <c r="H163" s="23">
        <f>(SUM('Mitigation drivers'!C185:C193,'Mitigation drivers'!C209:C217)/2)/100</f>
        <v>1</v>
      </c>
    </row>
    <row r="164" spans="1:8" x14ac:dyDescent="0.25">
      <c r="A164" t="str">
        <f t="shared" ref="A164" si="54">A163</f>
        <v>3C Aggregated and non-CO2 emissions on land</v>
      </c>
      <c r="B164" t="str">
        <f t="shared" ref="B164" si="55">B163</f>
        <v>3C4 Direct N2O from managed soils (N2O)</v>
      </c>
      <c r="C164" t="s">
        <v>479</v>
      </c>
      <c r="D164" t="str">
        <f>D152</f>
        <v xml:space="preserve"> - Diary cattle</v>
      </c>
      <c r="E164" t="str">
        <f t="shared" si="48"/>
        <v>FracLoss - Diary cattle</v>
      </c>
      <c r="F164" t="str">
        <f>F152</f>
        <v>N2O</v>
      </c>
      <c r="G164" t="str">
        <f>G152</f>
        <v>fraction</v>
      </c>
      <c r="H164" s="57">
        <v>0.44350000000000001</v>
      </c>
    </row>
    <row r="165" spans="1:8" x14ac:dyDescent="0.25">
      <c r="A165" t="str">
        <f t="shared" ref="A165:A192" si="56">A164</f>
        <v>3C Aggregated and non-CO2 emissions on land</v>
      </c>
      <c r="B165" t="str">
        <f t="shared" ref="B165:B192" si="57">B164</f>
        <v>3C4 Direct N2O from managed soils (N2O)</v>
      </c>
      <c r="C165" t="str">
        <f>C164</f>
        <v>FracLoss</v>
      </c>
      <c r="D165" t="str">
        <f t="shared" ref="D165:G165" si="58">D153</f>
        <v xml:space="preserve"> - commercial other cattle</v>
      </c>
      <c r="E165" t="str">
        <f t="shared" si="48"/>
        <v>FracLoss - commercial other cattle</v>
      </c>
      <c r="F165" t="str">
        <f t="shared" si="58"/>
        <v>N2O</v>
      </c>
      <c r="G165" t="str">
        <f t="shared" si="58"/>
        <v>fraction</v>
      </c>
      <c r="H165" s="57">
        <v>1.4E-2</v>
      </c>
    </row>
    <row r="166" spans="1:8" x14ac:dyDescent="0.25">
      <c r="A166" t="str">
        <f t="shared" si="56"/>
        <v>3C Aggregated and non-CO2 emissions on land</v>
      </c>
      <c r="B166" t="str">
        <f t="shared" si="57"/>
        <v>3C4 Direct N2O from managed soils (N2O)</v>
      </c>
      <c r="C166" t="str">
        <f>C165</f>
        <v>FracLoss</v>
      </c>
      <c r="D166" t="str">
        <f t="shared" ref="D166:G166" si="59">D154</f>
        <v xml:space="preserve"> - feedlot other cattle</v>
      </c>
      <c r="E166" t="str">
        <f t="shared" si="48"/>
        <v>FracLoss - feedlot other cattle</v>
      </c>
      <c r="F166" t="str">
        <f t="shared" si="59"/>
        <v>N2O</v>
      </c>
      <c r="G166" t="str">
        <f t="shared" si="59"/>
        <v>fraction</v>
      </c>
      <c r="H166" s="57">
        <v>0.38600000000000001</v>
      </c>
    </row>
    <row r="167" spans="1:8" x14ac:dyDescent="0.25">
      <c r="A167" t="str">
        <f t="shared" si="56"/>
        <v>3C Aggregated and non-CO2 emissions on land</v>
      </c>
      <c r="B167" t="str">
        <f t="shared" si="57"/>
        <v>3C4 Direct N2O from managed soils (N2O)</v>
      </c>
      <c r="C167" t="str">
        <f t="shared" ref="C167:C175" si="60">C166</f>
        <v>FracLoss</v>
      </c>
      <c r="D167" t="str">
        <f t="shared" ref="D167:G167" si="61">D155</f>
        <v xml:space="preserve"> - subsistence other cattle</v>
      </c>
      <c r="E167" t="str">
        <f t="shared" si="48"/>
        <v>FracLoss - subsistence other cattle</v>
      </c>
      <c r="F167" t="str">
        <f t="shared" si="61"/>
        <v>N2O</v>
      </c>
      <c r="G167" t="str">
        <f t="shared" si="61"/>
        <v>fraction</v>
      </c>
      <c r="H167" s="57">
        <v>0.04</v>
      </c>
    </row>
    <row r="168" spans="1:8" x14ac:dyDescent="0.25">
      <c r="A168" t="str">
        <f t="shared" si="56"/>
        <v>3C Aggregated and non-CO2 emissions on land</v>
      </c>
      <c r="B168" t="str">
        <f t="shared" si="57"/>
        <v>3C4 Direct N2O from managed soils (N2O)</v>
      </c>
      <c r="C168" t="str">
        <f t="shared" si="60"/>
        <v>FracLoss</v>
      </c>
      <c r="D168" t="str">
        <f t="shared" ref="D168:G168" si="62">D156</f>
        <v xml:space="preserve"> - commercial sheep</v>
      </c>
      <c r="E168" t="str">
        <f t="shared" si="48"/>
        <v>FracLoss - commercial sheep</v>
      </c>
      <c r="F168" t="str">
        <f t="shared" si="62"/>
        <v>N2O</v>
      </c>
      <c r="G168" t="str">
        <f t="shared" si="62"/>
        <v>fraction</v>
      </c>
      <c r="H168" s="57">
        <v>4.0000000000000001E-3</v>
      </c>
    </row>
    <row r="169" spans="1:8" x14ac:dyDescent="0.25">
      <c r="A169" t="str">
        <f t="shared" si="56"/>
        <v>3C Aggregated and non-CO2 emissions on land</v>
      </c>
      <c r="B169" t="str">
        <f t="shared" si="57"/>
        <v>3C4 Direct N2O from managed soils (N2O)</v>
      </c>
      <c r="C169" t="str">
        <f t="shared" si="60"/>
        <v>FracLoss</v>
      </c>
      <c r="D169" t="str">
        <f t="shared" ref="D169:G169" si="63">D157</f>
        <v xml:space="preserve"> - subsistence sheep</v>
      </c>
      <c r="E169" t="str">
        <f t="shared" si="48"/>
        <v>FracLoss - subsistence sheep</v>
      </c>
      <c r="F169" t="str">
        <f t="shared" si="63"/>
        <v>N2O</v>
      </c>
      <c r="G169" t="str">
        <f t="shared" si="63"/>
        <v>fraction</v>
      </c>
      <c r="H169" s="57">
        <v>2.5499999999999998E-2</v>
      </c>
    </row>
    <row r="170" spans="1:8" x14ac:dyDescent="0.25">
      <c r="A170" t="str">
        <f t="shared" si="56"/>
        <v>3C Aggregated and non-CO2 emissions on land</v>
      </c>
      <c r="B170" t="str">
        <f t="shared" si="57"/>
        <v>3C4 Direct N2O from managed soils (N2O)</v>
      </c>
      <c r="C170" t="str">
        <f t="shared" si="60"/>
        <v>FracLoss</v>
      </c>
      <c r="D170" t="str">
        <f t="shared" ref="D170:G170" si="64">D158</f>
        <v xml:space="preserve"> - commercial goats</v>
      </c>
      <c r="E170" t="str">
        <f t="shared" si="48"/>
        <v>FracLoss - commercial goats</v>
      </c>
      <c r="F170" t="str">
        <f t="shared" si="64"/>
        <v>N2O</v>
      </c>
      <c r="G170" t="str">
        <f t="shared" si="64"/>
        <v>fraction</v>
      </c>
      <c r="H170" s="57">
        <v>4.0000000000000001E-3</v>
      </c>
    </row>
    <row r="171" spans="1:8" x14ac:dyDescent="0.25">
      <c r="A171" t="str">
        <f t="shared" si="56"/>
        <v>3C Aggregated and non-CO2 emissions on land</v>
      </c>
      <c r="B171" t="str">
        <f t="shared" si="57"/>
        <v>3C4 Direct N2O from managed soils (N2O)</v>
      </c>
      <c r="C171" t="str">
        <f t="shared" si="60"/>
        <v>FracLoss</v>
      </c>
      <c r="D171" t="str">
        <f t="shared" ref="D171:G171" si="65">D159</f>
        <v xml:space="preserve"> - subsistence goats</v>
      </c>
      <c r="E171" t="str">
        <f t="shared" si="48"/>
        <v>FracLoss - subsistence goats</v>
      </c>
      <c r="F171" t="str">
        <f t="shared" si="65"/>
        <v>N2O</v>
      </c>
      <c r="G171" t="str">
        <f t="shared" si="65"/>
        <v>fraction</v>
      </c>
      <c r="H171" s="57">
        <v>2.5499999999999998E-2</v>
      </c>
    </row>
    <row r="172" spans="1:8" x14ac:dyDescent="0.25">
      <c r="A172" t="str">
        <f t="shared" si="56"/>
        <v>3C Aggregated and non-CO2 emissions on land</v>
      </c>
      <c r="B172" t="str">
        <f t="shared" si="57"/>
        <v>3C4 Direct N2O from managed soils (N2O)</v>
      </c>
      <c r="C172" t="str">
        <f t="shared" si="60"/>
        <v>FracLoss</v>
      </c>
      <c r="D172" t="str">
        <f t="shared" ref="D172:G172" si="66">D160</f>
        <v xml:space="preserve"> - commercial swine</v>
      </c>
      <c r="E172" t="str">
        <f t="shared" si="48"/>
        <v>FracLoss - commercial swine</v>
      </c>
      <c r="F172" t="str">
        <f t="shared" si="66"/>
        <v>N2O</v>
      </c>
      <c r="G172" t="str">
        <f t="shared" si="66"/>
        <v>fraction</v>
      </c>
      <c r="H172" s="57">
        <v>0.6522</v>
      </c>
    </row>
    <row r="173" spans="1:8" x14ac:dyDescent="0.25">
      <c r="A173" t="str">
        <f t="shared" si="56"/>
        <v>3C Aggregated and non-CO2 emissions on land</v>
      </c>
      <c r="B173" t="str">
        <f t="shared" si="57"/>
        <v>3C4 Direct N2O from managed soils (N2O)</v>
      </c>
      <c r="C173" t="str">
        <f t="shared" si="60"/>
        <v>FracLoss</v>
      </c>
      <c r="D173" t="str">
        <f t="shared" ref="D173:G173" si="67">D161</f>
        <v xml:space="preserve"> - subsistence swine</v>
      </c>
      <c r="E173" t="str">
        <f t="shared" si="48"/>
        <v>FracLoss - subsistence swine</v>
      </c>
      <c r="F173" t="str">
        <f t="shared" si="67"/>
        <v>N2O</v>
      </c>
      <c r="G173" t="str">
        <f t="shared" si="67"/>
        <v>fraction</v>
      </c>
      <c r="H173" s="57">
        <v>0.40959999999999996</v>
      </c>
    </row>
    <row r="174" spans="1:8" x14ac:dyDescent="0.25">
      <c r="A174" t="str">
        <f t="shared" si="56"/>
        <v>3C Aggregated and non-CO2 emissions on land</v>
      </c>
      <c r="B174" t="str">
        <f t="shared" si="57"/>
        <v>3C4 Direct N2O from managed soils (N2O)</v>
      </c>
      <c r="C174" t="str">
        <f t="shared" si="60"/>
        <v>FracLoss</v>
      </c>
      <c r="D174" t="str">
        <f t="shared" ref="D174:G174" si="68">D162</f>
        <v xml:space="preserve"> - broilers</v>
      </c>
      <c r="E174" t="str">
        <f t="shared" si="48"/>
        <v>FracLoss - broilers</v>
      </c>
      <c r="F174" t="str">
        <f t="shared" si="68"/>
        <v>N2O</v>
      </c>
      <c r="G174" t="str">
        <f t="shared" si="68"/>
        <v>fraction</v>
      </c>
      <c r="H174" s="57">
        <v>0.24</v>
      </c>
    </row>
    <row r="175" spans="1:8" x14ac:dyDescent="0.25">
      <c r="A175" t="str">
        <f t="shared" si="56"/>
        <v>3C Aggregated and non-CO2 emissions on land</v>
      </c>
      <c r="B175" t="str">
        <f t="shared" si="57"/>
        <v>3C4 Direct N2O from managed soils (N2O)</v>
      </c>
      <c r="C175" t="str">
        <f t="shared" si="60"/>
        <v>FracLoss</v>
      </c>
      <c r="D175" t="str">
        <f t="shared" ref="D175:G176" si="69">D163</f>
        <v xml:space="preserve"> - layers</v>
      </c>
      <c r="E175" t="str">
        <f t="shared" si="48"/>
        <v>FracLoss - layers</v>
      </c>
      <c r="F175" t="str">
        <f t="shared" si="69"/>
        <v>N2O</v>
      </c>
      <c r="G175" t="str">
        <f t="shared" si="69"/>
        <v>fraction</v>
      </c>
      <c r="H175" s="57">
        <v>0.29600000000000004</v>
      </c>
    </row>
    <row r="176" spans="1:8" x14ac:dyDescent="0.25">
      <c r="A176" t="str">
        <f t="shared" si="56"/>
        <v>3C Aggregated and non-CO2 emissions on land</v>
      </c>
      <c r="B176" t="str">
        <f t="shared" si="57"/>
        <v>3C4 Direct N2O from managed soils (N2O)</v>
      </c>
      <c r="C176" t="s">
        <v>480</v>
      </c>
      <c r="D176" t="str">
        <f>D164</f>
        <v xml:space="preserve"> - Diary cattle</v>
      </c>
      <c r="E176" t="str">
        <f t="shared" si="48"/>
        <v>N for bedding - Diary cattle</v>
      </c>
      <c r="F176" t="str">
        <f t="shared" si="69"/>
        <v>N2O</v>
      </c>
      <c r="G176" t="str">
        <f t="shared" si="69"/>
        <v>fraction</v>
      </c>
      <c r="H176" s="57">
        <v>0.35</v>
      </c>
    </row>
    <row r="177" spans="1:8" x14ac:dyDescent="0.25">
      <c r="A177" t="str">
        <f t="shared" si="56"/>
        <v>3C Aggregated and non-CO2 emissions on land</v>
      </c>
      <c r="B177" t="str">
        <f t="shared" si="57"/>
        <v>3C4 Direct N2O from managed soils (N2O)</v>
      </c>
      <c r="C177" t="s">
        <v>480</v>
      </c>
      <c r="D177" t="str">
        <f t="shared" ref="D177:D187" si="70">D165</f>
        <v xml:space="preserve"> - commercial other cattle</v>
      </c>
      <c r="E177" t="str">
        <f t="shared" ref="E177:E187" si="71">C177&amp;D177</f>
        <v>N for bedding - commercial other cattle</v>
      </c>
      <c r="F177" t="str">
        <f t="shared" ref="F177:G177" si="72">F165</f>
        <v>N2O</v>
      </c>
      <c r="G177" t="str">
        <f t="shared" si="72"/>
        <v>fraction</v>
      </c>
      <c r="H177" s="57">
        <v>0.04</v>
      </c>
    </row>
    <row r="178" spans="1:8" x14ac:dyDescent="0.25">
      <c r="A178" t="str">
        <f t="shared" si="56"/>
        <v>3C Aggregated and non-CO2 emissions on land</v>
      </c>
      <c r="B178" t="str">
        <f t="shared" si="57"/>
        <v>3C4 Direct N2O from managed soils (N2O)</v>
      </c>
      <c r="C178" t="s">
        <v>480</v>
      </c>
      <c r="D178" t="str">
        <f t="shared" si="70"/>
        <v xml:space="preserve"> - feedlot other cattle</v>
      </c>
      <c r="E178" t="str">
        <f t="shared" si="71"/>
        <v>N for bedding - feedlot other cattle</v>
      </c>
      <c r="F178" t="str">
        <f t="shared" ref="F178:G178" si="73">F166</f>
        <v>N2O</v>
      </c>
      <c r="G178" t="str">
        <f t="shared" si="73"/>
        <v>fraction</v>
      </c>
      <c r="H178" s="57">
        <v>0</v>
      </c>
    </row>
    <row r="179" spans="1:8" x14ac:dyDescent="0.25">
      <c r="A179" t="str">
        <f t="shared" si="56"/>
        <v>3C Aggregated and non-CO2 emissions on land</v>
      </c>
      <c r="B179" t="str">
        <f t="shared" si="57"/>
        <v>3C4 Direct N2O from managed soils (N2O)</v>
      </c>
      <c r="C179" t="s">
        <v>480</v>
      </c>
      <c r="D179" t="str">
        <f t="shared" si="70"/>
        <v xml:space="preserve"> - subsistence other cattle</v>
      </c>
      <c r="E179" t="str">
        <f t="shared" si="71"/>
        <v>N for bedding - subsistence other cattle</v>
      </c>
      <c r="F179" t="str">
        <f t="shared" ref="F179:G179" si="74">F167</f>
        <v>N2O</v>
      </c>
      <c r="G179" t="str">
        <f t="shared" si="74"/>
        <v>fraction</v>
      </c>
      <c r="H179" s="57">
        <v>0.4</v>
      </c>
    </row>
    <row r="180" spans="1:8" x14ac:dyDescent="0.25">
      <c r="A180" t="str">
        <f t="shared" si="56"/>
        <v>3C Aggregated and non-CO2 emissions on land</v>
      </c>
      <c r="B180" t="str">
        <f t="shared" si="57"/>
        <v>3C4 Direct N2O from managed soils (N2O)</v>
      </c>
      <c r="C180" t="s">
        <v>480</v>
      </c>
      <c r="D180" t="str">
        <f t="shared" si="70"/>
        <v xml:space="preserve"> - commercial sheep</v>
      </c>
      <c r="E180" t="str">
        <f t="shared" si="71"/>
        <v>N for bedding - commercial sheep</v>
      </c>
      <c r="F180" t="str">
        <f t="shared" ref="F180:G180" si="75">F168</f>
        <v>N2O</v>
      </c>
      <c r="G180" t="str">
        <f t="shared" si="75"/>
        <v>fraction</v>
      </c>
      <c r="H180" s="57">
        <v>0</v>
      </c>
    </row>
    <row r="181" spans="1:8" x14ac:dyDescent="0.25">
      <c r="A181" t="str">
        <f t="shared" si="56"/>
        <v>3C Aggregated and non-CO2 emissions on land</v>
      </c>
      <c r="B181" t="str">
        <f t="shared" si="57"/>
        <v>3C4 Direct N2O from managed soils (N2O)</v>
      </c>
      <c r="C181" t="s">
        <v>480</v>
      </c>
      <c r="D181" t="str">
        <f t="shared" si="70"/>
        <v xml:space="preserve"> - subsistence sheep</v>
      </c>
      <c r="E181" t="str">
        <f t="shared" si="71"/>
        <v>N for bedding - subsistence sheep</v>
      </c>
      <c r="F181" t="str">
        <f t="shared" ref="F181:G181" si="76">F169</f>
        <v>N2O</v>
      </c>
      <c r="G181" t="str">
        <f t="shared" si="76"/>
        <v>fraction</v>
      </c>
      <c r="H181" s="57">
        <v>0</v>
      </c>
    </row>
    <row r="182" spans="1:8" x14ac:dyDescent="0.25">
      <c r="A182" t="str">
        <f t="shared" si="56"/>
        <v>3C Aggregated and non-CO2 emissions on land</v>
      </c>
      <c r="B182" t="str">
        <f t="shared" si="57"/>
        <v>3C4 Direct N2O from managed soils (N2O)</v>
      </c>
      <c r="C182" t="s">
        <v>480</v>
      </c>
      <c r="D182" t="str">
        <f t="shared" si="70"/>
        <v xml:space="preserve"> - commercial goats</v>
      </c>
      <c r="E182" t="str">
        <f t="shared" si="71"/>
        <v>N for bedding - commercial goats</v>
      </c>
      <c r="F182" t="str">
        <f t="shared" ref="F182:G182" si="77">F170</f>
        <v>N2O</v>
      </c>
      <c r="G182" t="str">
        <f t="shared" si="77"/>
        <v>fraction</v>
      </c>
      <c r="H182" s="57">
        <v>0</v>
      </c>
    </row>
    <row r="183" spans="1:8" x14ac:dyDescent="0.25">
      <c r="A183" t="str">
        <f t="shared" si="56"/>
        <v>3C Aggregated and non-CO2 emissions on land</v>
      </c>
      <c r="B183" t="str">
        <f t="shared" si="57"/>
        <v>3C4 Direct N2O from managed soils (N2O)</v>
      </c>
      <c r="C183" t="s">
        <v>480</v>
      </c>
      <c r="D183" t="str">
        <f t="shared" si="70"/>
        <v xml:space="preserve"> - subsistence goats</v>
      </c>
      <c r="E183" t="str">
        <f t="shared" si="71"/>
        <v>N for bedding - subsistence goats</v>
      </c>
      <c r="F183" t="str">
        <f t="shared" ref="F183:G183" si="78">F171</f>
        <v>N2O</v>
      </c>
      <c r="G183" t="str">
        <f t="shared" si="78"/>
        <v>fraction</v>
      </c>
      <c r="H183" s="57">
        <v>0</v>
      </c>
    </row>
    <row r="184" spans="1:8" x14ac:dyDescent="0.25">
      <c r="A184" t="str">
        <f t="shared" si="56"/>
        <v>3C Aggregated and non-CO2 emissions on land</v>
      </c>
      <c r="B184" t="str">
        <f t="shared" si="57"/>
        <v>3C4 Direct N2O from managed soils (N2O)</v>
      </c>
      <c r="C184" t="s">
        <v>480</v>
      </c>
      <c r="D184" t="str">
        <f t="shared" si="70"/>
        <v xml:space="preserve"> - commercial swine</v>
      </c>
      <c r="E184" t="str">
        <f t="shared" si="71"/>
        <v>N for bedding - commercial swine</v>
      </c>
      <c r="F184" t="str">
        <f t="shared" ref="F184:G184" si="79">F172</f>
        <v>N2O</v>
      </c>
      <c r="G184" t="str">
        <f t="shared" si="79"/>
        <v>fraction</v>
      </c>
      <c r="H184" s="57">
        <v>0</v>
      </c>
    </row>
    <row r="185" spans="1:8" x14ac:dyDescent="0.25">
      <c r="A185" t="str">
        <f t="shared" si="56"/>
        <v>3C Aggregated and non-CO2 emissions on land</v>
      </c>
      <c r="B185" t="str">
        <f t="shared" si="57"/>
        <v>3C4 Direct N2O from managed soils (N2O)</v>
      </c>
      <c r="C185" t="s">
        <v>480</v>
      </c>
      <c r="D185" t="str">
        <f t="shared" si="70"/>
        <v xml:space="preserve"> - subsistence swine</v>
      </c>
      <c r="E185" t="str">
        <f t="shared" si="71"/>
        <v>N for bedding - subsistence swine</v>
      </c>
      <c r="F185" t="str">
        <f t="shared" ref="F185:G185" si="80">F173</f>
        <v>N2O</v>
      </c>
      <c r="G185" t="str">
        <f t="shared" si="80"/>
        <v>fraction</v>
      </c>
      <c r="H185" s="57">
        <v>0</v>
      </c>
    </row>
    <row r="186" spans="1:8" x14ac:dyDescent="0.25">
      <c r="A186" t="str">
        <f t="shared" si="56"/>
        <v>3C Aggregated and non-CO2 emissions on land</v>
      </c>
      <c r="B186" t="str">
        <f t="shared" si="57"/>
        <v>3C4 Direct N2O from managed soils (N2O)</v>
      </c>
      <c r="C186" t="s">
        <v>480</v>
      </c>
      <c r="D186" t="str">
        <f t="shared" si="70"/>
        <v xml:space="preserve"> - broilers</v>
      </c>
      <c r="E186" t="str">
        <f t="shared" si="71"/>
        <v>N for bedding - broilers</v>
      </c>
      <c r="F186" t="str">
        <f t="shared" ref="F186:G186" si="81">F174</f>
        <v>N2O</v>
      </c>
      <c r="G186" t="str">
        <f t="shared" si="81"/>
        <v>fraction</v>
      </c>
      <c r="H186" s="57">
        <v>0</v>
      </c>
    </row>
    <row r="187" spans="1:8" x14ac:dyDescent="0.25">
      <c r="A187" t="str">
        <f t="shared" si="56"/>
        <v>3C Aggregated and non-CO2 emissions on land</v>
      </c>
      <c r="B187" t="str">
        <f t="shared" si="57"/>
        <v>3C4 Direct N2O from managed soils (N2O)</v>
      </c>
      <c r="C187" t="s">
        <v>480</v>
      </c>
      <c r="D187" t="str">
        <f t="shared" si="70"/>
        <v xml:space="preserve"> - layers</v>
      </c>
      <c r="E187" t="str">
        <f t="shared" si="71"/>
        <v>N for bedding - layers</v>
      </c>
      <c r="F187" t="str">
        <f t="shared" ref="F187:G187" si="82">F175</f>
        <v>N2O</v>
      </c>
      <c r="G187" t="str">
        <f t="shared" si="82"/>
        <v>fraction</v>
      </c>
      <c r="H187" s="57">
        <v>0</v>
      </c>
    </row>
    <row r="188" spans="1:8" x14ac:dyDescent="0.25">
      <c r="A188" t="str">
        <f t="shared" si="56"/>
        <v>3C Aggregated and non-CO2 emissions on land</v>
      </c>
      <c r="B188" t="str">
        <f t="shared" si="57"/>
        <v>3C4 Direct N2O from managed soils (N2O)</v>
      </c>
      <c r="C188" t="s">
        <v>486</v>
      </c>
      <c r="D188" t="s">
        <v>492</v>
      </c>
      <c r="E188" t="str">
        <f t="shared" ref="E188:E206" si="83">C188&amp;D188</f>
        <v>Synthetic N - EF</v>
      </c>
      <c r="F188" t="str">
        <f t="shared" ref="F188" si="84">F176</f>
        <v>N2O</v>
      </c>
      <c r="G188" t="s">
        <v>491</v>
      </c>
      <c r="H188" s="28">
        <v>0.01</v>
      </c>
    </row>
    <row r="189" spans="1:8" x14ac:dyDescent="0.25">
      <c r="A189" t="str">
        <f t="shared" si="56"/>
        <v>3C Aggregated and non-CO2 emissions on land</v>
      </c>
      <c r="B189" t="str">
        <f t="shared" si="57"/>
        <v>3C4 Direct N2O from managed soils (N2O)</v>
      </c>
      <c r="C189" t="s">
        <v>487</v>
      </c>
      <c r="D189" t="str">
        <f>D188</f>
        <v xml:space="preserve"> - EF</v>
      </c>
      <c r="E189" t="str">
        <f t="shared" si="83"/>
        <v>Organic N - EF</v>
      </c>
      <c r="F189" t="str">
        <f t="shared" ref="F189" si="85">F177</f>
        <v>N2O</v>
      </c>
      <c r="G189" t="s">
        <v>491</v>
      </c>
      <c r="H189" s="28">
        <v>0.01</v>
      </c>
    </row>
    <row r="190" spans="1:8" x14ac:dyDescent="0.25">
      <c r="A190" t="str">
        <f t="shared" si="56"/>
        <v>3C Aggregated and non-CO2 emissions on land</v>
      </c>
      <c r="B190" t="str">
        <f t="shared" si="57"/>
        <v>3C4 Direct N2O from managed soils (N2O)</v>
      </c>
      <c r="C190" t="s">
        <v>481</v>
      </c>
      <c r="D190" t="str">
        <f t="shared" ref="D190:D193" si="86">D189</f>
        <v xml:space="preserve"> - EF</v>
      </c>
      <c r="E190" t="str">
        <f t="shared" si="83"/>
        <v>Manure N - EF</v>
      </c>
      <c r="F190" t="str">
        <f t="shared" ref="F190" si="87">F178</f>
        <v>N2O</v>
      </c>
      <c r="G190" t="s">
        <v>491</v>
      </c>
      <c r="H190" s="28">
        <v>0.01</v>
      </c>
    </row>
    <row r="191" spans="1:8" x14ac:dyDescent="0.25">
      <c r="A191" t="str">
        <f t="shared" si="56"/>
        <v>3C Aggregated and non-CO2 emissions on land</v>
      </c>
      <c r="B191" t="str">
        <f t="shared" si="57"/>
        <v>3C4 Direct N2O from managed soils (N2O)</v>
      </c>
      <c r="C191" t="s">
        <v>489</v>
      </c>
      <c r="D191" t="str">
        <f t="shared" si="86"/>
        <v xml:space="preserve"> - EF</v>
      </c>
      <c r="E191" t="str">
        <f t="shared" si="83"/>
        <v>Urine and dung N (CPP) - EF</v>
      </c>
      <c r="F191" t="str">
        <f t="shared" ref="F191" si="88">F179</f>
        <v>N2O</v>
      </c>
      <c r="G191" t="s">
        <v>491</v>
      </c>
      <c r="H191" s="28">
        <v>0.02</v>
      </c>
    </row>
    <row r="192" spans="1:8" x14ac:dyDescent="0.25">
      <c r="A192" t="str">
        <f t="shared" si="56"/>
        <v>3C Aggregated and non-CO2 emissions on land</v>
      </c>
      <c r="B192" t="str">
        <f t="shared" si="57"/>
        <v>3C4 Direct N2O from managed soils (N2O)</v>
      </c>
      <c r="C192" t="s">
        <v>490</v>
      </c>
      <c r="D192" t="str">
        <f t="shared" si="86"/>
        <v xml:space="preserve"> - EF</v>
      </c>
      <c r="E192" t="str">
        <f t="shared" si="83"/>
        <v>Urine and dung N (SO) - EF</v>
      </c>
      <c r="F192" t="str">
        <f t="shared" ref="F192" si="89">F180</f>
        <v>N2O</v>
      </c>
      <c r="G192" t="s">
        <v>491</v>
      </c>
      <c r="H192" s="28">
        <v>0.01</v>
      </c>
    </row>
    <row r="193" spans="1:8" x14ac:dyDescent="0.25">
      <c r="A193" t="str">
        <f t="shared" ref="A193" si="90">A192</f>
        <v>3C Aggregated and non-CO2 emissions on land</v>
      </c>
      <c r="B193" t="str">
        <f t="shared" ref="B193" si="91">B192</f>
        <v>3C4 Direct N2O from managed soils (N2O)</v>
      </c>
      <c r="C193" t="s">
        <v>488</v>
      </c>
      <c r="D193" t="str">
        <f t="shared" si="86"/>
        <v xml:space="preserve"> - EF</v>
      </c>
      <c r="E193" t="str">
        <f t="shared" si="83"/>
        <v>SOM N - EF</v>
      </c>
      <c r="F193" t="str">
        <f t="shared" ref="F193:F194" si="92">F181</f>
        <v>N2O</v>
      </c>
      <c r="G193" t="s">
        <v>491</v>
      </c>
      <c r="H193" s="28">
        <v>0.01</v>
      </c>
    </row>
    <row r="194" spans="1:8" x14ac:dyDescent="0.25">
      <c r="A194" t="str">
        <f t="shared" ref="A194" si="93">A193</f>
        <v>3C Aggregated and non-CO2 emissions on land</v>
      </c>
      <c r="B194" t="str">
        <f t="shared" ref="B194" si="94">B193</f>
        <v>3C4 Direct N2O from managed soils (N2O)</v>
      </c>
      <c r="C194" t="s">
        <v>526</v>
      </c>
      <c r="D194" t="s">
        <v>492</v>
      </c>
      <c r="E194" t="str">
        <f t="shared" ref="E194" si="95">C194&amp;D194</f>
        <v>Crop residue - EF</v>
      </c>
      <c r="F194" t="str">
        <f t="shared" si="92"/>
        <v>N2O</v>
      </c>
      <c r="G194" t="s">
        <v>491</v>
      </c>
      <c r="H194" s="28">
        <v>0.01</v>
      </c>
    </row>
    <row r="196" spans="1:8" x14ac:dyDescent="0.25">
      <c r="A196" t="str">
        <f>'IPCC Categories'!A59</f>
        <v>3C Aggregated and non-CO2 emissions on land</v>
      </c>
      <c r="B196" t="str">
        <f>'IPCC Categories'!B78</f>
        <v>3C5 Indirect N2O from managed soils (N2O)</v>
      </c>
      <c r="C196" t="s">
        <v>498</v>
      </c>
      <c r="D196" t="s">
        <v>501</v>
      </c>
      <c r="E196" t="str">
        <f t="shared" si="83"/>
        <v>FracGASF - synthetic N</v>
      </c>
      <c r="F196" t="s">
        <v>143</v>
      </c>
      <c r="G196" t="s">
        <v>449</v>
      </c>
      <c r="H196" s="28">
        <v>0.1</v>
      </c>
    </row>
    <row r="197" spans="1:8" x14ac:dyDescent="0.25">
      <c r="A197" t="str">
        <f>A196</f>
        <v>3C Aggregated and non-CO2 emissions on land</v>
      </c>
      <c r="B197" t="str">
        <f>B196</f>
        <v>3C5 Indirect N2O from managed soils (N2O)</v>
      </c>
      <c r="C197" t="s">
        <v>499</v>
      </c>
      <c r="D197" t="s">
        <v>502</v>
      </c>
      <c r="E197" t="str">
        <f t="shared" si="83"/>
        <v>FracGASM - Organic N</v>
      </c>
      <c r="F197" t="str">
        <f>F196</f>
        <v>N2O</v>
      </c>
      <c r="G197" t="str">
        <f>G196</f>
        <v>fraction</v>
      </c>
      <c r="H197" s="28">
        <v>0.2</v>
      </c>
    </row>
    <row r="198" spans="1:8" x14ac:dyDescent="0.25">
      <c r="A198" t="str">
        <f t="shared" ref="A198:A201" si="96">A197</f>
        <v>3C Aggregated and non-CO2 emissions on land</v>
      </c>
      <c r="B198" t="str">
        <f t="shared" ref="B198:B201" si="97">B197</f>
        <v>3C5 Indirect N2O from managed soils (N2O)</v>
      </c>
      <c r="C198" t="s">
        <v>500</v>
      </c>
      <c r="D198" t="s">
        <v>503</v>
      </c>
      <c r="E198" t="str">
        <f t="shared" si="83"/>
        <v>FracLEACH - N application</v>
      </c>
      <c r="F198" t="str">
        <f t="shared" ref="F198:F201" si="98">F197</f>
        <v>N2O</v>
      </c>
      <c r="G198" t="str">
        <f t="shared" ref="G198:G199" si="99">G197</f>
        <v>fraction</v>
      </c>
      <c r="H198" s="28">
        <v>4.5999999999999999E-2</v>
      </c>
    </row>
    <row r="199" spans="1:8" x14ac:dyDescent="0.25">
      <c r="A199" t="str">
        <f t="shared" si="96"/>
        <v>3C Aggregated and non-CO2 emissions on land</v>
      </c>
      <c r="B199" t="str">
        <f t="shared" si="97"/>
        <v>3C5 Indirect N2O from managed soils (N2O)</v>
      </c>
      <c r="C199" t="s">
        <v>500</v>
      </c>
      <c r="D199" t="s">
        <v>504</v>
      </c>
      <c r="E199" t="str">
        <f t="shared" si="83"/>
        <v>FracLEACH - U&amp;D</v>
      </c>
      <c r="F199" t="str">
        <f t="shared" si="98"/>
        <v>N2O</v>
      </c>
      <c r="G199" t="str">
        <f t="shared" si="99"/>
        <v>fraction</v>
      </c>
      <c r="H199" s="28">
        <v>0</v>
      </c>
    </row>
    <row r="200" spans="1:8" x14ac:dyDescent="0.25">
      <c r="A200" t="str">
        <f t="shared" si="96"/>
        <v>3C Aggregated and non-CO2 emissions on land</v>
      </c>
      <c r="B200" t="str">
        <f t="shared" si="97"/>
        <v>3C5 Indirect N2O from managed soils (N2O)</v>
      </c>
      <c r="C200" t="s">
        <v>507</v>
      </c>
      <c r="D200" t="s">
        <v>505</v>
      </c>
      <c r="E200" t="str">
        <f t="shared" si="83"/>
        <v>Indirect MS - volatilisation EF</v>
      </c>
      <c r="F200" t="str">
        <f t="shared" si="98"/>
        <v>N2O</v>
      </c>
      <c r="G200" t="s">
        <v>508</v>
      </c>
      <c r="H200" s="28">
        <v>0.01</v>
      </c>
    </row>
    <row r="201" spans="1:8" x14ac:dyDescent="0.25">
      <c r="A201" t="str">
        <f t="shared" si="96"/>
        <v>3C Aggregated and non-CO2 emissions on land</v>
      </c>
      <c r="B201" t="str">
        <f t="shared" si="97"/>
        <v>3C5 Indirect N2O from managed soils (N2O)</v>
      </c>
      <c r="C201" t="str">
        <f>C200</f>
        <v>Indirect MS</v>
      </c>
      <c r="D201" t="s">
        <v>506</v>
      </c>
      <c r="E201" t="str">
        <f t="shared" si="83"/>
        <v>Indirect MS - leaching EF</v>
      </c>
      <c r="F201" t="str">
        <f t="shared" si="98"/>
        <v>N2O</v>
      </c>
      <c r="G201" t="s">
        <v>509</v>
      </c>
      <c r="H201" s="28">
        <v>7.4999999999999997E-3</v>
      </c>
    </row>
    <row r="203" spans="1:8" x14ac:dyDescent="0.25">
      <c r="A203" t="str">
        <f>'IPCC Categories'!A59</f>
        <v>3C Aggregated and non-CO2 emissions on land</v>
      </c>
      <c r="B203" t="str">
        <f>'IPCC Categories'!B80</f>
        <v>3C6 Indirect N2O from manure management (N2O)</v>
      </c>
      <c r="C203" t="s">
        <v>515</v>
      </c>
      <c r="D203" t="s">
        <v>516</v>
      </c>
      <c r="E203" t="str">
        <f t="shared" si="83"/>
        <v>FracLEACHMM - manure management</v>
      </c>
      <c r="F203" t="s">
        <v>143</v>
      </c>
      <c r="G203" t="s">
        <v>449</v>
      </c>
      <c r="H203" s="28">
        <v>0.1</v>
      </c>
    </row>
    <row r="204" spans="1:8" x14ac:dyDescent="0.25">
      <c r="A204" t="str">
        <f t="shared" ref="A204:B206" si="100">A203</f>
        <v>3C Aggregated and non-CO2 emissions on land</v>
      </c>
      <c r="B204" t="str">
        <f t="shared" si="100"/>
        <v>3C6 Indirect N2O from manure management (N2O)</v>
      </c>
      <c r="C204" t="s">
        <v>517</v>
      </c>
      <c r="D204" t="s">
        <v>505</v>
      </c>
      <c r="E204" t="str">
        <f t="shared" si="83"/>
        <v>Indirect MM - volatilisation EF</v>
      </c>
      <c r="F204" t="str">
        <f>F203</f>
        <v>N2O</v>
      </c>
      <c r="G204" t="s">
        <v>508</v>
      </c>
      <c r="H204" s="28">
        <v>0.01</v>
      </c>
    </row>
    <row r="205" spans="1:8" x14ac:dyDescent="0.25">
      <c r="A205" t="str">
        <f t="shared" si="100"/>
        <v>3C Aggregated and non-CO2 emissions on land</v>
      </c>
      <c r="B205" t="str">
        <f t="shared" si="100"/>
        <v>3C6 Indirect N2O from manure management (N2O)</v>
      </c>
      <c r="C205" t="str">
        <f>C204</f>
        <v>Indirect MM</v>
      </c>
      <c r="D205" t="s">
        <v>506</v>
      </c>
      <c r="E205" t="str">
        <f t="shared" si="83"/>
        <v>Indirect MM - leaching EF</v>
      </c>
      <c r="F205" t="str">
        <f>F204</f>
        <v>N2O</v>
      </c>
      <c r="G205" t="s">
        <v>509</v>
      </c>
      <c r="H205" s="28">
        <v>7.4999999999999997E-3</v>
      </c>
    </row>
    <row r="206" spans="1:8" x14ac:dyDescent="0.25">
      <c r="A206" t="str">
        <f t="shared" si="100"/>
        <v>3C Aggregated and non-CO2 emissions on land</v>
      </c>
      <c r="B206" t="str">
        <f t="shared" si="100"/>
        <v>3C6 Indirect N2O from manure management (N2O)</v>
      </c>
      <c r="C206" t="s">
        <v>518</v>
      </c>
      <c r="D206" t="str">
        <f>'Activity data'!D66</f>
        <v xml:space="preserve"> - TMR</v>
      </c>
      <c r="E206" t="str">
        <f t="shared" si="83"/>
        <v>FracGasMS - TMR</v>
      </c>
      <c r="F206" t="str">
        <f t="shared" ref="F206:F221" si="101">F205</f>
        <v>N2O</v>
      </c>
      <c r="G206" t="s">
        <v>449</v>
      </c>
      <c r="H206" s="28">
        <v>0.33300000000000002</v>
      </c>
    </row>
    <row r="207" spans="1:8" x14ac:dyDescent="0.25">
      <c r="A207" t="str">
        <f t="shared" ref="A207:A221" si="102">A206</f>
        <v>3C Aggregated and non-CO2 emissions on land</v>
      </c>
      <c r="B207" t="str">
        <f t="shared" ref="B207:B221" si="103">B206</f>
        <v>3C6 Indirect N2O from manure management (N2O)</v>
      </c>
      <c r="C207" t="s">
        <v>518</v>
      </c>
      <c r="D207" t="str">
        <f>'Activity data'!D67</f>
        <v xml:space="preserve"> - Pasture</v>
      </c>
      <c r="E207" t="str">
        <f t="shared" ref="E207:E221" si="104">C207&amp;D207</f>
        <v>FracGasMS - Pasture</v>
      </c>
      <c r="F207" t="str">
        <f t="shared" si="101"/>
        <v>N2O</v>
      </c>
      <c r="G207" t="s">
        <v>449</v>
      </c>
      <c r="H207" s="28">
        <v>8.6999999999999994E-2</v>
      </c>
    </row>
    <row r="208" spans="1:8" x14ac:dyDescent="0.25">
      <c r="A208" t="str">
        <f t="shared" si="102"/>
        <v>3C Aggregated and non-CO2 emissions on land</v>
      </c>
      <c r="B208" t="str">
        <f t="shared" si="103"/>
        <v>3C6 Indirect N2O from manure management (N2O)</v>
      </c>
      <c r="C208" t="s">
        <v>518</v>
      </c>
      <c r="D208" t="str">
        <f>'Activity data'!D68</f>
        <v xml:space="preserve"> - Non-lactating</v>
      </c>
      <c r="E208" t="str">
        <f t="shared" si="104"/>
        <v>FracGasMS - Non-lactating</v>
      </c>
      <c r="F208" t="str">
        <f t="shared" si="101"/>
        <v>N2O</v>
      </c>
      <c r="G208" t="s">
        <v>449</v>
      </c>
      <c r="H208" s="28">
        <v>1.4999999999999999E-2</v>
      </c>
    </row>
    <row r="209" spans="1:8" x14ac:dyDescent="0.25">
      <c r="A209" t="str">
        <f t="shared" si="102"/>
        <v>3C Aggregated and non-CO2 emissions on land</v>
      </c>
      <c r="B209" t="str">
        <f t="shared" si="103"/>
        <v>3C6 Indirect N2O from manure management (N2O)</v>
      </c>
      <c r="C209" t="s">
        <v>518</v>
      </c>
      <c r="D209" t="str">
        <f>'Activity data'!D69</f>
        <v xml:space="preserve"> - Commercial cattle</v>
      </c>
      <c r="E209" t="str">
        <f t="shared" si="104"/>
        <v>FracGasMS - Commercial cattle</v>
      </c>
      <c r="F209" t="str">
        <f t="shared" si="101"/>
        <v>N2O</v>
      </c>
      <c r="G209" t="s">
        <v>449</v>
      </c>
      <c r="H209" s="28">
        <v>8.0000000000000002E-3</v>
      </c>
    </row>
    <row r="210" spans="1:8" x14ac:dyDescent="0.25">
      <c r="A210" t="str">
        <f t="shared" si="102"/>
        <v>3C Aggregated and non-CO2 emissions on land</v>
      </c>
      <c r="B210" t="str">
        <f t="shared" si="103"/>
        <v>3C6 Indirect N2O from manure management (N2O)</v>
      </c>
      <c r="C210" t="s">
        <v>518</v>
      </c>
      <c r="D210" t="str">
        <f>'Activity data'!D70</f>
        <v xml:space="preserve"> - Subsistence cattle</v>
      </c>
      <c r="E210" t="str">
        <f t="shared" si="104"/>
        <v>FracGasMS - Subsistence cattle</v>
      </c>
      <c r="F210" t="str">
        <f t="shared" si="101"/>
        <v>N2O</v>
      </c>
      <c r="G210" t="s">
        <v>449</v>
      </c>
      <c r="H210" s="28">
        <v>0.03</v>
      </c>
    </row>
    <row r="211" spans="1:8" x14ac:dyDescent="0.25">
      <c r="A211" t="str">
        <f t="shared" si="102"/>
        <v>3C Aggregated and non-CO2 emissions on land</v>
      </c>
      <c r="B211" t="str">
        <f t="shared" si="103"/>
        <v>3C6 Indirect N2O from manure management (N2O)</v>
      </c>
      <c r="C211" t="s">
        <v>518</v>
      </c>
      <c r="D211" t="str">
        <f>'Activity data'!D71</f>
        <v xml:space="preserve"> - Feedlot</v>
      </c>
      <c r="E211" t="str">
        <f t="shared" si="104"/>
        <v>FracGasMS - Feedlot</v>
      </c>
      <c r="F211" t="str">
        <f t="shared" si="101"/>
        <v>N2O</v>
      </c>
      <c r="G211" t="s">
        <v>449</v>
      </c>
      <c r="H211" s="28">
        <v>0.28299999999999997</v>
      </c>
    </row>
    <row r="212" spans="1:8" x14ac:dyDescent="0.25">
      <c r="A212" t="str">
        <f t="shared" si="102"/>
        <v>3C Aggregated and non-CO2 emissions on land</v>
      </c>
      <c r="B212" t="str">
        <f t="shared" si="103"/>
        <v>3C6 Indirect N2O from manure management (N2O)</v>
      </c>
      <c r="C212" t="s">
        <v>518</v>
      </c>
      <c r="D212" t="str">
        <f>'Activity data'!D72</f>
        <v xml:space="preserve"> - Commercial sheep</v>
      </c>
      <c r="E212" t="str">
        <f t="shared" si="104"/>
        <v>FracGasMS - Commercial sheep</v>
      </c>
      <c r="F212" t="str">
        <f t="shared" si="101"/>
        <v>N2O</v>
      </c>
      <c r="G212" t="s">
        <v>449</v>
      </c>
      <c r="H212" s="28">
        <v>2E-3</v>
      </c>
    </row>
    <row r="213" spans="1:8" x14ac:dyDescent="0.25">
      <c r="A213" t="str">
        <f t="shared" si="102"/>
        <v>3C Aggregated and non-CO2 emissions on land</v>
      </c>
      <c r="B213" t="str">
        <f t="shared" si="103"/>
        <v>3C6 Indirect N2O from manure management (N2O)</v>
      </c>
      <c r="C213" t="s">
        <v>518</v>
      </c>
      <c r="D213" t="str">
        <f>'Activity data'!D73</f>
        <v xml:space="preserve"> - Subsistence sheep</v>
      </c>
      <c r="E213" t="str">
        <f t="shared" si="104"/>
        <v>FracGasMS - Subsistence sheep</v>
      </c>
      <c r="F213" t="str">
        <f t="shared" si="101"/>
        <v>N2O</v>
      </c>
      <c r="G213" t="s">
        <v>449</v>
      </c>
      <c r="H213" s="28">
        <v>1.6500000000000001E-2</v>
      </c>
    </row>
    <row r="214" spans="1:8" x14ac:dyDescent="0.25">
      <c r="A214" t="str">
        <f t="shared" si="102"/>
        <v>3C Aggregated and non-CO2 emissions on land</v>
      </c>
      <c r="B214" t="str">
        <f t="shared" si="103"/>
        <v>3C6 Indirect N2O from manure management (N2O)</v>
      </c>
      <c r="C214" t="s">
        <v>518</v>
      </c>
      <c r="D214" t="str">
        <f>'Activity data'!D74</f>
        <v xml:space="preserve"> - Commercial goats</v>
      </c>
      <c r="E214" t="str">
        <f t="shared" si="104"/>
        <v>FracGasMS - Commercial goats</v>
      </c>
      <c r="F214" t="str">
        <f t="shared" si="101"/>
        <v>N2O</v>
      </c>
      <c r="G214" t="s">
        <v>449</v>
      </c>
      <c r="H214" s="28">
        <v>2E-3</v>
      </c>
    </row>
    <row r="215" spans="1:8" x14ac:dyDescent="0.25">
      <c r="A215" t="str">
        <f t="shared" si="102"/>
        <v>3C Aggregated and non-CO2 emissions on land</v>
      </c>
      <c r="B215" t="str">
        <f t="shared" si="103"/>
        <v>3C6 Indirect N2O from manure management (N2O)</v>
      </c>
      <c r="C215" t="s">
        <v>518</v>
      </c>
      <c r="D215" t="str">
        <f>'Activity data'!D75</f>
        <v xml:space="preserve"> - Subsistence goats</v>
      </c>
      <c r="E215" t="str">
        <f t="shared" si="104"/>
        <v>FracGasMS - Subsistence goats</v>
      </c>
      <c r="F215" t="str">
        <f t="shared" si="101"/>
        <v>N2O</v>
      </c>
      <c r="G215" t="s">
        <v>449</v>
      </c>
      <c r="H215" s="28">
        <v>1.6500000000000001E-2</v>
      </c>
    </row>
    <row r="216" spans="1:8" x14ac:dyDescent="0.25">
      <c r="A216" t="str">
        <f t="shared" si="102"/>
        <v>3C Aggregated and non-CO2 emissions on land</v>
      </c>
      <c r="B216" t="str">
        <f t="shared" si="103"/>
        <v>3C6 Indirect N2O from manure management (N2O)</v>
      </c>
      <c r="C216" t="s">
        <v>518</v>
      </c>
      <c r="D216" t="str">
        <f>'Activity data'!D76</f>
        <v xml:space="preserve"> - Horses</v>
      </c>
      <c r="E216" t="str">
        <f t="shared" si="104"/>
        <v>FracGasMS - Horses</v>
      </c>
      <c r="F216" t="str">
        <f t="shared" si="101"/>
        <v>N2O</v>
      </c>
      <c r="G216" t="s">
        <v>449</v>
      </c>
      <c r="H216" s="28">
        <v>0</v>
      </c>
    </row>
    <row r="217" spans="1:8" x14ac:dyDescent="0.25">
      <c r="A217" t="str">
        <f t="shared" si="102"/>
        <v>3C Aggregated and non-CO2 emissions on land</v>
      </c>
      <c r="B217" t="str">
        <f t="shared" si="103"/>
        <v>3C6 Indirect N2O from manure management (N2O)</v>
      </c>
      <c r="C217" t="s">
        <v>518</v>
      </c>
      <c r="D217" t="str">
        <f>'Activity data'!D77</f>
        <v xml:space="preserve"> - Mules &amp; Asses</v>
      </c>
      <c r="E217" t="str">
        <f t="shared" si="104"/>
        <v>FracGasMS - Mules &amp; Asses</v>
      </c>
      <c r="F217" t="str">
        <f t="shared" si="101"/>
        <v>N2O</v>
      </c>
      <c r="G217" t="s">
        <v>449</v>
      </c>
      <c r="H217" s="28">
        <v>0</v>
      </c>
    </row>
    <row r="218" spans="1:8" x14ac:dyDescent="0.25">
      <c r="A218" t="str">
        <f t="shared" si="102"/>
        <v>3C Aggregated and non-CO2 emissions on land</v>
      </c>
      <c r="B218" t="str">
        <f t="shared" si="103"/>
        <v>3C6 Indirect N2O from manure management (N2O)</v>
      </c>
      <c r="C218" t="s">
        <v>518</v>
      </c>
      <c r="D218" t="str">
        <f>'Activity data'!D78</f>
        <v xml:space="preserve"> - Commercial swine</v>
      </c>
      <c r="E218" t="str">
        <f t="shared" si="104"/>
        <v>FracGasMS - Commercial swine</v>
      </c>
      <c r="F218" t="str">
        <f t="shared" si="101"/>
        <v>N2O</v>
      </c>
      <c r="G218" t="s">
        <v>449</v>
      </c>
      <c r="H218" s="28">
        <v>0.3649</v>
      </c>
    </row>
    <row r="219" spans="1:8" x14ac:dyDescent="0.25">
      <c r="A219" t="str">
        <f t="shared" si="102"/>
        <v>3C Aggregated and non-CO2 emissions on land</v>
      </c>
      <c r="B219" t="str">
        <f t="shared" si="103"/>
        <v>3C6 Indirect N2O from manure management (N2O)</v>
      </c>
      <c r="C219" t="s">
        <v>518</v>
      </c>
      <c r="D219" t="str">
        <f>'Activity data'!D79</f>
        <v xml:space="preserve"> - Subsistence swine</v>
      </c>
      <c r="E219" t="str">
        <f t="shared" si="104"/>
        <v>FracGasMS - Subsistence swine</v>
      </c>
      <c r="F219" t="str">
        <f t="shared" si="101"/>
        <v>N2O</v>
      </c>
      <c r="G219" t="s">
        <v>449</v>
      </c>
      <c r="H219" s="28">
        <v>0.23760000000000001</v>
      </c>
    </row>
    <row r="220" spans="1:8" x14ac:dyDescent="0.25">
      <c r="A220" t="str">
        <f t="shared" si="102"/>
        <v>3C Aggregated and non-CO2 emissions on land</v>
      </c>
      <c r="B220" t="str">
        <f t="shared" si="103"/>
        <v>3C6 Indirect N2O from manure management (N2O)</v>
      </c>
      <c r="C220" t="s">
        <v>518</v>
      </c>
      <c r="D220" t="str">
        <f>'Activity data'!D80</f>
        <v xml:space="preserve"> - Commercial layers</v>
      </c>
      <c r="E220" t="str">
        <f t="shared" si="104"/>
        <v>FracGasMS - Commercial layers</v>
      </c>
      <c r="F220" t="str">
        <f t="shared" si="101"/>
        <v>N2O</v>
      </c>
      <c r="G220" t="s">
        <v>449</v>
      </c>
      <c r="H220" s="28">
        <v>0.28899999999999998</v>
      </c>
    </row>
    <row r="221" spans="1:8" x14ac:dyDescent="0.25">
      <c r="A221" t="str">
        <f t="shared" si="102"/>
        <v>3C Aggregated and non-CO2 emissions on land</v>
      </c>
      <c r="B221" t="str">
        <f t="shared" si="103"/>
        <v>3C6 Indirect N2O from manure management (N2O)</v>
      </c>
      <c r="C221" t="s">
        <v>518</v>
      </c>
      <c r="D221" t="str">
        <f>'Activity data'!D81</f>
        <v xml:space="preserve"> - Commercial broilers</v>
      </c>
      <c r="E221" t="str">
        <f t="shared" si="104"/>
        <v>FracGasMS - Commercial broilers</v>
      </c>
      <c r="F221" t="str">
        <f t="shared" si="101"/>
        <v>N2O</v>
      </c>
      <c r="G221" t="s">
        <v>449</v>
      </c>
      <c r="H221" s="28">
        <v>0.3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T138"/>
  <sheetViews>
    <sheetView workbookViewId="0">
      <pane xSplit="1" topLeftCell="H1" activePane="topRight" state="frozen"/>
      <selection pane="topRight" activeCell="T5" sqref="T5"/>
    </sheetView>
  </sheetViews>
  <sheetFormatPr defaultRowHeight="15" x14ac:dyDescent="0.25"/>
  <cols>
    <col min="1" max="1" width="62.85546875" customWidth="1"/>
    <col min="2" max="2" width="20.42578125" customWidth="1"/>
    <col min="3" max="3" width="8.5703125" customWidth="1"/>
    <col min="5" max="5" width="15.28515625" customWidth="1"/>
    <col min="6" max="6" width="19.140625" customWidth="1"/>
    <col min="8" max="8" width="10.5703125" customWidth="1"/>
    <col min="10" max="10" width="23.28515625" customWidth="1"/>
    <col min="13" max="13" width="15.42578125" customWidth="1"/>
    <col min="14" max="14" width="10.7109375" customWidth="1"/>
    <col min="16" max="16" width="21.7109375" customWidth="1"/>
    <col min="19" max="19" width="13.28515625" customWidth="1"/>
    <col min="20" max="20" width="10.5703125" customWidth="1"/>
  </cols>
  <sheetData>
    <row r="1" spans="1:20" ht="18.75" x14ac:dyDescent="0.3">
      <c r="A1" s="1" t="s">
        <v>281</v>
      </c>
    </row>
    <row r="3" spans="1:20" ht="15.75" x14ac:dyDescent="0.25">
      <c r="A3" s="17" t="s">
        <v>282</v>
      </c>
      <c r="B3" s="17" t="s">
        <v>284</v>
      </c>
      <c r="C3" s="17" t="s">
        <v>9</v>
      </c>
      <c r="D3" s="17" t="s">
        <v>283</v>
      </c>
      <c r="E3" s="17" t="s">
        <v>0</v>
      </c>
      <c r="F3" s="17" t="s">
        <v>285</v>
      </c>
      <c r="G3" s="17" t="s">
        <v>288</v>
      </c>
      <c r="H3" s="17" t="s">
        <v>289</v>
      </c>
      <c r="J3" s="17" t="s">
        <v>284</v>
      </c>
      <c r="K3" s="17" t="s">
        <v>9</v>
      </c>
      <c r="L3" s="17" t="s">
        <v>283</v>
      </c>
      <c r="M3" s="17" t="s">
        <v>0</v>
      </c>
      <c r="N3" s="17" t="s">
        <v>289</v>
      </c>
      <c r="P3" s="17" t="s">
        <v>284</v>
      </c>
      <c r="Q3" s="17" t="s">
        <v>9</v>
      </c>
      <c r="R3" s="17" t="s">
        <v>315</v>
      </c>
      <c r="S3" s="17" t="s">
        <v>0</v>
      </c>
      <c r="T3" s="17" t="s">
        <v>289</v>
      </c>
    </row>
    <row r="4" spans="1:20" x14ac:dyDescent="0.25">
      <c r="A4" s="13" t="s">
        <v>5</v>
      </c>
    </row>
    <row r="5" spans="1:20" x14ac:dyDescent="0.25">
      <c r="A5" s="14" t="s">
        <v>160</v>
      </c>
      <c r="B5" t="s">
        <v>101</v>
      </c>
      <c r="C5" t="s">
        <v>125</v>
      </c>
      <c r="D5" s="22">
        <v>127</v>
      </c>
      <c r="E5" t="s">
        <v>148</v>
      </c>
      <c r="F5" s="22">
        <v>362133.25145839731</v>
      </c>
      <c r="G5" s="23">
        <f>F5/SUM($F$5:$F$7)</f>
        <v>0.71719117961892542</v>
      </c>
      <c r="H5" s="23">
        <f>D5*G5</f>
        <v>91.083279811603532</v>
      </c>
      <c r="J5" t="s">
        <v>102</v>
      </c>
      <c r="K5" t="s">
        <v>125</v>
      </c>
      <c r="L5" s="22">
        <v>4.9800000000000004</v>
      </c>
      <c r="M5" t="s">
        <v>148</v>
      </c>
      <c r="N5" s="23">
        <f>L5*G5</f>
        <v>3.5716120745022488</v>
      </c>
      <c r="P5" t="s">
        <v>102</v>
      </c>
      <c r="Q5" t="s">
        <v>143</v>
      </c>
      <c r="R5" s="22">
        <v>118.26</v>
      </c>
      <c r="S5" t="s">
        <v>316</v>
      </c>
      <c r="T5" s="23">
        <f>R5*G5</f>
        <v>84.815028901734124</v>
      </c>
    </row>
    <row r="6" spans="1:20" x14ac:dyDescent="0.25">
      <c r="A6" s="14" t="s">
        <v>161</v>
      </c>
      <c r="B6" t="str">
        <f>$B$5</f>
        <v>Enteric fermentation</v>
      </c>
      <c r="C6" t="str">
        <f>$C$5</f>
        <v>CH4</v>
      </c>
      <c r="D6" s="22">
        <v>83.4</v>
      </c>
      <c r="E6" t="s">
        <v>148</v>
      </c>
      <c r="F6" s="22">
        <v>88281.240405280929</v>
      </c>
      <c r="G6" s="23">
        <f t="shared" ref="G6:G7" si="0">F6/SUM($F$5:$F$7)</f>
        <v>0.17483765075287233</v>
      </c>
      <c r="H6" s="23">
        <f t="shared" ref="H6:H10" si="1">D6*G6</f>
        <v>14.581460072789554</v>
      </c>
      <c r="J6" t="str">
        <f>$J$5</f>
        <v>Manure management</v>
      </c>
      <c r="K6" t="str">
        <f>$K$5</f>
        <v>CH4</v>
      </c>
      <c r="L6" s="22">
        <v>1.1100000000000001</v>
      </c>
      <c r="M6" t="s">
        <v>148</v>
      </c>
      <c r="N6" s="23">
        <f t="shared" ref="N6:N69" si="2">L6*G6</f>
        <v>0.1940697923356883</v>
      </c>
      <c r="P6" t="str">
        <f>$P$5</f>
        <v>Manure management</v>
      </c>
      <c r="Q6" t="str">
        <f>$Q$5</f>
        <v>N2O</v>
      </c>
      <c r="R6" s="22">
        <v>124.173</v>
      </c>
      <c r="S6" t="s">
        <v>316</v>
      </c>
      <c r="T6" s="23">
        <f t="shared" ref="T6:T69" si="3">R6*G6</f>
        <v>21.710115606936416</v>
      </c>
    </row>
    <row r="7" spans="1:20" x14ac:dyDescent="0.25">
      <c r="A7" s="14" t="s">
        <v>162</v>
      </c>
      <c r="B7" t="str">
        <f t="shared" ref="B7:B10" si="4">$B$5</f>
        <v>Enteric fermentation</v>
      </c>
      <c r="C7" t="str">
        <f t="shared" ref="C7:C10" si="5">$C$5</f>
        <v>CH4</v>
      </c>
      <c r="D7" s="22">
        <v>116</v>
      </c>
      <c r="E7" t="s">
        <v>148</v>
      </c>
      <c r="F7" s="22">
        <v>54518.170095179601</v>
      </c>
      <c r="G7" s="23">
        <f t="shared" si="0"/>
        <v>0.10797116962820237</v>
      </c>
      <c r="H7" s="23">
        <f t="shared" si="1"/>
        <v>12.524655676871475</v>
      </c>
      <c r="J7" t="str">
        <f t="shared" ref="J7:J10" si="6">$J$5</f>
        <v>Manure management</v>
      </c>
      <c r="K7" t="str">
        <f t="shared" ref="K7:K10" si="7">$K$5</f>
        <v>CH4</v>
      </c>
      <c r="L7" s="22">
        <v>4.8</v>
      </c>
      <c r="M7" t="s">
        <v>148</v>
      </c>
      <c r="N7" s="23">
        <f t="shared" si="2"/>
        <v>0.51826161421537131</v>
      </c>
      <c r="P7" t="str">
        <f t="shared" ref="P7:P10" si="8">$P$5</f>
        <v>Manure management</v>
      </c>
      <c r="Q7" t="str">
        <f t="shared" ref="Q7:Q10" si="9">$Q$5</f>
        <v>N2O</v>
      </c>
      <c r="R7" s="22">
        <v>95.921999999999997</v>
      </c>
      <c r="S7" t="s">
        <v>316</v>
      </c>
      <c r="T7" s="23">
        <f t="shared" si="3"/>
        <v>10.356810533076427</v>
      </c>
    </row>
    <row r="8" spans="1:20" x14ac:dyDescent="0.25">
      <c r="A8" s="14" t="s">
        <v>163</v>
      </c>
      <c r="B8" t="str">
        <f t="shared" si="4"/>
        <v>Enteric fermentation</v>
      </c>
      <c r="C8" t="str">
        <f t="shared" si="5"/>
        <v>CH4</v>
      </c>
      <c r="D8" s="22">
        <v>132</v>
      </c>
      <c r="E8" t="s">
        <v>148</v>
      </c>
      <c r="F8" s="22">
        <v>441866.74854160275</v>
      </c>
      <c r="G8" s="23">
        <f>F8/SUM($F$8:$F$10)</f>
        <v>0.71719117961892531</v>
      </c>
      <c r="H8" s="23">
        <f t="shared" si="1"/>
        <v>94.669235709698143</v>
      </c>
      <c r="J8" t="str">
        <f t="shared" si="6"/>
        <v>Manure management</v>
      </c>
      <c r="K8" t="str">
        <f t="shared" si="7"/>
        <v>CH4</v>
      </c>
      <c r="L8" s="22">
        <v>14.8</v>
      </c>
      <c r="M8" t="s">
        <v>148</v>
      </c>
      <c r="N8" s="23">
        <f t="shared" si="2"/>
        <v>10.614429458360096</v>
      </c>
      <c r="P8" t="str">
        <f t="shared" si="8"/>
        <v>Manure management</v>
      </c>
      <c r="Q8" t="str">
        <f t="shared" si="9"/>
        <v>N2O</v>
      </c>
      <c r="R8" s="22">
        <v>129.20999999999998</v>
      </c>
      <c r="S8" t="s">
        <v>316</v>
      </c>
      <c r="T8" s="23">
        <f t="shared" si="3"/>
        <v>92.668272318561321</v>
      </c>
    </row>
    <row r="9" spans="1:20" x14ac:dyDescent="0.25">
      <c r="A9" s="14" t="s">
        <v>164</v>
      </c>
      <c r="B9" t="str">
        <f t="shared" si="4"/>
        <v>Enteric fermentation</v>
      </c>
      <c r="C9" t="str">
        <f t="shared" si="5"/>
        <v>CH4</v>
      </c>
      <c r="D9" s="22">
        <v>80.400000000000006</v>
      </c>
      <c r="E9" t="s">
        <v>148</v>
      </c>
      <c r="F9" s="22">
        <v>107718.75959471907</v>
      </c>
      <c r="G9" s="23">
        <f t="shared" ref="G9:G10" si="10">F9/SUM($F$8:$F$10)</f>
        <v>0.17483765075287233</v>
      </c>
      <c r="H9" s="23">
        <f t="shared" si="1"/>
        <v>14.056947120530936</v>
      </c>
      <c r="J9" t="str">
        <f t="shared" si="6"/>
        <v>Manure management</v>
      </c>
      <c r="K9" t="str">
        <f t="shared" si="7"/>
        <v>CH4</v>
      </c>
      <c r="L9" s="22">
        <v>1.47</v>
      </c>
      <c r="M9" t="s">
        <v>148</v>
      </c>
      <c r="N9" s="23">
        <f t="shared" si="2"/>
        <v>0.25701134660672231</v>
      </c>
      <c r="P9" t="str">
        <f t="shared" si="8"/>
        <v>Manure management</v>
      </c>
      <c r="Q9" t="str">
        <f t="shared" si="9"/>
        <v>N2O</v>
      </c>
      <c r="R9" s="22">
        <v>135.6705</v>
      </c>
      <c r="S9" t="s">
        <v>316</v>
      </c>
      <c r="T9" s="23">
        <f t="shared" si="3"/>
        <v>23.720311496467566</v>
      </c>
    </row>
    <row r="10" spans="1:20" x14ac:dyDescent="0.25">
      <c r="A10" s="14" t="s">
        <v>165</v>
      </c>
      <c r="B10" t="str">
        <f t="shared" si="4"/>
        <v>Enteric fermentation</v>
      </c>
      <c r="C10" t="str">
        <f t="shared" si="5"/>
        <v>CH4</v>
      </c>
      <c r="D10" s="22">
        <v>127</v>
      </c>
      <c r="E10" t="s">
        <v>148</v>
      </c>
      <c r="F10" s="22">
        <v>66521.829904820392</v>
      </c>
      <c r="G10" s="23">
        <f t="shared" si="10"/>
        <v>0.10797116962820238</v>
      </c>
      <c r="H10" s="23">
        <f t="shared" si="1"/>
        <v>13.712338542781703</v>
      </c>
      <c r="J10" t="str">
        <f t="shared" si="6"/>
        <v>Manure management</v>
      </c>
      <c r="K10" t="str">
        <f t="shared" si="7"/>
        <v>CH4</v>
      </c>
      <c r="L10" s="22">
        <v>14.7</v>
      </c>
      <c r="M10" t="s">
        <v>148</v>
      </c>
      <c r="N10" s="23">
        <f t="shared" si="2"/>
        <v>1.587176193534575</v>
      </c>
      <c r="P10" t="str">
        <f t="shared" si="8"/>
        <v>Manure management</v>
      </c>
      <c r="Q10" t="str">
        <f t="shared" si="9"/>
        <v>N2O</v>
      </c>
      <c r="R10" s="22">
        <v>110.15700000000001</v>
      </c>
      <c r="S10" t="s">
        <v>316</v>
      </c>
      <c r="T10" s="23">
        <f t="shared" si="3"/>
        <v>11.893780132733891</v>
      </c>
    </row>
    <row r="11" spans="1:20" x14ac:dyDescent="0.25">
      <c r="A11" s="13" t="s">
        <v>155</v>
      </c>
      <c r="M11" s="13"/>
    </row>
    <row r="12" spans="1:20" x14ac:dyDescent="0.25">
      <c r="A12" s="14" t="s">
        <v>166</v>
      </c>
      <c r="B12" t="str">
        <f t="shared" ref="B12:B34" si="11">$B$5</f>
        <v>Enteric fermentation</v>
      </c>
      <c r="C12" t="str">
        <f t="shared" ref="C12:C34" si="12">$C$5</f>
        <v>CH4</v>
      </c>
      <c r="D12" s="22">
        <v>20</v>
      </c>
      <c r="E12" t="s">
        <v>148</v>
      </c>
      <c r="F12" s="22">
        <v>58517.112103162421</v>
      </c>
      <c r="G12" s="23">
        <f>F12/SUM($F$12:$F$21)</f>
        <v>8.6862621266192389E-2</v>
      </c>
      <c r="H12" s="23">
        <f>D12*G12</f>
        <v>1.7372524253238477</v>
      </c>
      <c r="J12" t="str">
        <f t="shared" ref="J12:J34" si="13">$J$5</f>
        <v>Manure management</v>
      </c>
      <c r="K12" t="str">
        <f t="shared" ref="K12:K34" si="14">$K$5</f>
        <v>CH4</v>
      </c>
      <c r="L12" s="22">
        <v>0.32</v>
      </c>
      <c r="M12" t="s">
        <v>148</v>
      </c>
      <c r="N12" s="23">
        <f t="shared" si="2"/>
        <v>2.7796038805181566E-2</v>
      </c>
      <c r="P12" t="str">
        <f t="shared" ref="P12:P34" si="15">$P$5</f>
        <v>Manure management</v>
      </c>
      <c r="Q12" t="str">
        <f t="shared" ref="Q12:Q34" si="16">$Q$5</f>
        <v>N2O</v>
      </c>
      <c r="R12" s="22">
        <v>8.2782</v>
      </c>
      <c r="S12" t="s">
        <v>316</v>
      </c>
      <c r="T12" s="23">
        <f t="shared" si="3"/>
        <v>0.71906615136579388</v>
      </c>
    </row>
    <row r="13" spans="1:20" x14ac:dyDescent="0.25">
      <c r="A13" s="14" t="s">
        <v>167</v>
      </c>
      <c r="B13" t="str">
        <f t="shared" si="11"/>
        <v>Enteric fermentation</v>
      </c>
      <c r="C13" t="str">
        <f t="shared" si="12"/>
        <v>CH4</v>
      </c>
      <c r="D13" s="22">
        <v>24.5</v>
      </c>
      <c r="E13" t="s">
        <v>148</v>
      </c>
      <c r="F13" s="22">
        <v>58517.112103162421</v>
      </c>
      <c r="G13" s="23">
        <f t="shared" ref="G13:G21" si="17">F13/SUM($F$12:$F$21)</f>
        <v>8.6862621266192389E-2</v>
      </c>
      <c r="H13" s="23">
        <f t="shared" ref="H13:H76" si="18">D13*G13</f>
        <v>2.1281342210217136</v>
      </c>
      <c r="J13" t="str">
        <f t="shared" si="13"/>
        <v>Manure management</v>
      </c>
      <c r="K13" t="str">
        <f t="shared" si="14"/>
        <v>CH4</v>
      </c>
      <c r="L13" s="22">
        <v>0.4</v>
      </c>
      <c r="M13" t="s">
        <v>148</v>
      </c>
      <c r="N13" s="23">
        <f t="shared" si="2"/>
        <v>3.4745048506476958E-2</v>
      </c>
      <c r="P13" t="str">
        <f t="shared" si="15"/>
        <v>Manure management</v>
      </c>
      <c r="Q13" t="str">
        <f t="shared" si="16"/>
        <v>N2O</v>
      </c>
      <c r="R13" s="22">
        <v>12.417300000000001</v>
      </c>
      <c r="S13" t="s">
        <v>316</v>
      </c>
      <c r="T13" s="23">
        <f t="shared" si="3"/>
        <v>1.0785992270486908</v>
      </c>
    </row>
    <row r="14" spans="1:20" x14ac:dyDescent="0.25">
      <c r="A14" s="14" t="s">
        <v>168</v>
      </c>
      <c r="B14" t="str">
        <f t="shared" si="11"/>
        <v>Enteric fermentation</v>
      </c>
      <c r="C14" t="str">
        <f t="shared" si="12"/>
        <v>CH4</v>
      </c>
      <c r="D14" s="22">
        <v>37.1</v>
      </c>
      <c r="E14" t="s">
        <v>148</v>
      </c>
      <c r="F14" s="22">
        <v>87775.668154743631</v>
      </c>
      <c r="G14" s="23">
        <f t="shared" si="17"/>
        <v>0.13029393189928859</v>
      </c>
      <c r="H14" s="23">
        <f t="shared" si="18"/>
        <v>4.8339048734636068</v>
      </c>
      <c r="J14" t="str">
        <f t="shared" si="13"/>
        <v>Manure management</v>
      </c>
      <c r="K14" t="str">
        <f t="shared" si="14"/>
        <v>CH4</v>
      </c>
      <c r="L14" s="22">
        <v>0.57999999999999996</v>
      </c>
      <c r="M14" t="s">
        <v>148</v>
      </c>
      <c r="N14" s="23">
        <f t="shared" si="2"/>
        <v>7.5570480501587378E-2</v>
      </c>
      <c r="P14" t="str">
        <f t="shared" si="15"/>
        <v>Manure management</v>
      </c>
      <c r="Q14" t="str">
        <f t="shared" si="16"/>
        <v>N2O</v>
      </c>
      <c r="R14" s="22">
        <v>32.652900000000002</v>
      </c>
      <c r="S14" t="s">
        <v>316</v>
      </c>
      <c r="T14" s="23">
        <f t="shared" si="3"/>
        <v>4.254474728914281</v>
      </c>
    </row>
    <row r="15" spans="1:20" x14ac:dyDescent="0.25">
      <c r="A15" s="14" t="s">
        <v>169</v>
      </c>
      <c r="B15" t="str">
        <f t="shared" si="11"/>
        <v>Enteric fermentation</v>
      </c>
      <c r="C15" t="str">
        <f t="shared" si="12"/>
        <v>CH4</v>
      </c>
      <c r="D15" s="22">
        <v>52.6</v>
      </c>
      <c r="E15" t="s">
        <v>148</v>
      </c>
      <c r="F15" s="22">
        <v>25115.112066318696</v>
      </c>
      <c r="G15" s="23">
        <f t="shared" si="17"/>
        <v>3.7280795122436018E-2</v>
      </c>
      <c r="H15" s="23">
        <f t="shared" si="18"/>
        <v>1.9609698234401347</v>
      </c>
      <c r="J15" t="str">
        <f t="shared" si="13"/>
        <v>Manure management</v>
      </c>
      <c r="K15" t="str">
        <f t="shared" si="14"/>
        <v>CH4</v>
      </c>
      <c r="L15" s="22">
        <v>0.78</v>
      </c>
      <c r="M15" t="s">
        <v>148</v>
      </c>
      <c r="N15" s="23">
        <f t="shared" si="2"/>
        <v>2.9079020195500096E-2</v>
      </c>
      <c r="P15" t="str">
        <f t="shared" si="15"/>
        <v>Manure management</v>
      </c>
      <c r="Q15" t="str">
        <f t="shared" si="16"/>
        <v>N2O</v>
      </c>
      <c r="R15" s="22">
        <v>58.407299999999999</v>
      </c>
      <c r="S15" t="s">
        <v>316</v>
      </c>
      <c r="T15" s="23">
        <f t="shared" si="3"/>
        <v>2.1774705849546572</v>
      </c>
    </row>
    <row r="16" spans="1:20" x14ac:dyDescent="0.25">
      <c r="A16" s="14" t="s">
        <v>170</v>
      </c>
      <c r="B16" t="str">
        <f t="shared" si="11"/>
        <v>Enteric fermentation</v>
      </c>
      <c r="C16" t="str">
        <f t="shared" si="12"/>
        <v>CH4</v>
      </c>
      <c r="D16" s="22">
        <v>61.8</v>
      </c>
      <c r="E16" t="s">
        <v>148</v>
      </c>
      <c r="F16" s="22">
        <v>73507.645072152271</v>
      </c>
      <c r="G16" s="23">
        <f t="shared" si="17"/>
        <v>0.10911452230956882</v>
      </c>
      <c r="H16" s="23">
        <f t="shared" si="18"/>
        <v>6.7432774787313532</v>
      </c>
      <c r="J16" t="str">
        <f t="shared" si="13"/>
        <v>Manure management</v>
      </c>
      <c r="K16" t="str">
        <f t="shared" si="14"/>
        <v>CH4</v>
      </c>
      <c r="L16" s="22">
        <v>0.88</v>
      </c>
      <c r="M16" t="s">
        <v>148</v>
      </c>
      <c r="N16" s="23">
        <f t="shared" si="2"/>
        <v>9.6020779632420561E-2</v>
      </c>
      <c r="P16" t="str">
        <f t="shared" si="15"/>
        <v>Manure management</v>
      </c>
      <c r="Q16" t="str">
        <f t="shared" si="16"/>
        <v>N2O</v>
      </c>
      <c r="R16" s="22">
        <v>76.573350000000005</v>
      </c>
      <c r="S16" t="s">
        <v>316</v>
      </c>
      <c r="T16" s="23">
        <f t="shared" si="3"/>
        <v>8.3552645068934215</v>
      </c>
    </row>
    <row r="17" spans="1:20" x14ac:dyDescent="0.25">
      <c r="A17" s="14" t="s">
        <v>171</v>
      </c>
      <c r="B17" t="str">
        <f t="shared" si="11"/>
        <v>Enteric fermentation</v>
      </c>
      <c r="C17" t="str">
        <f t="shared" si="12"/>
        <v>CH4</v>
      </c>
      <c r="D17" s="22">
        <v>21.5</v>
      </c>
      <c r="E17" t="s">
        <v>148</v>
      </c>
      <c r="F17" s="22">
        <v>71401.24789683758</v>
      </c>
      <c r="G17" s="23">
        <f t="shared" si="17"/>
        <v>0.10598779281968941</v>
      </c>
      <c r="H17" s="23">
        <f t="shared" si="18"/>
        <v>2.2787375456233225</v>
      </c>
      <c r="J17" t="str">
        <f t="shared" si="13"/>
        <v>Manure management</v>
      </c>
      <c r="K17" t="str">
        <f t="shared" si="14"/>
        <v>CH4</v>
      </c>
      <c r="L17" s="22">
        <v>0.21</v>
      </c>
      <c r="M17" t="s">
        <v>148</v>
      </c>
      <c r="N17" s="23">
        <f t="shared" si="2"/>
        <v>2.2257436492134776E-2</v>
      </c>
      <c r="P17" t="str">
        <f t="shared" si="15"/>
        <v>Manure management</v>
      </c>
      <c r="Q17" t="str">
        <f t="shared" si="16"/>
        <v>N2O</v>
      </c>
      <c r="R17" s="22">
        <v>8.0482500000000012</v>
      </c>
      <c r="S17" t="s">
        <v>316</v>
      </c>
      <c r="T17" s="23">
        <f t="shared" si="3"/>
        <v>0.85301625356106547</v>
      </c>
    </row>
    <row r="18" spans="1:20" x14ac:dyDescent="0.25">
      <c r="A18" s="14" t="s">
        <v>172</v>
      </c>
      <c r="B18" t="str">
        <f t="shared" si="11"/>
        <v>Enteric fermentation</v>
      </c>
      <c r="C18" t="str">
        <f t="shared" si="12"/>
        <v>CH4</v>
      </c>
      <c r="D18" s="22">
        <v>62.6</v>
      </c>
      <c r="E18" t="s">
        <v>148</v>
      </c>
      <c r="F18" s="22">
        <v>71401.24789683758</v>
      </c>
      <c r="G18" s="23">
        <f t="shared" si="17"/>
        <v>0.10598779281968941</v>
      </c>
      <c r="H18" s="23">
        <f t="shared" si="18"/>
        <v>6.6348358305125572</v>
      </c>
      <c r="J18" t="str">
        <f t="shared" si="13"/>
        <v>Manure management</v>
      </c>
      <c r="K18" t="str">
        <f t="shared" si="14"/>
        <v>CH4</v>
      </c>
      <c r="L18" s="22">
        <v>1.19</v>
      </c>
      <c r="M18" t="s">
        <v>148</v>
      </c>
      <c r="N18" s="23">
        <f t="shared" si="2"/>
        <v>0.1261254734554304</v>
      </c>
      <c r="P18" t="str">
        <f t="shared" si="15"/>
        <v>Manure management</v>
      </c>
      <c r="Q18" t="str">
        <f t="shared" si="16"/>
        <v>N2O</v>
      </c>
      <c r="R18" s="22">
        <v>12.64725</v>
      </c>
      <c r="S18" t="s">
        <v>316</v>
      </c>
      <c r="T18" s="23">
        <f t="shared" si="3"/>
        <v>1.3404541127388168</v>
      </c>
    </row>
    <row r="19" spans="1:20" x14ac:dyDescent="0.25">
      <c r="A19" s="14" t="s">
        <v>173</v>
      </c>
      <c r="B19" t="str">
        <f t="shared" si="11"/>
        <v>Enteric fermentation</v>
      </c>
      <c r="C19" t="str">
        <f t="shared" si="12"/>
        <v>CH4</v>
      </c>
      <c r="D19" s="22">
        <v>42.1</v>
      </c>
      <c r="E19" t="s">
        <v>148</v>
      </c>
      <c r="F19" s="22">
        <v>107101.87184525639</v>
      </c>
      <c r="G19" s="23">
        <f t="shared" si="17"/>
        <v>0.15898168922953415</v>
      </c>
      <c r="H19" s="23">
        <f t="shared" si="18"/>
        <v>6.6931291165633882</v>
      </c>
      <c r="J19" t="str">
        <f t="shared" si="13"/>
        <v>Manure management</v>
      </c>
      <c r="K19" t="str">
        <f t="shared" si="14"/>
        <v>CH4</v>
      </c>
      <c r="L19" s="22">
        <v>0.75</v>
      </c>
      <c r="M19" t="s">
        <v>148</v>
      </c>
      <c r="N19" s="23">
        <f t="shared" si="2"/>
        <v>0.11923626692215061</v>
      </c>
      <c r="P19" t="str">
        <f t="shared" si="15"/>
        <v>Manure management</v>
      </c>
      <c r="Q19" t="str">
        <f t="shared" si="16"/>
        <v>N2O</v>
      </c>
      <c r="R19" s="22">
        <v>39.551400000000001</v>
      </c>
      <c r="S19" t="s">
        <v>316</v>
      </c>
      <c r="T19" s="23">
        <f t="shared" si="3"/>
        <v>6.2879483833929974</v>
      </c>
    </row>
    <row r="20" spans="1:20" x14ac:dyDescent="0.25">
      <c r="A20" s="14" t="s">
        <v>174</v>
      </c>
      <c r="B20" t="str">
        <f t="shared" si="11"/>
        <v>Enteric fermentation</v>
      </c>
      <c r="C20" t="str">
        <f t="shared" si="12"/>
        <v>CH4</v>
      </c>
      <c r="D20" s="22">
        <v>22.5</v>
      </c>
      <c r="E20" t="s">
        <v>148</v>
      </c>
      <c r="F20" s="22">
        <v>30644.887933681304</v>
      </c>
      <c r="G20" s="23">
        <f t="shared" si="17"/>
        <v>4.5489177415923988E-2</v>
      </c>
      <c r="H20" s="23">
        <f t="shared" si="18"/>
        <v>1.0235064918582897</v>
      </c>
      <c r="J20" t="str">
        <f t="shared" si="13"/>
        <v>Manure management</v>
      </c>
      <c r="K20" t="str">
        <f t="shared" si="14"/>
        <v>CH4</v>
      </c>
      <c r="L20" s="22">
        <v>0.37</v>
      </c>
      <c r="M20" t="s">
        <v>148</v>
      </c>
      <c r="N20" s="23">
        <f t="shared" si="2"/>
        <v>1.6830995643891875E-2</v>
      </c>
      <c r="P20" t="str">
        <f t="shared" si="15"/>
        <v>Manure management</v>
      </c>
      <c r="Q20" t="str">
        <f t="shared" si="16"/>
        <v>N2O</v>
      </c>
      <c r="R20" s="22">
        <v>74.043900000000008</v>
      </c>
      <c r="S20" t="s">
        <v>316</v>
      </c>
      <c r="T20" s="23">
        <f t="shared" si="3"/>
        <v>3.3681961036669343</v>
      </c>
    </row>
    <row r="21" spans="1:20" x14ac:dyDescent="0.25">
      <c r="A21" s="14" t="s">
        <v>175</v>
      </c>
      <c r="B21" t="str">
        <f t="shared" si="11"/>
        <v>Enteric fermentation</v>
      </c>
      <c r="C21" t="str">
        <f t="shared" si="12"/>
        <v>CH4</v>
      </c>
      <c r="D21" s="22">
        <v>67.7</v>
      </c>
      <c r="E21" t="s">
        <v>148</v>
      </c>
      <c r="F21" s="22">
        <v>89692.354927847715</v>
      </c>
      <c r="G21" s="23">
        <f t="shared" si="17"/>
        <v>0.13313905585148483</v>
      </c>
      <c r="H21" s="23">
        <f t="shared" si="18"/>
        <v>9.013514081145523</v>
      </c>
      <c r="J21" t="str">
        <f t="shared" si="13"/>
        <v>Manure management</v>
      </c>
      <c r="K21" t="str">
        <f t="shared" si="14"/>
        <v>CH4</v>
      </c>
      <c r="L21" s="22">
        <v>1.24</v>
      </c>
      <c r="M21" t="s">
        <v>148</v>
      </c>
      <c r="N21" s="23">
        <f t="shared" si="2"/>
        <v>0.16509242925584119</v>
      </c>
      <c r="P21" t="str">
        <f t="shared" si="15"/>
        <v>Manure management</v>
      </c>
      <c r="Q21" t="str">
        <f t="shared" si="16"/>
        <v>N2O</v>
      </c>
      <c r="R21" s="22">
        <v>90.600300000000004</v>
      </c>
      <c r="S21" t="s">
        <v>316</v>
      </c>
      <c r="T21" s="23">
        <f t="shared" si="3"/>
        <v>12.062438401861282</v>
      </c>
    </row>
    <row r="22" spans="1:20" x14ac:dyDescent="0.25">
      <c r="A22" s="14" t="s">
        <v>176</v>
      </c>
      <c r="B22" t="str">
        <f t="shared" si="11"/>
        <v>Enteric fermentation</v>
      </c>
      <c r="C22" t="str">
        <f t="shared" si="12"/>
        <v>CH4</v>
      </c>
      <c r="D22" s="22">
        <v>113</v>
      </c>
      <c r="E22" t="s">
        <v>148</v>
      </c>
      <c r="F22" s="22">
        <v>160017.76666666666</v>
      </c>
      <c r="G22" s="23">
        <f>F22/SUM($F$22:$F$24,$F$26:$F$28)</f>
        <v>2.6554920846633981E-2</v>
      </c>
      <c r="H22" s="23">
        <f>D22*G22</f>
        <v>3.0007060556696397</v>
      </c>
      <c r="J22" t="str">
        <f t="shared" si="13"/>
        <v>Manure management</v>
      </c>
      <c r="K22" t="str">
        <f t="shared" si="14"/>
        <v>CH4</v>
      </c>
      <c r="L22" s="22">
        <v>2.1999999999999999E-2</v>
      </c>
      <c r="M22" t="s">
        <v>148</v>
      </c>
      <c r="N22" s="23">
        <f t="shared" si="2"/>
        <v>5.842082586259475E-4</v>
      </c>
      <c r="P22" t="str">
        <f t="shared" si="15"/>
        <v>Manure management</v>
      </c>
      <c r="Q22" t="str">
        <f t="shared" si="16"/>
        <v>N2O</v>
      </c>
      <c r="R22" s="22">
        <v>168.55334999999999</v>
      </c>
      <c r="S22" t="s">
        <v>316</v>
      </c>
      <c r="T22" s="23">
        <f t="shared" si="3"/>
        <v>4.4759208676849935</v>
      </c>
    </row>
    <row r="23" spans="1:20" x14ac:dyDescent="0.25">
      <c r="A23" s="14" t="s">
        <v>177</v>
      </c>
      <c r="B23" t="str">
        <f t="shared" si="11"/>
        <v>Enteric fermentation</v>
      </c>
      <c r="C23" t="str">
        <f t="shared" si="12"/>
        <v>CH4</v>
      </c>
      <c r="D23" s="22">
        <v>51.6</v>
      </c>
      <c r="E23" t="s">
        <v>148</v>
      </c>
      <c r="F23" s="22">
        <v>1455775.5333333332</v>
      </c>
      <c r="G23" s="23">
        <f t="shared" ref="G23:G28" si="19">F23/SUM($F$22:$F$24,$F$26:$F$28)</f>
        <v>0.24158569928464005</v>
      </c>
      <c r="H23" s="23">
        <f t="shared" si="18"/>
        <v>12.465822083087426</v>
      </c>
      <c r="J23" t="str">
        <f t="shared" si="13"/>
        <v>Manure management</v>
      </c>
      <c r="K23" t="str">
        <f t="shared" si="14"/>
        <v>CH4</v>
      </c>
      <c r="L23" s="22">
        <v>1.2E-2</v>
      </c>
      <c r="M23" t="s">
        <v>148</v>
      </c>
      <c r="N23" s="23">
        <f t="shared" si="2"/>
        <v>2.8990283914156808E-3</v>
      </c>
      <c r="P23" t="str">
        <f t="shared" si="15"/>
        <v>Manure management</v>
      </c>
      <c r="Q23" t="str">
        <f t="shared" si="16"/>
        <v>N2O</v>
      </c>
      <c r="R23" s="22">
        <v>43.6905</v>
      </c>
      <c r="S23" t="s">
        <v>316</v>
      </c>
      <c r="T23" s="23">
        <f t="shared" si="3"/>
        <v>10.554999994595565</v>
      </c>
    </row>
    <row r="24" spans="1:20" x14ac:dyDescent="0.25">
      <c r="A24" s="14" t="s">
        <v>178</v>
      </c>
      <c r="B24" t="str">
        <f t="shared" si="11"/>
        <v>Enteric fermentation</v>
      </c>
      <c r="C24" t="str">
        <f t="shared" si="12"/>
        <v>CH4</v>
      </c>
      <c r="D24" s="22">
        <v>92.6</v>
      </c>
      <c r="E24" t="s">
        <v>148</v>
      </c>
      <c r="F24" s="22">
        <v>2980000</v>
      </c>
      <c r="G24" s="23">
        <f t="shared" si="19"/>
        <v>0.49453048727903293</v>
      </c>
      <c r="H24" s="23">
        <f t="shared" si="18"/>
        <v>45.793523122038444</v>
      </c>
      <c r="J24" t="str">
        <f t="shared" si="13"/>
        <v>Manure management</v>
      </c>
      <c r="K24" t="str">
        <f t="shared" si="14"/>
        <v>CH4</v>
      </c>
      <c r="L24" s="22">
        <v>1.7999999999999999E-2</v>
      </c>
      <c r="M24" t="s">
        <v>148</v>
      </c>
      <c r="N24" s="23">
        <f t="shared" si="2"/>
        <v>8.9015487710225917E-3</v>
      </c>
      <c r="P24" t="str">
        <f t="shared" si="15"/>
        <v>Manure management</v>
      </c>
      <c r="Q24" t="str">
        <f t="shared" si="16"/>
        <v>N2O</v>
      </c>
      <c r="R24" s="22">
        <v>109.22624999999998</v>
      </c>
      <c r="S24" t="s">
        <v>316</v>
      </c>
      <c r="T24" s="23">
        <f t="shared" si="3"/>
        <v>54.015710636161458</v>
      </c>
    </row>
    <row r="25" spans="1:20" x14ac:dyDescent="0.25">
      <c r="A25" s="14" t="s">
        <v>179</v>
      </c>
      <c r="B25" t="str">
        <f t="shared" si="11"/>
        <v>Enteric fermentation</v>
      </c>
      <c r="C25" t="str">
        <f t="shared" si="12"/>
        <v>CH4</v>
      </c>
      <c r="D25" s="22">
        <v>58.9</v>
      </c>
      <c r="E25" t="s">
        <v>148</v>
      </c>
      <c r="F25" s="22">
        <v>399822.33333333331</v>
      </c>
      <c r="G25" s="23">
        <v>1</v>
      </c>
      <c r="H25" s="23">
        <f>D25*G25</f>
        <v>58.9</v>
      </c>
      <c r="J25" t="str">
        <f t="shared" si="13"/>
        <v>Manure management</v>
      </c>
      <c r="K25" t="str">
        <f t="shared" si="14"/>
        <v>CH4</v>
      </c>
      <c r="L25" s="22">
        <v>0.87</v>
      </c>
      <c r="M25" t="s">
        <v>148</v>
      </c>
      <c r="N25" s="23">
        <f t="shared" si="2"/>
        <v>0.87</v>
      </c>
      <c r="P25" t="str">
        <f t="shared" si="15"/>
        <v>Manure management</v>
      </c>
      <c r="Q25" t="str">
        <f t="shared" si="16"/>
        <v>N2O</v>
      </c>
      <c r="R25" s="22">
        <v>65.765699999999995</v>
      </c>
      <c r="S25" t="s">
        <v>316</v>
      </c>
      <c r="T25" s="23">
        <f t="shared" si="3"/>
        <v>65.765699999999995</v>
      </c>
    </row>
    <row r="26" spans="1:20" x14ac:dyDescent="0.25">
      <c r="A26" s="14" t="s">
        <v>180</v>
      </c>
      <c r="B26" t="str">
        <f t="shared" si="11"/>
        <v>Enteric fermentation</v>
      </c>
      <c r="C26" t="str">
        <f t="shared" si="12"/>
        <v>CH4</v>
      </c>
      <c r="D26" s="22">
        <v>75.900000000000006</v>
      </c>
      <c r="E26" t="s">
        <v>148</v>
      </c>
      <c r="F26" s="22">
        <v>798049.7466666667</v>
      </c>
      <c r="G26" s="23">
        <f t="shared" si="19"/>
        <v>0.13243621815166962</v>
      </c>
      <c r="H26" s="23">
        <f t="shared" si="18"/>
        <v>10.051908957711724</v>
      </c>
      <c r="J26" t="str">
        <f t="shared" si="13"/>
        <v>Manure management</v>
      </c>
      <c r="K26" t="str">
        <f t="shared" si="14"/>
        <v>CH4</v>
      </c>
      <c r="L26" s="22">
        <v>1.6E-2</v>
      </c>
      <c r="M26" t="s">
        <v>148</v>
      </c>
      <c r="N26" s="23">
        <f t="shared" si="2"/>
        <v>2.118979490426714E-3</v>
      </c>
      <c r="P26" t="str">
        <f t="shared" si="15"/>
        <v>Manure management</v>
      </c>
      <c r="Q26" t="str">
        <f t="shared" si="16"/>
        <v>N2O</v>
      </c>
      <c r="R26" s="22">
        <v>83.931749999999994</v>
      </c>
      <c r="S26" t="s">
        <v>316</v>
      </c>
      <c r="T26" s="23">
        <f t="shared" si="3"/>
        <v>11.115603552851395</v>
      </c>
    </row>
    <row r="27" spans="1:20" x14ac:dyDescent="0.25">
      <c r="A27" s="14" t="s">
        <v>181</v>
      </c>
      <c r="B27" t="str">
        <f t="shared" si="11"/>
        <v>Enteric fermentation</v>
      </c>
      <c r="C27" t="str">
        <f t="shared" si="12"/>
        <v>CH4</v>
      </c>
      <c r="D27" s="22">
        <v>89.4</v>
      </c>
      <c r="E27" t="s">
        <v>148</v>
      </c>
      <c r="F27" s="22">
        <v>170000</v>
      </c>
      <c r="G27" s="23">
        <f t="shared" si="19"/>
        <v>2.8211470750817317E-2</v>
      </c>
      <c r="H27" s="23">
        <f t="shared" si="18"/>
        <v>2.5221054851230682</v>
      </c>
      <c r="J27" t="str">
        <f t="shared" si="13"/>
        <v>Manure management</v>
      </c>
      <c r="K27" t="str">
        <f t="shared" si="14"/>
        <v>CH4</v>
      </c>
      <c r="L27" s="22">
        <v>1.7999999999999999E-2</v>
      </c>
      <c r="M27" t="s">
        <v>148</v>
      </c>
      <c r="N27" s="23">
        <f t="shared" si="2"/>
        <v>5.0780647351471168E-4</v>
      </c>
      <c r="P27" t="str">
        <f t="shared" si="15"/>
        <v>Manure management</v>
      </c>
      <c r="Q27" t="str">
        <f t="shared" si="16"/>
        <v>N2O</v>
      </c>
      <c r="R27" s="22">
        <v>98.878499999999988</v>
      </c>
      <c r="S27" t="s">
        <v>316</v>
      </c>
      <c r="T27" s="23">
        <f t="shared" si="3"/>
        <v>2.7895079106346898</v>
      </c>
    </row>
    <row r="28" spans="1:20" x14ac:dyDescent="0.25">
      <c r="A28" s="14" t="s">
        <v>182</v>
      </c>
      <c r="B28" t="str">
        <f t="shared" si="11"/>
        <v>Enteric fermentation</v>
      </c>
      <c r="C28" t="str">
        <f t="shared" si="12"/>
        <v>CH4</v>
      </c>
      <c r="D28" s="22">
        <v>51.6</v>
      </c>
      <c r="E28" t="s">
        <v>148</v>
      </c>
      <c r="F28" s="22">
        <v>462074.62</v>
      </c>
      <c r="G28" s="23">
        <f t="shared" si="19"/>
        <v>7.6681203687206032E-2</v>
      </c>
      <c r="H28" s="23">
        <f>D28*G28</f>
        <v>3.9567501102598315</v>
      </c>
      <c r="J28" t="str">
        <f t="shared" si="13"/>
        <v>Manure management</v>
      </c>
      <c r="K28" t="str">
        <f t="shared" si="14"/>
        <v>CH4</v>
      </c>
      <c r="L28" s="22">
        <v>1.2E-2</v>
      </c>
      <c r="M28" t="s">
        <v>148</v>
      </c>
      <c r="N28" s="23">
        <f t="shared" si="2"/>
        <v>9.2017444424647235E-4</v>
      </c>
      <c r="P28" t="str">
        <f t="shared" si="15"/>
        <v>Manure management</v>
      </c>
      <c r="Q28" t="str">
        <f t="shared" si="16"/>
        <v>N2O</v>
      </c>
      <c r="R28" s="22">
        <v>44.38035</v>
      </c>
      <c r="S28" t="s">
        <v>316</v>
      </c>
      <c r="T28" s="23">
        <f t="shared" si="3"/>
        <v>3.4031386580594942</v>
      </c>
    </row>
    <row r="29" spans="1:20" x14ac:dyDescent="0.25">
      <c r="A29" s="14" t="s">
        <v>183</v>
      </c>
      <c r="B29" t="str">
        <f t="shared" si="11"/>
        <v>Enteric fermentation</v>
      </c>
      <c r="C29" t="str">
        <f t="shared" si="12"/>
        <v>CH4</v>
      </c>
      <c r="D29" s="22">
        <v>83.8</v>
      </c>
      <c r="E29" t="s">
        <v>148</v>
      </c>
      <c r="F29" s="22">
        <v>181104.56017404376</v>
      </c>
      <c r="G29" s="23">
        <f>F29/SUM($F$29:$F$34)</f>
        <v>2.6554920846633981E-2</v>
      </c>
      <c r="H29" s="23">
        <f t="shared" si="18"/>
        <v>2.2253023669479277</v>
      </c>
      <c r="J29" t="str">
        <f t="shared" si="13"/>
        <v>Manure management</v>
      </c>
      <c r="K29" t="str">
        <f t="shared" si="14"/>
        <v>CH4</v>
      </c>
      <c r="L29" s="22">
        <v>1.7000000000000001E-2</v>
      </c>
      <c r="M29" t="s">
        <v>148</v>
      </c>
      <c r="N29" s="23">
        <f t="shared" si="2"/>
        <v>4.514336543927777E-4</v>
      </c>
      <c r="P29" t="str">
        <f t="shared" si="15"/>
        <v>Manure management</v>
      </c>
      <c r="Q29" t="str">
        <f t="shared" si="16"/>
        <v>N2O</v>
      </c>
      <c r="R29" s="22">
        <v>134.52074999999999</v>
      </c>
      <c r="S29" t="s">
        <v>316</v>
      </c>
      <c r="T29" s="23">
        <f t="shared" si="3"/>
        <v>3.5721878684798378</v>
      </c>
    </row>
    <row r="30" spans="1:20" x14ac:dyDescent="0.25">
      <c r="A30" s="14" t="s">
        <v>184</v>
      </c>
      <c r="B30" t="str">
        <f t="shared" si="11"/>
        <v>Enteric fermentation</v>
      </c>
      <c r="C30" t="str">
        <f t="shared" si="12"/>
        <v>CH4</v>
      </c>
      <c r="D30" s="22">
        <v>40.9</v>
      </c>
      <c r="E30" t="s">
        <v>148</v>
      </c>
      <c r="F30" s="22">
        <v>1647614.4691212452</v>
      </c>
      <c r="G30" s="23">
        <f t="shared" ref="G30:G34" si="20">F30/SUM($F$29:$F$34)</f>
        <v>0.24158569928464005</v>
      </c>
      <c r="H30" s="23">
        <f t="shared" si="18"/>
        <v>9.880855100741778</v>
      </c>
      <c r="J30" t="str">
        <f t="shared" si="13"/>
        <v>Manure management</v>
      </c>
      <c r="K30" t="str">
        <f t="shared" si="14"/>
        <v>CH4</v>
      </c>
      <c r="L30" s="22">
        <v>0.01</v>
      </c>
      <c r="M30" t="s">
        <v>148</v>
      </c>
      <c r="N30" s="23">
        <f t="shared" si="2"/>
        <v>2.4158569928464007E-3</v>
      </c>
      <c r="P30" t="str">
        <f t="shared" si="15"/>
        <v>Manure management</v>
      </c>
      <c r="Q30" t="str">
        <f t="shared" si="16"/>
        <v>N2O</v>
      </c>
      <c r="R30" s="22">
        <v>19.545750000000002</v>
      </c>
      <c r="S30" t="s">
        <v>316</v>
      </c>
      <c r="T30" s="23">
        <f t="shared" si="3"/>
        <v>4.721973681792754</v>
      </c>
    </row>
    <row r="31" spans="1:20" x14ac:dyDescent="0.25">
      <c r="A31" s="14" t="s">
        <v>185</v>
      </c>
      <c r="B31" t="str">
        <f t="shared" si="11"/>
        <v>Enteric fermentation</v>
      </c>
      <c r="C31" t="str">
        <f t="shared" si="12"/>
        <v>CH4</v>
      </c>
      <c r="D31" s="22">
        <v>73.099999999999994</v>
      </c>
      <c r="E31" t="s">
        <v>148</v>
      </c>
      <c r="F31" s="22">
        <v>3372697.9232430048</v>
      </c>
      <c r="G31" s="23">
        <f t="shared" si="20"/>
        <v>0.49453048727903298</v>
      </c>
      <c r="H31" s="23">
        <f t="shared" si="18"/>
        <v>36.150178620097307</v>
      </c>
      <c r="J31" t="str">
        <f t="shared" si="13"/>
        <v>Manure management</v>
      </c>
      <c r="K31" t="str">
        <f t="shared" si="14"/>
        <v>CH4</v>
      </c>
      <c r="L31" s="22">
        <v>1.4999999999999999E-2</v>
      </c>
      <c r="M31" t="s">
        <v>148</v>
      </c>
      <c r="N31" s="23">
        <f t="shared" si="2"/>
        <v>7.4179573091854942E-3</v>
      </c>
      <c r="P31" t="str">
        <f t="shared" si="15"/>
        <v>Manure management</v>
      </c>
      <c r="Q31" t="str">
        <f t="shared" si="16"/>
        <v>N2O</v>
      </c>
      <c r="R31" s="22">
        <v>84.851550000000003</v>
      </c>
      <c r="S31" t="s">
        <v>316</v>
      </c>
      <c r="T31" s="23">
        <f t="shared" si="3"/>
        <v>41.961678367881234</v>
      </c>
    </row>
    <row r="32" spans="1:20" x14ac:dyDescent="0.25">
      <c r="A32" s="14" t="s">
        <v>186</v>
      </c>
      <c r="B32" t="str">
        <f t="shared" si="11"/>
        <v>Enteric fermentation</v>
      </c>
      <c r="C32" t="str">
        <f t="shared" si="12"/>
        <v>CH4</v>
      </c>
      <c r="D32" s="22">
        <v>62.5</v>
      </c>
      <c r="E32" t="s">
        <v>148</v>
      </c>
      <c r="F32" s="22">
        <v>903215.00779438682</v>
      </c>
      <c r="G32" s="23">
        <f t="shared" si="20"/>
        <v>0.13243621815166962</v>
      </c>
      <c r="H32" s="23">
        <f t="shared" si="18"/>
        <v>8.2772636344793504</v>
      </c>
      <c r="J32" t="str">
        <f t="shared" si="13"/>
        <v>Manure management</v>
      </c>
      <c r="K32" t="str">
        <f t="shared" si="14"/>
        <v>CH4</v>
      </c>
      <c r="L32" s="22">
        <v>1.2999999999999999E-2</v>
      </c>
      <c r="M32" t="s">
        <v>148</v>
      </c>
      <c r="N32" s="23">
        <f t="shared" si="2"/>
        <v>1.7216708359717049E-3</v>
      </c>
      <c r="P32" t="str">
        <f t="shared" si="15"/>
        <v>Manure management</v>
      </c>
      <c r="Q32" t="str">
        <f t="shared" si="16"/>
        <v>N2O</v>
      </c>
      <c r="R32" s="22">
        <v>48.979350000000004</v>
      </c>
      <c r="S32" t="s">
        <v>316</v>
      </c>
      <c r="T32" s="23">
        <f t="shared" si="3"/>
        <v>6.4866398815269797</v>
      </c>
    </row>
    <row r="33" spans="1:20" x14ac:dyDescent="0.25">
      <c r="A33" s="14" t="s">
        <v>187</v>
      </c>
      <c r="B33" t="str">
        <f t="shared" si="11"/>
        <v>Enteric fermentation</v>
      </c>
      <c r="C33" t="str">
        <f t="shared" si="12"/>
        <v>CH4</v>
      </c>
      <c r="D33" s="22">
        <v>72.599999999999994</v>
      </c>
      <c r="E33" t="s">
        <v>148</v>
      </c>
      <c r="F33" s="22">
        <v>192402.23052057408</v>
      </c>
      <c r="G33" s="23">
        <f t="shared" si="20"/>
        <v>2.8211470750817313E-2</v>
      </c>
      <c r="H33" s="23">
        <f t="shared" si="18"/>
        <v>2.0481527765093368</v>
      </c>
      <c r="J33" t="str">
        <f t="shared" si="13"/>
        <v>Manure management</v>
      </c>
      <c r="K33" t="str">
        <f t="shared" si="14"/>
        <v>CH4</v>
      </c>
      <c r="L33" s="22">
        <v>1.4999999999999999E-2</v>
      </c>
      <c r="M33" t="s">
        <v>148</v>
      </c>
      <c r="N33" s="23">
        <f t="shared" si="2"/>
        <v>4.2317206126225968E-4</v>
      </c>
      <c r="P33" t="str">
        <f t="shared" si="15"/>
        <v>Manure management</v>
      </c>
      <c r="Q33" t="str">
        <f t="shared" si="16"/>
        <v>N2O</v>
      </c>
      <c r="R33" s="22">
        <v>92.209950000000006</v>
      </c>
      <c r="S33" t="s">
        <v>316</v>
      </c>
      <c r="T33" s="23">
        <f t="shared" si="3"/>
        <v>2.6013783073593273</v>
      </c>
    </row>
    <row r="34" spans="1:20" x14ac:dyDescent="0.25">
      <c r="A34" s="14" t="s">
        <v>188</v>
      </c>
      <c r="B34" t="str">
        <f t="shared" si="11"/>
        <v>Enteric fermentation</v>
      </c>
      <c r="C34" t="str">
        <f t="shared" si="12"/>
        <v>CH4</v>
      </c>
      <c r="D34" s="22">
        <v>41.6</v>
      </c>
      <c r="E34" t="s">
        <v>148</v>
      </c>
      <c r="F34" s="22">
        <v>522965.80914674513</v>
      </c>
      <c r="G34" s="23">
        <f t="shared" si="20"/>
        <v>7.6681203687206032E-2</v>
      </c>
      <c r="H34" s="23">
        <f t="shared" si="18"/>
        <v>3.1899380733877711</v>
      </c>
      <c r="J34" t="str">
        <f t="shared" si="13"/>
        <v>Manure management</v>
      </c>
      <c r="K34" t="str">
        <f t="shared" si="14"/>
        <v>CH4</v>
      </c>
      <c r="L34" s="22">
        <v>0.01</v>
      </c>
      <c r="M34" t="s">
        <v>148</v>
      </c>
      <c r="N34" s="23">
        <f t="shared" si="2"/>
        <v>7.6681203687206038E-4</v>
      </c>
      <c r="P34" t="str">
        <f t="shared" si="15"/>
        <v>Manure management</v>
      </c>
      <c r="Q34" t="str">
        <f t="shared" si="16"/>
        <v>N2O</v>
      </c>
      <c r="R34" s="22">
        <v>68.984999999999999</v>
      </c>
      <c r="S34" t="s">
        <v>316</v>
      </c>
      <c r="T34" s="23">
        <f t="shared" si="3"/>
        <v>5.2898528363619084</v>
      </c>
    </row>
    <row r="35" spans="1:20" x14ac:dyDescent="0.25">
      <c r="A35" s="13" t="s">
        <v>156</v>
      </c>
      <c r="M35" s="13"/>
    </row>
    <row r="36" spans="1:20" x14ac:dyDescent="0.25">
      <c r="A36" s="14" t="s">
        <v>189</v>
      </c>
      <c r="B36" t="str">
        <f t="shared" ref="B36:B83" si="21">$B$5</f>
        <v>Enteric fermentation</v>
      </c>
      <c r="C36" t="str">
        <f t="shared" ref="C36:C83" si="22">$C$5</f>
        <v>CH4</v>
      </c>
      <c r="D36" s="22">
        <v>7.28</v>
      </c>
      <c r="E36" t="s">
        <v>148</v>
      </c>
      <c r="F36" s="22">
        <v>11250</v>
      </c>
      <c r="G36" s="23">
        <f>F36/SUM($F$36:$F$59)</f>
        <v>5.2342623179639882E-4</v>
      </c>
      <c r="H36" s="23">
        <f t="shared" si="18"/>
        <v>3.8105429674777837E-3</v>
      </c>
      <c r="J36" t="str">
        <f t="shared" ref="J36:J83" si="23">$J$5</f>
        <v>Manure management</v>
      </c>
      <c r="K36" t="str">
        <f t="shared" ref="K36:K83" si="24">$K$5</f>
        <v>CH4</v>
      </c>
      <c r="L36" s="22">
        <v>2E-3</v>
      </c>
      <c r="M36" t="s">
        <v>148</v>
      </c>
      <c r="N36" s="23">
        <f t="shared" si="2"/>
        <v>1.0468524635927976E-6</v>
      </c>
      <c r="P36" t="str">
        <f t="shared" ref="P36:P83" si="25">$P$5</f>
        <v>Manure management</v>
      </c>
      <c r="Q36" t="str">
        <f t="shared" ref="Q36:Q83" si="26">$Q$5</f>
        <v>N2O</v>
      </c>
      <c r="R36" s="22">
        <v>20.498399999999997</v>
      </c>
      <c r="S36" t="s">
        <v>316</v>
      </c>
      <c r="T36" s="23">
        <f t="shared" si="3"/>
        <v>1.07294002698553E-2</v>
      </c>
    </row>
    <row r="37" spans="1:20" x14ac:dyDescent="0.25">
      <c r="A37" s="14" t="s">
        <v>190</v>
      </c>
      <c r="B37" t="str">
        <f t="shared" si="21"/>
        <v>Enteric fermentation</v>
      </c>
      <c r="C37" t="str">
        <f t="shared" si="22"/>
        <v>CH4</v>
      </c>
      <c r="D37" s="22">
        <v>10.5</v>
      </c>
      <c r="E37" t="s">
        <v>148</v>
      </c>
      <c r="F37" s="22">
        <v>250</v>
      </c>
      <c r="G37" s="23">
        <f t="shared" ref="G37:G59" si="27">F37/SUM($F$36:$F$59)</f>
        <v>1.1631694039919974E-5</v>
      </c>
      <c r="H37" s="23">
        <f t="shared" si="18"/>
        <v>1.2213278741915972E-4</v>
      </c>
      <c r="J37" t="str">
        <f t="shared" si="23"/>
        <v>Manure management</v>
      </c>
      <c r="K37" t="str">
        <f t="shared" si="24"/>
        <v>CH4</v>
      </c>
      <c r="L37" s="22">
        <v>3.0000000000000001E-3</v>
      </c>
      <c r="M37" t="s">
        <v>148</v>
      </c>
      <c r="N37" s="23">
        <f t="shared" si="2"/>
        <v>3.4895082119759926E-8</v>
      </c>
      <c r="P37" t="str">
        <f t="shared" si="25"/>
        <v>Manure management</v>
      </c>
      <c r="Q37" t="str">
        <f t="shared" si="26"/>
        <v>N2O</v>
      </c>
      <c r="R37" s="22">
        <v>30.961124999999996</v>
      </c>
      <c r="S37" t="s">
        <v>316</v>
      </c>
      <c r="T37" s="23">
        <f t="shared" si="3"/>
        <v>3.6013033313171726E-4</v>
      </c>
    </row>
    <row r="38" spans="1:20" x14ac:dyDescent="0.25">
      <c r="A38" s="14" t="s">
        <v>191</v>
      </c>
      <c r="B38" t="str">
        <f t="shared" si="21"/>
        <v>Enteric fermentation</v>
      </c>
      <c r="C38" t="str">
        <f t="shared" si="22"/>
        <v>CH4</v>
      </c>
      <c r="D38" s="22">
        <v>3.62</v>
      </c>
      <c r="E38" t="s">
        <v>148</v>
      </c>
      <c r="F38" s="22">
        <v>6000</v>
      </c>
      <c r="G38" s="23">
        <f t="shared" si="27"/>
        <v>2.7916065695807939E-4</v>
      </c>
      <c r="H38" s="23">
        <f t="shared" si="18"/>
        <v>1.0105615781882474E-3</v>
      </c>
      <c r="J38" t="str">
        <f t="shared" si="23"/>
        <v>Manure management</v>
      </c>
      <c r="K38" t="str">
        <f t="shared" si="24"/>
        <v>CH4</v>
      </c>
      <c r="L38" s="22">
        <v>1E-3</v>
      </c>
      <c r="M38" t="s">
        <v>148</v>
      </c>
      <c r="N38" s="23">
        <f t="shared" si="2"/>
        <v>2.7916065695807941E-7</v>
      </c>
      <c r="P38" t="str">
        <f t="shared" si="25"/>
        <v>Manure management</v>
      </c>
      <c r="Q38" t="str">
        <f t="shared" si="26"/>
        <v>N2O</v>
      </c>
      <c r="R38" s="22">
        <v>9.608625</v>
      </c>
      <c r="S38" t="s">
        <v>316</v>
      </c>
      <c r="T38" s="23">
        <f t="shared" si="3"/>
        <v>2.6823500674638253E-3</v>
      </c>
    </row>
    <row r="39" spans="1:20" x14ac:dyDescent="0.25">
      <c r="A39" s="14" t="s">
        <v>192</v>
      </c>
      <c r="B39" t="str">
        <f t="shared" si="21"/>
        <v>Enteric fermentation</v>
      </c>
      <c r="C39" t="str">
        <f t="shared" si="22"/>
        <v>CH4</v>
      </c>
      <c r="D39" s="22">
        <v>5.0199999999999996</v>
      </c>
      <c r="E39" t="s">
        <v>148</v>
      </c>
      <c r="F39" s="22">
        <v>4000</v>
      </c>
      <c r="G39" s="23">
        <f t="shared" si="27"/>
        <v>1.8610710463871959E-4</v>
      </c>
      <c r="H39" s="23">
        <f t="shared" si="18"/>
        <v>9.3425766528637229E-4</v>
      </c>
      <c r="J39" t="str">
        <f t="shared" si="23"/>
        <v>Manure management</v>
      </c>
      <c r="K39" t="str">
        <f t="shared" si="24"/>
        <v>CH4</v>
      </c>
      <c r="L39" s="22">
        <v>1.2999999999999999E-3</v>
      </c>
      <c r="M39" t="s">
        <v>148</v>
      </c>
      <c r="N39" s="23">
        <f t="shared" si="2"/>
        <v>2.4193923603033547E-7</v>
      </c>
      <c r="P39" t="str">
        <f t="shared" si="25"/>
        <v>Manure management</v>
      </c>
      <c r="Q39" t="str">
        <f t="shared" si="26"/>
        <v>N2O</v>
      </c>
      <c r="R39" s="22">
        <v>14.306175</v>
      </c>
      <c r="S39" t="s">
        <v>316</v>
      </c>
      <c r="T39" s="23">
        <f t="shared" si="3"/>
        <v>2.6624808077048341E-3</v>
      </c>
    </row>
    <row r="40" spans="1:20" x14ac:dyDescent="0.25">
      <c r="A40" s="14" t="s">
        <v>193</v>
      </c>
      <c r="B40" t="str">
        <f t="shared" si="21"/>
        <v>Enteric fermentation</v>
      </c>
      <c r="C40" t="str">
        <f t="shared" si="22"/>
        <v>CH4</v>
      </c>
      <c r="D40" s="22">
        <v>5.94</v>
      </c>
      <c r="E40" t="s">
        <v>148</v>
      </c>
      <c r="F40" s="22">
        <v>3000</v>
      </c>
      <c r="G40" s="23">
        <f t="shared" si="27"/>
        <v>1.3958032847903969E-4</v>
      </c>
      <c r="H40" s="23">
        <f t="shared" si="18"/>
        <v>8.2910715116549585E-4</v>
      </c>
      <c r="J40" t="str">
        <f t="shared" si="23"/>
        <v>Manure management</v>
      </c>
      <c r="K40" t="str">
        <f t="shared" si="24"/>
        <v>CH4</v>
      </c>
      <c r="L40" s="22">
        <v>1.6000000000000001E-3</v>
      </c>
      <c r="M40" t="s">
        <v>148</v>
      </c>
      <c r="N40" s="23">
        <f t="shared" si="2"/>
        <v>2.2332852556646353E-7</v>
      </c>
      <c r="P40" t="str">
        <f t="shared" si="25"/>
        <v>Manure management</v>
      </c>
      <c r="Q40" t="str">
        <f t="shared" si="26"/>
        <v>N2O</v>
      </c>
      <c r="R40" s="22">
        <v>17.295524999999998</v>
      </c>
      <c r="S40" t="s">
        <v>316</v>
      </c>
      <c r="T40" s="23">
        <f t="shared" si="3"/>
        <v>2.4141150607174425E-3</v>
      </c>
    </row>
    <row r="41" spans="1:20" x14ac:dyDescent="0.25">
      <c r="A41" s="14" t="s">
        <v>194</v>
      </c>
      <c r="B41" t="str">
        <f t="shared" si="21"/>
        <v>Enteric fermentation</v>
      </c>
      <c r="C41" t="str">
        <f t="shared" si="22"/>
        <v>CH4</v>
      </c>
      <c r="D41" s="22">
        <v>7.64</v>
      </c>
      <c r="E41" t="s">
        <v>148</v>
      </c>
      <c r="F41" s="22">
        <v>500</v>
      </c>
      <c r="G41" s="23">
        <f t="shared" si="27"/>
        <v>2.3263388079839949E-5</v>
      </c>
      <c r="H41" s="23">
        <f t="shared" si="18"/>
        <v>1.7773228492997721E-4</v>
      </c>
      <c r="J41" t="str">
        <f t="shared" si="23"/>
        <v>Manure management</v>
      </c>
      <c r="K41" t="str">
        <f t="shared" si="24"/>
        <v>CH4</v>
      </c>
      <c r="L41" s="22">
        <v>2E-3</v>
      </c>
      <c r="M41" t="s">
        <v>148</v>
      </c>
      <c r="N41" s="23">
        <f t="shared" si="2"/>
        <v>4.6526776159679897E-8</v>
      </c>
      <c r="P41" t="str">
        <f t="shared" si="25"/>
        <v>Manure management</v>
      </c>
      <c r="Q41" t="str">
        <f t="shared" si="26"/>
        <v>N2O</v>
      </c>
      <c r="R41" s="22">
        <v>22.633649999999999</v>
      </c>
      <c r="S41" t="s">
        <v>316</v>
      </c>
      <c r="T41" s="23">
        <f t="shared" si="3"/>
        <v>5.2653538361326947E-4</v>
      </c>
    </row>
    <row r="42" spans="1:20" x14ac:dyDescent="0.25">
      <c r="A42" s="14" t="s">
        <v>195</v>
      </c>
      <c r="B42" t="str">
        <f t="shared" si="21"/>
        <v>Enteric fermentation</v>
      </c>
      <c r="C42" t="str">
        <f t="shared" si="22"/>
        <v>CH4</v>
      </c>
      <c r="D42" s="22">
        <v>8.07</v>
      </c>
      <c r="E42" t="s">
        <v>148</v>
      </c>
      <c r="F42" s="22">
        <v>5062950</v>
      </c>
      <c r="G42" s="23">
        <f t="shared" si="27"/>
        <v>0.23556274135765132</v>
      </c>
      <c r="H42" s="23">
        <f t="shared" si="18"/>
        <v>1.9009913227562463</v>
      </c>
      <c r="J42" t="str">
        <f t="shared" si="23"/>
        <v>Manure management</v>
      </c>
      <c r="K42" t="str">
        <f t="shared" si="24"/>
        <v>CH4</v>
      </c>
      <c r="L42" s="22">
        <v>2.2000000000000001E-3</v>
      </c>
      <c r="M42" t="s">
        <v>148</v>
      </c>
      <c r="N42" s="23">
        <f t="shared" si="2"/>
        <v>5.1823803098683297E-4</v>
      </c>
      <c r="P42" t="str">
        <f t="shared" si="25"/>
        <v>Manure management</v>
      </c>
      <c r="Q42" t="str">
        <f t="shared" si="26"/>
        <v>N2O</v>
      </c>
      <c r="R42" s="22">
        <v>22.633649999999999</v>
      </c>
      <c r="S42" t="s">
        <v>316</v>
      </c>
      <c r="T42" s="23">
        <f t="shared" si="3"/>
        <v>5.3316446409296043</v>
      </c>
    </row>
    <row r="43" spans="1:20" x14ac:dyDescent="0.25">
      <c r="A43" s="14" t="s">
        <v>196</v>
      </c>
      <c r="B43" t="str">
        <f t="shared" si="21"/>
        <v>Enteric fermentation</v>
      </c>
      <c r="C43" t="str">
        <f t="shared" si="22"/>
        <v>CH4</v>
      </c>
      <c r="D43" s="22">
        <v>14.7</v>
      </c>
      <c r="E43" t="s">
        <v>148</v>
      </c>
      <c r="F43" s="22">
        <v>112510</v>
      </c>
      <c r="G43" s="23">
        <f t="shared" si="27"/>
        <v>5.234727585725585E-3</v>
      </c>
      <c r="H43" s="23">
        <f t="shared" si="18"/>
        <v>7.6950495510166098E-2</v>
      </c>
      <c r="J43" t="str">
        <f t="shared" si="23"/>
        <v>Manure management</v>
      </c>
      <c r="K43" t="str">
        <f t="shared" si="24"/>
        <v>CH4</v>
      </c>
      <c r="L43" s="22">
        <v>4.1999999999999997E-3</v>
      </c>
      <c r="M43" t="s">
        <v>148</v>
      </c>
      <c r="N43" s="23">
        <f t="shared" si="2"/>
        <v>2.1985855860047455E-5</v>
      </c>
      <c r="P43" t="str">
        <f t="shared" si="25"/>
        <v>Manure management</v>
      </c>
      <c r="Q43" t="str">
        <f t="shared" si="26"/>
        <v>N2O</v>
      </c>
      <c r="R43" s="22">
        <v>41.637374999999999</v>
      </c>
      <c r="S43" t="s">
        <v>316</v>
      </c>
      <c r="T43" s="23">
        <f t="shared" si="3"/>
        <v>0.21796031550970082</v>
      </c>
    </row>
    <row r="44" spans="1:20" x14ac:dyDescent="0.25">
      <c r="A44" s="14" t="s">
        <v>197</v>
      </c>
      <c r="B44" t="str">
        <f t="shared" si="21"/>
        <v>Enteric fermentation</v>
      </c>
      <c r="C44" t="str">
        <f t="shared" si="22"/>
        <v>CH4</v>
      </c>
      <c r="D44" s="22">
        <v>3.62</v>
      </c>
      <c r="E44" t="s">
        <v>148</v>
      </c>
      <c r="F44" s="22">
        <v>2700240</v>
      </c>
      <c r="G44" s="23">
        <f t="shared" si="27"/>
        <v>0.12563346205741405</v>
      </c>
      <c r="H44" s="23">
        <f t="shared" si="18"/>
        <v>0.45479313264783888</v>
      </c>
      <c r="J44" t="str">
        <f t="shared" si="23"/>
        <v>Manure management</v>
      </c>
      <c r="K44" t="str">
        <f t="shared" si="24"/>
        <v>CH4</v>
      </c>
      <c r="L44" s="22">
        <v>1E-3</v>
      </c>
      <c r="M44" t="s">
        <v>148</v>
      </c>
      <c r="N44" s="23">
        <f t="shared" si="2"/>
        <v>1.2563346205741405E-4</v>
      </c>
      <c r="P44" t="str">
        <f t="shared" si="25"/>
        <v>Manure management</v>
      </c>
      <c r="Q44" t="str">
        <f t="shared" si="26"/>
        <v>N2O</v>
      </c>
      <c r="R44" s="22">
        <v>9.608625</v>
      </c>
      <c r="S44" t="s">
        <v>316</v>
      </c>
      <c r="T44" s="23">
        <f t="shared" si="3"/>
        <v>1.2071648243614201</v>
      </c>
    </row>
    <row r="45" spans="1:20" x14ac:dyDescent="0.25">
      <c r="A45" s="14" t="s">
        <v>198</v>
      </c>
      <c r="B45" t="str">
        <f t="shared" si="21"/>
        <v>Enteric fermentation</v>
      </c>
      <c r="C45" t="str">
        <f t="shared" si="22"/>
        <v>CH4</v>
      </c>
      <c r="D45" s="22">
        <v>5.54</v>
      </c>
      <c r="E45" t="s">
        <v>148</v>
      </c>
      <c r="F45" s="22">
        <v>1800160</v>
      </c>
      <c r="G45" s="23">
        <f t="shared" si="27"/>
        <v>8.375564137160936E-2</v>
      </c>
      <c r="H45" s="23">
        <f t="shared" si="18"/>
        <v>0.46400625319871586</v>
      </c>
      <c r="J45" t="str">
        <f t="shared" si="23"/>
        <v>Manure management</v>
      </c>
      <c r="K45" t="str">
        <f t="shared" si="24"/>
        <v>CH4</v>
      </c>
      <c r="L45" s="22">
        <v>1.4E-3</v>
      </c>
      <c r="M45" t="s">
        <v>148</v>
      </c>
      <c r="N45" s="23">
        <f t="shared" si="2"/>
        <v>1.172578979202531E-4</v>
      </c>
      <c r="P45" t="str">
        <f t="shared" si="25"/>
        <v>Manure management</v>
      </c>
      <c r="Q45" t="str">
        <f t="shared" si="26"/>
        <v>N2O</v>
      </c>
      <c r="R45" s="22">
        <v>16.014374999999998</v>
      </c>
      <c r="S45" t="s">
        <v>316</v>
      </c>
      <c r="T45" s="23">
        <f t="shared" si="3"/>
        <v>1.3412942492904665</v>
      </c>
    </row>
    <row r="46" spans="1:20" x14ac:dyDescent="0.25">
      <c r="A46" s="14" t="s">
        <v>199</v>
      </c>
      <c r="B46" t="str">
        <f t="shared" si="21"/>
        <v>Enteric fermentation</v>
      </c>
      <c r="C46" t="str">
        <f t="shared" si="22"/>
        <v>CH4</v>
      </c>
      <c r="D46" s="22">
        <v>6.21</v>
      </c>
      <c r="E46" t="s">
        <v>148</v>
      </c>
      <c r="F46" s="22">
        <v>1350120</v>
      </c>
      <c r="G46" s="23">
        <f t="shared" si="27"/>
        <v>6.2816731028707024E-2</v>
      </c>
      <c r="H46" s="23">
        <f t="shared" si="18"/>
        <v>0.39009189968827063</v>
      </c>
      <c r="J46" t="str">
        <f t="shared" si="23"/>
        <v>Manure management</v>
      </c>
      <c r="K46" t="str">
        <f t="shared" si="24"/>
        <v>CH4</v>
      </c>
      <c r="L46" s="22">
        <v>1.6000000000000001E-3</v>
      </c>
      <c r="M46" t="s">
        <v>148</v>
      </c>
      <c r="N46" s="23">
        <f t="shared" si="2"/>
        <v>1.0050676964593125E-4</v>
      </c>
      <c r="P46" t="str">
        <f t="shared" si="25"/>
        <v>Manure management</v>
      </c>
      <c r="Q46" t="str">
        <f t="shared" si="26"/>
        <v>N2O</v>
      </c>
      <c r="R46" s="22">
        <v>18.149625</v>
      </c>
      <c r="S46" t="s">
        <v>316</v>
      </c>
      <c r="T46" s="23">
        <f t="shared" si="3"/>
        <v>1.1401001118968968</v>
      </c>
    </row>
    <row r="47" spans="1:20" x14ac:dyDescent="0.25">
      <c r="A47" s="14" t="s">
        <v>200</v>
      </c>
      <c r="B47" t="str">
        <f t="shared" si="21"/>
        <v>Enteric fermentation</v>
      </c>
      <c r="C47" t="str">
        <f t="shared" si="22"/>
        <v>CH4</v>
      </c>
      <c r="D47" s="22">
        <v>11.5</v>
      </c>
      <c r="E47" t="s">
        <v>148</v>
      </c>
      <c r="F47" s="22">
        <v>225020</v>
      </c>
      <c r="G47" s="23">
        <f t="shared" si="27"/>
        <v>1.046945517145117E-2</v>
      </c>
      <c r="H47" s="23">
        <f t="shared" si="18"/>
        <v>0.12039873447168846</v>
      </c>
      <c r="J47" t="str">
        <f t="shared" si="23"/>
        <v>Manure management</v>
      </c>
      <c r="K47" t="str">
        <f t="shared" si="24"/>
        <v>CH4</v>
      </c>
      <c r="L47" s="22">
        <v>3.2000000000000002E-3</v>
      </c>
      <c r="M47" t="s">
        <v>148</v>
      </c>
      <c r="N47" s="23">
        <f t="shared" si="2"/>
        <v>3.3502256548643744E-5</v>
      </c>
      <c r="P47" t="str">
        <f t="shared" si="25"/>
        <v>Manure management</v>
      </c>
      <c r="Q47" t="str">
        <f t="shared" si="26"/>
        <v>N2O</v>
      </c>
      <c r="R47" s="22">
        <v>33.438014999999993</v>
      </c>
      <c r="S47" t="s">
        <v>316</v>
      </c>
      <c r="T47" s="23">
        <f t="shared" si="3"/>
        <v>0.35007779906481173</v>
      </c>
    </row>
    <row r="48" spans="1:20" x14ac:dyDescent="0.25">
      <c r="A48" s="14" t="s">
        <v>201</v>
      </c>
      <c r="B48" t="str">
        <f t="shared" si="21"/>
        <v>Enteric fermentation</v>
      </c>
      <c r="C48" t="str">
        <f t="shared" si="22"/>
        <v>CH4</v>
      </c>
      <c r="D48" s="22">
        <v>9.66</v>
      </c>
      <c r="E48" t="s">
        <v>148</v>
      </c>
      <c r="F48" s="22">
        <v>2725650</v>
      </c>
      <c r="G48" s="23">
        <f t="shared" si="27"/>
        <v>0.1268157074396315</v>
      </c>
      <c r="H48" s="23">
        <f t="shared" si="18"/>
        <v>1.2250397338668402</v>
      </c>
      <c r="J48" t="str">
        <f t="shared" si="23"/>
        <v>Manure management</v>
      </c>
      <c r="K48" t="str">
        <f t="shared" si="24"/>
        <v>CH4</v>
      </c>
      <c r="L48" s="22">
        <v>2.7000000000000001E-3</v>
      </c>
      <c r="M48" t="s">
        <v>148</v>
      </c>
      <c r="N48" s="23">
        <f t="shared" si="2"/>
        <v>3.4240241008700505E-4</v>
      </c>
      <c r="P48" t="str">
        <f t="shared" si="25"/>
        <v>Manure management</v>
      </c>
      <c r="Q48" t="str">
        <f t="shared" si="26"/>
        <v>N2O</v>
      </c>
      <c r="R48" s="22">
        <v>27.117674999999998</v>
      </c>
      <c r="S48" t="s">
        <v>316</v>
      </c>
      <c r="T48" s="23">
        <f t="shared" si="3"/>
        <v>3.4389471392430089</v>
      </c>
    </row>
    <row r="49" spans="1:20" x14ac:dyDescent="0.25">
      <c r="A49" s="14" t="s">
        <v>202</v>
      </c>
      <c r="B49" t="str">
        <f t="shared" si="21"/>
        <v>Enteric fermentation</v>
      </c>
      <c r="C49" t="str">
        <f t="shared" si="22"/>
        <v>CH4</v>
      </c>
      <c r="D49" s="22">
        <v>14.7</v>
      </c>
      <c r="E49" t="s">
        <v>148</v>
      </c>
      <c r="F49" s="22">
        <v>60570</v>
      </c>
      <c r="G49" s="23">
        <f t="shared" si="27"/>
        <v>2.8181268319918112E-3</v>
      </c>
      <c r="H49" s="23">
        <f t="shared" si="18"/>
        <v>4.1426464430279621E-2</v>
      </c>
      <c r="J49" t="str">
        <f t="shared" si="23"/>
        <v>Manure management</v>
      </c>
      <c r="K49" t="str">
        <f t="shared" si="24"/>
        <v>CH4</v>
      </c>
      <c r="L49" s="22">
        <v>4.1000000000000003E-3</v>
      </c>
      <c r="M49" t="s">
        <v>148</v>
      </c>
      <c r="N49" s="23">
        <f t="shared" si="2"/>
        <v>1.1554320011166427E-5</v>
      </c>
      <c r="P49" t="str">
        <f t="shared" si="25"/>
        <v>Manure management</v>
      </c>
      <c r="Q49" t="str">
        <f t="shared" si="26"/>
        <v>N2O</v>
      </c>
      <c r="R49" s="22">
        <v>41.637374999999999</v>
      </c>
      <c r="S49" t="s">
        <v>316</v>
      </c>
      <c r="T49" s="23">
        <f t="shared" si="3"/>
        <v>0.11733940370120503</v>
      </c>
    </row>
    <row r="50" spans="1:20" x14ac:dyDescent="0.25">
      <c r="A50" s="14" t="s">
        <v>203</v>
      </c>
      <c r="B50" t="str">
        <f t="shared" si="21"/>
        <v>Enteric fermentation</v>
      </c>
      <c r="C50" t="str">
        <f t="shared" si="22"/>
        <v>CH4</v>
      </c>
      <c r="D50" s="22">
        <v>3.62</v>
      </c>
      <c r="E50" t="s">
        <v>148</v>
      </c>
      <c r="F50" s="22">
        <v>1453680</v>
      </c>
      <c r="G50" s="23">
        <f t="shared" si="27"/>
        <v>6.7635043967803468E-2</v>
      </c>
      <c r="H50" s="23">
        <f t="shared" si="18"/>
        <v>0.24483885916344855</v>
      </c>
      <c r="J50" t="str">
        <f t="shared" si="23"/>
        <v>Manure management</v>
      </c>
      <c r="K50" t="str">
        <f t="shared" si="24"/>
        <v>CH4</v>
      </c>
      <c r="L50" s="22">
        <v>1E-3</v>
      </c>
      <c r="M50" t="s">
        <v>148</v>
      </c>
      <c r="N50" s="23">
        <f t="shared" si="2"/>
        <v>6.7635043967803464E-5</v>
      </c>
      <c r="P50" t="str">
        <f t="shared" si="25"/>
        <v>Manure management</v>
      </c>
      <c r="Q50" t="str">
        <f t="shared" si="26"/>
        <v>N2O</v>
      </c>
      <c r="R50" s="22">
        <v>9.608625</v>
      </c>
      <c r="S50" t="s">
        <v>316</v>
      </c>
      <c r="T50" s="23">
        <f t="shared" si="3"/>
        <v>0.64987977434513555</v>
      </c>
    </row>
    <row r="51" spans="1:20" x14ac:dyDescent="0.25">
      <c r="A51" s="14" t="s">
        <v>204</v>
      </c>
      <c r="B51" t="str">
        <f t="shared" si="21"/>
        <v>Enteric fermentation</v>
      </c>
      <c r="C51" t="str">
        <f t="shared" si="22"/>
        <v>CH4</v>
      </c>
      <c r="D51" s="22">
        <v>5.54</v>
      </c>
      <c r="E51" t="s">
        <v>148</v>
      </c>
      <c r="F51" s="22">
        <v>969120</v>
      </c>
      <c r="G51" s="23">
        <f t="shared" si="27"/>
        <v>4.5090029311868979E-2</v>
      </c>
      <c r="H51" s="23">
        <f t="shared" si="18"/>
        <v>0.24979876238775414</v>
      </c>
      <c r="J51" t="str">
        <f t="shared" si="23"/>
        <v>Manure management</v>
      </c>
      <c r="K51" t="str">
        <f t="shared" si="24"/>
        <v>CH4</v>
      </c>
      <c r="L51" s="22">
        <v>1.4E-3</v>
      </c>
      <c r="M51" t="s">
        <v>148</v>
      </c>
      <c r="N51" s="23">
        <f t="shared" si="2"/>
        <v>6.3126041036616574E-5</v>
      </c>
      <c r="P51" t="str">
        <f t="shared" si="25"/>
        <v>Manure management</v>
      </c>
      <c r="Q51" t="str">
        <f t="shared" si="26"/>
        <v>N2O</v>
      </c>
      <c r="R51" s="22">
        <v>16.014374999999998</v>
      </c>
      <c r="S51" t="s">
        <v>316</v>
      </c>
      <c r="T51" s="23">
        <f t="shared" si="3"/>
        <v>0.72208863816126168</v>
      </c>
    </row>
    <row r="52" spans="1:20" x14ac:dyDescent="0.25">
      <c r="A52" s="14" t="s">
        <v>205</v>
      </c>
      <c r="B52" t="str">
        <f t="shared" si="21"/>
        <v>Enteric fermentation</v>
      </c>
      <c r="C52" t="str">
        <f t="shared" si="22"/>
        <v>CH4</v>
      </c>
      <c r="D52" s="22">
        <v>6.88</v>
      </c>
      <c r="E52" t="s">
        <v>148</v>
      </c>
      <c r="F52" s="22">
        <v>726840</v>
      </c>
      <c r="G52" s="23">
        <f t="shared" si="27"/>
        <v>3.3817521983901734E-2</v>
      </c>
      <c r="H52" s="23">
        <f t="shared" si="18"/>
        <v>0.23266455124924393</v>
      </c>
      <c r="J52" t="str">
        <f t="shared" si="23"/>
        <v>Manure management</v>
      </c>
      <c r="K52" t="str">
        <f t="shared" si="24"/>
        <v>CH4</v>
      </c>
      <c r="L52" s="22">
        <v>1.8E-3</v>
      </c>
      <c r="M52" t="s">
        <v>148</v>
      </c>
      <c r="N52" s="23">
        <f t="shared" si="2"/>
        <v>6.0871539571023123E-5</v>
      </c>
      <c r="P52" t="str">
        <f t="shared" si="25"/>
        <v>Manure management</v>
      </c>
      <c r="Q52" t="str">
        <f t="shared" si="26"/>
        <v>N2O</v>
      </c>
      <c r="R52" s="22">
        <v>20.284875</v>
      </c>
      <c r="S52" t="s">
        <v>316</v>
      </c>
      <c r="T52" s="23">
        <f t="shared" si="3"/>
        <v>0.68598420625319867</v>
      </c>
    </row>
    <row r="53" spans="1:20" x14ac:dyDescent="0.25">
      <c r="A53" s="14" t="s">
        <v>206</v>
      </c>
      <c r="B53" t="str">
        <f t="shared" si="21"/>
        <v>Enteric fermentation</v>
      </c>
      <c r="C53" t="str">
        <f t="shared" si="22"/>
        <v>CH4</v>
      </c>
      <c r="D53" s="22">
        <v>9.8800000000000008</v>
      </c>
      <c r="E53" t="s">
        <v>148</v>
      </c>
      <c r="F53" s="22">
        <v>121140</v>
      </c>
      <c r="G53" s="23">
        <f t="shared" si="27"/>
        <v>5.6362536639836223E-3</v>
      </c>
      <c r="H53" s="23">
        <f t="shared" si="18"/>
        <v>5.5686186200158194E-2</v>
      </c>
      <c r="J53" t="str">
        <f t="shared" si="23"/>
        <v>Manure management</v>
      </c>
      <c r="K53" t="str">
        <f t="shared" si="24"/>
        <v>CH4</v>
      </c>
      <c r="L53" s="22">
        <v>2.7000000000000001E-3</v>
      </c>
      <c r="M53" t="s">
        <v>148</v>
      </c>
      <c r="N53" s="23">
        <f t="shared" si="2"/>
        <v>1.5217884892755781E-5</v>
      </c>
      <c r="P53" t="str">
        <f t="shared" si="25"/>
        <v>Manure management</v>
      </c>
      <c r="Q53" t="str">
        <f t="shared" si="26"/>
        <v>N2O</v>
      </c>
      <c r="R53" s="22">
        <v>29.167514999999998</v>
      </c>
      <c r="S53" t="s">
        <v>316</v>
      </c>
      <c r="T53" s="23">
        <f t="shared" si="3"/>
        <v>0.16439551328804725</v>
      </c>
    </row>
    <row r="54" spans="1:20" x14ac:dyDescent="0.25">
      <c r="A54" s="14" t="s">
        <v>207</v>
      </c>
      <c r="B54" t="str">
        <f t="shared" si="21"/>
        <v>Enteric fermentation</v>
      </c>
      <c r="C54" t="str">
        <f t="shared" si="22"/>
        <v>CH4</v>
      </c>
      <c r="D54" s="22">
        <v>10.4</v>
      </c>
      <c r="E54" t="s">
        <v>148</v>
      </c>
      <c r="F54" s="22">
        <v>1872000</v>
      </c>
      <c r="G54" s="23">
        <f t="shared" si="27"/>
        <v>8.7098124970920759E-2</v>
      </c>
      <c r="H54" s="23">
        <f t="shared" si="18"/>
        <v>0.90582049969757594</v>
      </c>
      <c r="J54" t="str">
        <f t="shared" si="23"/>
        <v>Manure management</v>
      </c>
      <c r="K54" t="str">
        <f t="shared" si="24"/>
        <v>CH4</v>
      </c>
      <c r="L54" s="22">
        <v>2.8999999999999998E-3</v>
      </c>
      <c r="M54" t="s">
        <v>148</v>
      </c>
      <c r="N54" s="23">
        <f t="shared" si="2"/>
        <v>2.5258456241567017E-4</v>
      </c>
      <c r="P54" t="str">
        <f t="shared" si="25"/>
        <v>Manure management</v>
      </c>
      <c r="Q54" t="str">
        <f t="shared" si="26"/>
        <v>N2O</v>
      </c>
      <c r="R54" s="22">
        <v>29.039400000000001</v>
      </c>
      <c r="S54" t="s">
        <v>316</v>
      </c>
      <c r="T54" s="23">
        <f t="shared" si="3"/>
        <v>2.5292772902805565</v>
      </c>
    </row>
    <row r="55" spans="1:20" x14ac:dyDescent="0.25">
      <c r="A55" s="14" t="s">
        <v>208</v>
      </c>
      <c r="B55" t="str">
        <f t="shared" si="21"/>
        <v>Enteric fermentation</v>
      </c>
      <c r="C55" t="str">
        <f t="shared" si="22"/>
        <v>CH4</v>
      </c>
      <c r="D55" s="22">
        <v>22.2</v>
      </c>
      <c r="E55" t="s">
        <v>148</v>
      </c>
      <c r="F55" s="22">
        <v>41600</v>
      </c>
      <c r="G55" s="23">
        <f t="shared" si="27"/>
        <v>1.9355138882426836E-3</v>
      </c>
      <c r="H55" s="23">
        <f t="shared" si="18"/>
        <v>4.2968408318987579E-2</v>
      </c>
      <c r="J55" t="str">
        <f t="shared" si="23"/>
        <v>Manure management</v>
      </c>
      <c r="K55" t="str">
        <f t="shared" si="24"/>
        <v>CH4</v>
      </c>
      <c r="L55" s="22">
        <v>6.4000000000000003E-3</v>
      </c>
      <c r="M55" t="s">
        <v>148</v>
      </c>
      <c r="N55" s="23">
        <f t="shared" si="2"/>
        <v>1.2387288884753176E-5</v>
      </c>
      <c r="P55" t="str">
        <f t="shared" si="25"/>
        <v>Manure management</v>
      </c>
      <c r="Q55" t="str">
        <f t="shared" si="26"/>
        <v>N2O</v>
      </c>
      <c r="R55" s="22">
        <v>58.932899999999997</v>
      </c>
      <c r="S55" t="s">
        <v>316</v>
      </c>
      <c r="T55" s="23">
        <f t="shared" si="3"/>
        <v>0.11406544642441724</v>
      </c>
    </row>
    <row r="56" spans="1:20" x14ac:dyDescent="0.25">
      <c r="A56" s="14" t="s">
        <v>209</v>
      </c>
      <c r="B56" t="str">
        <f t="shared" si="21"/>
        <v>Enteric fermentation</v>
      </c>
      <c r="C56" t="str">
        <f t="shared" si="22"/>
        <v>CH4</v>
      </c>
      <c r="D56" s="22">
        <v>3.62</v>
      </c>
      <c r="E56" t="s">
        <v>148</v>
      </c>
      <c r="F56" s="22">
        <v>998400</v>
      </c>
      <c r="G56" s="23">
        <f t="shared" si="27"/>
        <v>4.6452333317824411E-2</v>
      </c>
      <c r="H56" s="23">
        <f t="shared" si="18"/>
        <v>0.16815744661052437</v>
      </c>
      <c r="J56" t="str">
        <f t="shared" si="23"/>
        <v>Manure management</v>
      </c>
      <c r="K56" t="str">
        <f t="shared" si="24"/>
        <v>CH4</v>
      </c>
      <c r="L56" s="22">
        <v>1E-3</v>
      </c>
      <c r="M56" t="s">
        <v>148</v>
      </c>
      <c r="N56" s="23">
        <f t="shared" si="2"/>
        <v>4.6452333317824413E-5</v>
      </c>
      <c r="P56" t="str">
        <f t="shared" si="25"/>
        <v>Manure management</v>
      </c>
      <c r="Q56" t="str">
        <f t="shared" si="26"/>
        <v>N2O</v>
      </c>
      <c r="R56" s="22">
        <v>9.608625</v>
      </c>
      <c r="S56" t="s">
        <v>316</v>
      </c>
      <c r="T56" s="23">
        <f t="shared" si="3"/>
        <v>0.44634305122598056</v>
      </c>
    </row>
    <row r="57" spans="1:20" x14ac:dyDescent="0.25">
      <c r="A57" s="14" t="s">
        <v>210</v>
      </c>
      <c r="B57" t="str">
        <f t="shared" si="21"/>
        <v>Enteric fermentation</v>
      </c>
      <c r="C57" t="str">
        <f t="shared" si="22"/>
        <v>CH4</v>
      </c>
      <c r="D57" s="22">
        <v>4.7699999999999996</v>
      </c>
      <c r="E57" t="s">
        <v>148</v>
      </c>
      <c r="F57" s="22">
        <v>665600</v>
      </c>
      <c r="G57" s="23">
        <f t="shared" si="27"/>
        <v>3.0968222211882938E-2</v>
      </c>
      <c r="H57" s="23">
        <f t="shared" si="18"/>
        <v>0.14771841995068161</v>
      </c>
      <c r="J57" t="str">
        <f t="shared" si="23"/>
        <v>Manure management</v>
      </c>
      <c r="K57" t="str">
        <f t="shared" si="24"/>
        <v>CH4</v>
      </c>
      <c r="L57" s="22">
        <v>1.1999999999999999E-3</v>
      </c>
      <c r="M57" t="s">
        <v>148</v>
      </c>
      <c r="N57" s="23">
        <f t="shared" si="2"/>
        <v>3.7161866654259525E-5</v>
      </c>
      <c r="P57" t="str">
        <f t="shared" si="25"/>
        <v>Manure management</v>
      </c>
      <c r="Q57" t="str">
        <f t="shared" si="26"/>
        <v>N2O</v>
      </c>
      <c r="R57" s="22">
        <v>13.452074999999999</v>
      </c>
      <c r="S57" t="s">
        <v>316</v>
      </c>
      <c r="T57" s="23">
        <f t="shared" si="3"/>
        <v>0.41658684781091515</v>
      </c>
    </row>
    <row r="58" spans="1:20" x14ac:dyDescent="0.25">
      <c r="A58" s="14" t="s">
        <v>211</v>
      </c>
      <c r="B58" t="str">
        <f t="shared" si="21"/>
        <v>Enteric fermentation</v>
      </c>
      <c r="C58" t="str">
        <f t="shared" si="22"/>
        <v>CH4</v>
      </c>
      <c r="D58" s="22">
        <v>8.01</v>
      </c>
      <c r="E58" t="s">
        <v>148</v>
      </c>
      <c r="F58" s="22">
        <v>499200</v>
      </c>
      <c r="G58" s="23">
        <f t="shared" si="27"/>
        <v>2.3226166658912206E-2</v>
      </c>
      <c r="H58" s="23">
        <f t="shared" si="18"/>
        <v>0.18604159493788677</v>
      </c>
      <c r="J58" t="str">
        <f t="shared" si="23"/>
        <v>Manure management</v>
      </c>
      <c r="K58" t="str">
        <f t="shared" si="24"/>
        <v>CH4</v>
      </c>
      <c r="L58" s="22">
        <v>2.2000000000000001E-3</v>
      </c>
      <c r="M58" t="s">
        <v>148</v>
      </c>
      <c r="N58" s="23">
        <f t="shared" si="2"/>
        <v>5.1097566649606857E-5</v>
      </c>
      <c r="P58" t="str">
        <f t="shared" si="25"/>
        <v>Manure management</v>
      </c>
      <c r="Q58" t="str">
        <f t="shared" si="26"/>
        <v>N2O</v>
      </c>
      <c r="R58" s="22">
        <v>23.701274999999999</v>
      </c>
      <c r="S58" t="s">
        <v>316</v>
      </c>
      <c r="T58" s="23">
        <f t="shared" si="3"/>
        <v>0.55048976317870935</v>
      </c>
    </row>
    <row r="59" spans="1:20" x14ac:dyDescent="0.25">
      <c r="A59" s="14" t="s">
        <v>212</v>
      </c>
      <c r="B59" t="str">
        <f t="shared" si="21"/>
        <v>Enteric fermentation</v>
      </c>
      <c r="C59" t="str">
        <f t="shared" si="22"/>
        <v>CH4</v>
      </c>
      <c r="D59" s="22">
        <v>14.8</v>
      </c>
      <c r="E59" t="s">
        <v>148</v>
      </c>
      <c r="F59" s="22">
        <v>83200</v>
      </c>
      <c r="G59" s="23">
        <f t="shared" si="27"/>
        <v>3.8710277764853673E-3</v>
      </c>
      <c r="H59" s="23">
        <f t="shared" si="18"/>
        <v>5.7291211091983436E-2</v>
      </c>
      <c r="J59" t="str">
        <f t="shared" si="23"/>
        <v>Manure management</v>
      </c>
      <c r="K59" t="str">
        <f t="shared" si="24"/>
        <v>CH4</v>
      </c>
      <c r="L59" s="22">
        <v>4.1999999999999997E-3</v>
      </c>
      <c r="M59" t="s">
        <v>148</v>
      </c>
      <c r="N59" s="23">
        <f t="shared" si="2"/>
        <v>1.6258316661238541E-5</v>
      </c>
      <c r="P59" t="str">
        <f t="shared" si="25"/>
        <v>Manure management</v>
      </c>
      <c r="Q59" t="str">
        <f t="shared" si="26"/>
        <v>N2O</v>
      </c>
      <c r="R59" s="22">
        <v>41.979014999999997</v>
      </c>
      <c r="S59" t="s">
        <v>316</v>
      </c>
      <c r="T59" s="23">
        <f t="shared" si="3"/>
        <v>0.16250193309449587</v>
      </c>
    </row>
    <row r="60" spans="1:20" x14ac:dyDescent="0.25">
      <c r="A60" s="14" t="s">
        <v>213</v>
      </c>
      <c r="B60" t="str">
        <f t="shared" si="21"/>
        <v>Enteric fermentation</v>
      </c>
      <c r="C60" t="str">
        <f t="shared" si="22"/>
        <v>CH4</v>
      </c>
      <c r="D60" s="22">
        <v>5.27</v>
      </c>
      <c r="E60" t="s">
        <v>148</v>
      </c>
      <c r="F60" s="22">
        <v>1570.0475704490825</v>
      </c>
      <c r="G60" s="23">
        <f>F60/SUM($F$60:$F$83)</f>
        <v>5.2342623179639871E-4</v>
      </c>
      <c r="H60" s="23">
        <f t="shared" si="18"/>
        <v>2.758456241567021E-3</v>
      </c>
      <c r="J60" t="str">
        <f t="shared" si="23"/>
        <v>Manure management</v>
      </c>
      <c r="K60" t="str">
        <f t="shared" si="24"/>
        <v>CH4</v>
      </c>
      <c r="L60" s="22">
        <v>1.5E-3</v>
      </c>
      <c r="M60" t="s">
        <v>148</v>
      </c>
      <c r="N60" s="23">
        <f t="shared" si="2"/>
        <v>7.8513934769459805E-7</v>
      </c>
      <c r="P60" t="str">
        <f t="shared" si="25"/>
        <v>Manure management</v>
      </c>
      <c r="Q60" t="str">
        <f t="shared" si="26"/>
        <v>N2O</v>
      </c>
      <c r="R60" s="22">
        <v>16.398719999999997</v>
      </c>
      <c r="S60" t="s">
        <v>316</v>
      </c>
      <c r="T60" s="23">
        <f t="shared" si="3"/>
        <v>8.5835202158842383E-3</v>
      </c>
    </row>
    <row r="61" spans="1:20" x14ac:dyDescent="0.25">
      <c r="A61" s="14" t="s">
        <v>214</v>
      </c>
      <c r="B61" t="str">
        <f t="shared" si="21"/>
        <v>Enteric fermentation</v>
      </c>
      <c r="C61" t="str">
        <f t="shared" si="22"/>
        <v>CH4</v>
      </c>
      <c r="D61" s="22">
        <v>7.62</v>
      </c>
      <c r="E61" t="s">
        <v>148</v>
      </c>
      <c r="F61" s="22">
        <v>34.88994600997961</v>
      </c>
      <c r="G61" s="23">
        <f t="shared" ref="G61:G83" si="28">F61/SUM($F$60:$F$83)</f>
        <v>1.1631694039919973E-5</v>
      </c>
      <c r="H61" s="23">
        <f t="shared" si="18"/>
        <v>8.8633508584190187E-5</v>
      </c>
      <c r="J61" t="str">
        <f t="shared" si="23"/>
        <v>Manure management</v>
      </c>
      <c r="K61" t="str">
        <f t="shared" si="24"/>
        <v>CH4</v>
      </c>
      <c r="L61" s="22">
        <v>2.2000000000000001E-3</v>
      </c>
      <c r="M61" t="s">
        <v>148</v>
      </c>
      <c r="N61" s="23">
        <f t="shared" si="2"/>
        <v>2.5589726887823941E-8</v>
      </c>
      <c r="P61" t="str">
        <f t="shared" si="25"/>
        <v>Manure management</v>
      </c>
      <c r="Q61" t="str">
        <f t="shared" si="26"/>
        <v>N2O</v>
      </c>
      <c r="R61" s="22">
        <v>24.768900000000002</v>
      </c>
      <c r="S61" t="s">
        <v>316</v>
      </c>
      <c r="T61" s="23">
        <f t="shared" si="3"/>
        <v>2.8810426650537383E-4</v>
      </c>
    </row>
    <row r="62" spans="1:20" x14ac:dyDescent="0.25">
      <c r="A62" s="14" t="s">
        <v>215</v>
      </c>
      <c r="B62" t="str">
        <f t="shared" si="21"/>
        <v>Enteric fermentation</v>
      </c>
      <c r="C62" t="str">
        <f t="shared" si="22"/>
        <v>CH4</v>
      </c>
      <c r="D62" s="22">
        <v>2.76</v>
      </c>
      <c r="E62" t="s">
        <v>148</v>
      </c>
      <c r="F62" s="22">
        <v>837.35870423951064</v>
      </c>
      <c r="G62" s="23">
        <f t="shared" si="28"/>
        <v>2.7916065695807933E-4</v>
      </c>
      <c r="H62" s="23">
        <f t="shared" si="18"/>
        <v>7.7048341320429888E-4</v>
      </c>
      <c r="J62" t="str">
        <f t="shared" si="23"/>
        <v>Manure management</v>
      </c>
      <c r="K62" t="str">
        <f t="shared" si="24"/>
        <v>CH4</v>
      </c>
      <c r="L62" s="22">
        <v>6.9999999999999999E-4</v>
      </c>
      <c r="M62" t="s">
        <v>148</v>
      </c>
      <c r="N62" s="23">
        <f t="shared" si="2"/>
        <v>1.9541245987065553E-7</v>
      </c>
      <c r="P62" t="str">
        <f t="shared" si="25"/>
        <v>Manure management</v>
      </c>
      <c r="Q62" t="str">
        <f t="shared" si="26"/>
        <v>N2O</v>
      </c>
      <c r="R62" s="22">
        <v>7.6868999999999996</v>
      </c>
      <c r="S62" t="s">
        <v>316</v>
      </c>
      <c r="T62" s="23">
        <f t="shared" si="3"/>
        <v>2.14588005397106E-3</v>
      </c>
    </row>
    <row r="63" spans="1:20" x14ac:dyDescent="0.25">
      <c r="A63" s="14" t="s">
        <v>216</v>
      </c>
      <c r="B63" t="str">
        <f t="shared" si="21"/>
        <v>Enteric fermentation</v>
      </c>
      <c r="C63" t="str">
        <f t="shared" si="22"/>
        <v>CH4</v>
      </c>
      <c r="D63" s="22">
        <v>3.76</v>
      </c>
      <c r="E63" t="s">
        <v>148</v>
      </c>
      <c r="F63" s="22">
        <v>558.23913615967376</v>
      </c>
      <c r="G63" s="23">
        <f t="shared" si="28"/>
        <v>1.8610710463871956E-4</v>
      </c>
      <c r="H63" s="23">
        <f t="shared" si="18"/>
        <v>6.9976271344158547E-4</v>
      </c>
      <c r="J63" t="str">
        <f t="shared" si="23"/>
        <v>Manure management</v>
      </c>
      <c r="K63" t="str">
        <f t="shared" si="24"/>
        <v>CH4</v>
      </c>
      <c r="L63" s="22">
        <v>1E-3</v>
      </c>
      <c r="M63" t="s">
        <v>148</v>
      </c>
      <c r="N63" s="23">
        <f t="shared" si="2"/>
        <v>1.8610710463871956E-7</v>
      </c>
      <c r="P63" t="str">
        <f t="shared" si="25"/>
        <v>Manure management</v>
      </c>
      <c r="Q63" t="str">
        <f t="shared" si="26"/>
        <v>N2O</v>
      </c>
      <c r="R63" s="22">
        <v>11.444940000000001</v>
      </c>
      <c r="S63" t="s">
        <v>316</v>
      </c>
      <c r="T63" s="23">
        <f t="shared" si="3"/>
        <v>2.1299846461638673E-3</v>
      </c>
    </row>
    <row r="64" spans="1:20" x14ac:dyDescent="0.25">
      <c r="A64" s="14" t="s">
        <v>217</v>
      </c>
      <c r="B64" t="str">
        <f t="shared" si="21"/>
        <v>Enteric fermentation</v>
      </c>
      <c r="C64" t="str">
        <f t="shared" si="22"/>
        <v>CH4</v>
      </c>
      <c r="D64" s="22">
        <v>4.4000000000000004</v>
      </c>
      <c r="E64" t="s">
        <v>148</v>
      </c>
      <c r="F64" s="22">
        <v>418.67935211975532</v>
      </c>
      <c r="G64" s="23">
        <f t="shared" si="28"/>
        <v>1.3958032847903967E-4</v>
      </c>
      <c r="H64" s="23">
        <f t="shared" si="18"/>
        <v>6.1415344530777458E-4</v>
      </c>
      <c r="J64" t="str">
        <f t="shared" si="23"/>
        <v>Manure management</v>
      </c>
      <c r="K64" t="str">
        <f t="shared" si="24"/>
        <v>CH4</v>
      </c>
      <c r="L64" s="22">
        <v>1.1999999999999999E-3</v>
      </c>
      <c r="M64" t="s">
        <v>148</v>
      </c>
      <c r="N64" s="23">
        <f t="shared" si="2"/>
        <v>1.6749639417484759E-7</v>
      </c>
      <c r="P64" t="str">
        <f t="shared" si="25"/>
        <v>Manure management</v>
      </c>
      <c r="Q64" t="str">
        <f t="shared" si="26"/>
        <v>N2O</v>
      </c>
      <c r="R64" s="22">
        <v>13.836419999999999</v>
      </c>
      <c r="S64" t="s">
        <v>316</v>
      </c>
      <c r="T64" s="23">
        <f t="shared" si="3"/>
        <v>1.9312920485739537E-3</v>
      </c>
    </row>
    <row r="65" spans="1:20" x14ac:dyDescent="0.25">
      <c r="A65" s="14" t="s">
        <v>218</v>
      </c>
      <c r="B65" t="str">
        <f t="shared" si="21"/>
        <v>Enteric fermentation</v>
      </c>
      <c r="C65" t="str">
        <f t="shared" si="22"/>
        <v>CH4</v>
      </c>
      <c r="D65" s="22">
        <v>5.6</v>
      </c>
      <c r="E65" t="s">
        <v>148</v>
      </c>
      <c r="F65" s="22">
        <v>69.77989201995922</v>
      </c>
      <c r="G65" s="23">
        <f t="shared" si="28"/>
        <v>2.3263388079839945E-5</v>
      </c>
      <c r="H65" s="23">
        <f t="shared" si="18"/>
        <v>1.302749732471037E-4</v>
      </c>
      <c r="J65" t="str">
        <f t="shared" si="23"/>
        <v>Manure management</v>
      </c>
      <c r="K65" t="str">
        <f t="shared" si="24"/>
        <v>CH4</v>
      </c>
      <c r="L65" s="22">
        <v>1.6000000000000001E-3</v>
      </c>
      <c r="M65" t="s">
        <v>148</v>
      </c>
      <c r="N65" s="23">
        <f t="shared" si="2"/>
        <v>3.7221420927743912E-8</v>
      </c>
      <c r="P65" t="str">
        <f t="shared" si="25"/>
        <v>Manure management</v>
      </c>
      <c r="Q65" t="str">
        <f t="shared" si="26"/>
        <v>N2O</v>
      </c>
      <c r="R65" s="22">
        <v>18.106919999999999</v>
      </c>
      <c r="S65" t="s">
        <v>316</v>
      </c>
      <c r="T65" s="23">
        <f t="shared" si="3"/>
        <v>4.2122830689061546E-4</v>
      </c>
    </row>
    <row r="66" spans="1:20" x14ac:dyDescent="0.25">
      <c r="A66" s="14" t="s">
        <v>219</v>
      </c>
      <c r="B66" t="str">
        <f t="shared" si="21"/>
        <v>Enteric fermentation</v>
      </c>
      <c r="C66" t="str">
        <f t="shared" si="22"/>
        <v>CH4</v>
      </c>
      <c r="D66" s="22">
        <v>5.79</v>
      </c>
      <c r="E66" t="s">
        <v>148</v>
      </c>
      <c r="F66" s="22">
        <v>706584.20860490517</v>
      </c>
      <c r="G66" s="23">
        <f t="shared" si="28"/>
        <v>0.23556274135765132</v>
      </c>
      <c r="H66" s="23">
        <f t="shared" si="18"/>
        <v>1.3639082724608012</v>
      </c>
      <c r="J66" t="str">
        <f t="shared" si="23"/>
        <v>Manure management</v>
      </c>
      <c r="K66" t="str">
        <f t="shared" si="24"/>
        <v>CH4</v>
      </c>
      <c r="L66" s="22">
        <v>1.6999999999999999E-3</v>
      </c>
      <c r="M66" t="s">
        <v>148</v>
      </c>
      <c r="N66" s="23">
        <f t="shared" si="2"/>
        <v>4.0045666030800721E-4</v>
      </c>
      <c r="P66" t="str">
        <f t="shared" si="25"/>
        <v>Manure management</v>
      </c>
      <c r="Q66" t="str">
        <f t="shared" si="26"/>
        <v>N2O</v>
      </c>
      <c r="R66" s="22">
        <v>17.978804999999998</v>
      </c>
      <c r="S66" t="s">
        <v>316</v>
      </c>
      <c r="T66" s="23">
        <f t="shared" si="3"/>
        <v>4.2351365921346478</v>
      </c>
    </row>
    <row r="67" spans="1:20" x14ac:dyDescent="0.25">
      <c r="A67" s="14" t="s">
        <v>220</v>
      </c>
      <c r="B67" t="str">
        <f t="shared" si="21"/>
        <v>Enteric fermentation</v>
      </c>
      <c r="C67" t="str">
        <f t="shared" si="22"/>
        <v>CH4</v>
      </c>
      <c r="D67" s="22">
        <v>10.5</v>
      </c>
      <c r="E67" t="s">
        <v>148</v>
      </c>
      <c r="F67" s="22">
        <v>15701.871302331225</v>
      </c>
      <c r="G67" s="23">
        <f t="shared" si="28"/>
        <v>5.234727585725585E-3</v>
      </c>
      <c r="H67" s="23">
        <f t="shared" si="18"/>
        <v>5.4964639650118642E-2</v>
      </c>
      <c r="J67" t="str">
        <f t="shared" si="23"/>
        <v>Manure management</v>
      </c>
      <c r="K67" t="str">
        <f t="shared" si="24"/>
        <v>CH4</v>
      </c>
      <c r="L67" s="22">
        <v>3.2000000000000002E-3</v>
      </c>
      <c r="M67" t="s">
        <v>148</v>
      </c>
      <c r="N67" s="23">
        <f t="shared" si="2"/>
        <v>1.6751128274321872E-5</v>
      </c>
      <c r="P67" t="str">
        <f t="shared" si="25"/>
        <v>Manure management</v>
      </c>
      <c r="Q67" t="str">
        <f t="shared" si="26"/>
        <v>N2O</v>
      </c>
      <c r="R67" s="22">
        <v>33.309899999999999</v>
      </c>
      <c r="S67" t="s">
        <v>316</v>
      </c>
      <c r="T67" s="23">
        <f t="shared" si="3"/>
        <v>0.17436825240776066</v>
      </c>
    </row>
    <row r="68" spans="1:20" x14ac:dyDescent="0.25">
      <c r="A68" s="14" t="s">
        <v>221</v>
      </c>
      <c r="B68" t="str">
        <f t="shared" si="21"/>
        <v>Enteric fermentation</v>
      </c>
      <c r="C68" t="str">
        <f t="shared" si="22"/>
        <v>CH4</v>
      </c>
      <c r="D68" s="22">
        <v>2.76</v>
      </c>
      <c r="E68" t="s">
        <v>148</v>
      </c>
      <c r="F68" s="22">
        <v>376844.91125594941</v>
      </c>
      <c r="G68" s="23">
        <f t="shared" si="28"/>
        <v>0.12563346205741405</v>
      </c>
      <c r="H68" s="23">
        <f t="shared" si="18"/>
        <v>0.34674835527846276</v>
      </c>
      <c r="J68" t="str">
        <f t="shared" si="23"/>
        <v>Manure management</v>
      </c>
      <c r="K68" t="str">
        <f t="shared" si="24"/>
        <v>CH4</v>
      </c>
      <c r="L68" s="22">
        <v>6.9999999999999999E-4</v>
      </c>
      <c r="M68" t="s">
        <v>148</v>
      </c>
      <c r="N68" s="23">
        <f t="shared" si="2"/>
        <v>8.7943423440189835E-5</v>
      </c>
      <c r="P68" t="str">
        <f t="shared" si="25"/>
        <v>Manure management</v>
      </c>
      <c r="Q68" t="str">
        <f t="shared" si="26"/>
        <v>N2O</v>
      </c>
      <c r="R68" s="22">
        <v>7.6868999999999996</v>
      </c>
      <c r="S68" t="s">
        <v>316</v>
      </c>
      <c r="T68" s="23">
        <f t="shared" si="3"/>
        <v>0.96573185948913598</v>
      </c>
    </row>
    <row r="69" spans="1:20" x14ac:dyDescent="0.25">
      <c r="A69" s="14" t="s">
        <v>222</v>
      </c>
      <c r="B69" t="str">
        <f t="shared" si="21"/>
        <v>Enteric fermentation</v>
      </c>
      <c r="C69" t="str">
        <f t="shared" si="22"/>
        <v>CH4</v>
      </c>
      <c r="D69" s="22">
        <v>4.12</v>
      </c>
      <c r="E69" t="s">
        <v>148</v>
      </c>
      <c r="F69" s="22">
        <v>251229.9408372996</v>
      </c>
      <c r="G69" s="23">
        <f t="shared" si="28"/>
        <v>8.375564137160936E-2</v>
      </c>
      <c r="H69" s="23">
        <f t="shared" si="18"/>
        <v>0.34507324245103055</v>
      </c>
      <c r="J69" t="str">
        <f t="shared" si="23"/>
        <v>Manure management</v>
      </c>
      <c r="K69" t="str">
        <f t="shared" si="24"/>
        <v>CH4</v>
      </c>
      <c r="L69" s="22">
        <v>1.1000000000000001E-3</v>
      </c>
      <c r="M69" t="s">
        <v>148</v>
      </c>
      <c r="N69" s="23">
        <f t="shared" si="2"/>
        <v>9.2131205508770296E-5</v>
      </c>
      <c r="P69" t="str">
        <f t="shared" si="25"/>
        <v>Manure management</v>
      </c>
      <c r="Q69" t="str">
        <f t="shared" si="26"/>
        <v>N2O</v>
      </c>
      <c r="R69" s="22">
        <v>12.811500000000001</v>
      </c>
      <c r="S69" t="s">
        <v>316</v>
      </c>
      <c r="T69" s="23">
        <f t="shared" si="3"/>
        <v>1.0730353994323734</v>
      </c>
    </row>
    <row r="70" spans="1:20" x14ac:dyDescent="0.25">
      <c r="A70" s="14" t="s">
        <v>223</v>
      </c>
      <c r="B70" t="str">
        <f t="shared" si="21"/>
        <v>Enteric fermentation</v>
      </c>
      <c r="C70" t="str">
        <f t="shared" si="22"/>
        <v>CH4</v>
      </c>
      <c r="D70" s="22">
        <v>4.59</v>
      </c>
      <c r="E70" t="s">
        <v>148</v>
      </c>
      <c r="F70" s="22">
        <v>188422.4556279747</v>
      </c>
      <c r="G70" s="23">
        <f t="shared" si="28"/>
        <v>6.2816731028707024E-2</v>
      </c>
      <c r="H70" s="23">
        <f t="shared" si="18"/>
        <v>0.2883287954217652</v>
      </c>
      <c r="J70" t="str">
        <f t="shared" si="23"/>
        <v>Manure management</v>
      </c>
      <c r="K70" t="str">
        <f t="shared" si="24"/>
        <v>CH4</v>
      </c>
      <c r="L70" s="22">
        <v>1.2999999999999999E-3</v>
      </c>
      <c r="M70" t="s">
        <v>148</v>
      </c>
      <c r="N70" s="23">
        <f t="shared" ref="N70:N108" si="29">L70*G70</f>
        <v>8.1661750337319122E-5</v>
      </c>
      <c r="P70" t="str">
        <f t="shared" si="25"/>
        <v>Manure management</v>
      </c>
      <c r="Q70" t="str">
        <f t="shared" si="26"/>
        <v>N2O</v>
      </c>
      <c r="R70" s="22">
        <v>14.5197</v>
      </c>
      <c r="S70" t="s">
        <v>316</v>
      </c>
      <c r="T70" s="23">
        <f t="shared" ref="T70:T83" si="30">R70*G70</f>
        <v>0.9120800895175174</v>
      </c>
    </row>
    <row r="71" spans="1:20" x14ac:dyDescent="0.25">
      <c r="A71" s="14" t="s">
        <v>224</v>
      </c>
      <c r="B71" t="str">
        <f t="shared" si="21"/>
        <v>Enteric fermentation</v>
      </c>
      <c r="C71" t="str">
        <f t="shared" si="22"/>
        <v>CH4</v>
      </c>
      <c r="D71" s="22">
        <v>8.25</v>
      </c>
      <c r="E71" t="s">
        <v>148</v>
      </c>
      <c r="F71" s="22">
        <v>31403.74260466245</v>
      </c>
      <c r="G71" s="23">
        <f t="shared" si="28"/>
        <v>1.046945517145117E-2</v>
      </c>
      <c r="H71" s="23">
        <f t="shared" si="18"/>
        <v>8.6373005164472147E-2</v>
      </c>
      <c r="J71" t="str">
        <f t="shared" si="23"/>
        <v>Manure management</v>
      </c>
      <c r="K71" t="str">
        <f t="shared" si="24"/>
        <v>CH4</v>
      </c>
      <c r="L71" s="22">
        <v>2.5000000000000001E-3</v>
      </c>
      <c r="M71" t="s">
        <v>148</v>
      </c>
      <c r="N71" s="23">
        <f t="shared" si="29"/>
        <v>2.6173637928627927E-5</v>
      </c>
      <c r="P71" t="str">
        <f t="shared" si="25"/>
        <v>Manure management</v>
      </c>
      <c r="Q71" t="str">
        <f t="shared" si="26"/>
        <v>N2O</v>
      </c>
      <c r="R71" s="22">
        <v>26.733330000000002</v>
      </c>
      <c r="S71" t="s">
        <v>316</v>
      </c>
      <c r="T71" s="23">
        <f t="shared" si="30"/>
        <v>0.27988340001861073</v>
      </c>
    </row>
    <row r="72" spans="1:20" x14ac:dyDescent="0.25">
      <c r="A72" s="14" t="s">
        <v>225</v>
      </c>
      <c r="B72" t="str">
        <f t="shared" si="21"/>
        <v>Enteric fermentation</v>
      </c>
      <c r="C72" t="str">
        <f t="shared" si="22"/>
        <v>CH4</v>
      </c>
      <c r="D72" s="22">
        <v>6.83</v>
      </c>
      <c r="E72" t="s">
        <v>148</v>
      </c>
      <c r="F72" s="22">
        <v>380391.12536840374</v>
      </c>
      <c r="G72" s="23">
        <f t="shared" si="28"/>
        <v>0.1268157074396315</v>
      </c>
      <c r="H72" s="23">
        <f t="shared" si="18"/>
        <v>0.86615128181268308</v>
      </c>
      <c r="J72" t="str">
        <f t="shared" si="23"/>
        <v>Manure management</v>
      </c>
      <c r="K72" t="str">
        <f t="shared" si="24"/>
        <v>CH4</v>
      </c>
      <c r="L72" s="22">
        <v>2E-3</v>
      </c>
      <c r="M72" t="s">
        <v>148</v>
      </c>
      <c r="N72" s="23">
        <f t="shared" si="29"/>
        <v>2.5363141487926298E-4</v>
      </c>
      <c r="P72" t="str">
        <f t="shared" si="25"/>
        <v>Manure management</v>
      </c>
      <c r="Q72" t="str">
        <f t="shared" si="26"/>
        <v>N2O</v>
      </c>
      <c r="R72" s="22">
        <v>21.480614999999997</v>
      </c>
      <c r="S72" t="s">
        <v>316</v>
      </c>
      <c r="T72" s="23">
        <f t="shared" si="30"/>
        <v>2.7240793874633593</v>
      </c>
    </row>
    <row r="73" spans="1:20" x14ac:dyDescent="0.25">
      <c r="A73" s="14" t="s">
        <v>226</v>
      </c>
      <c r="B73" t="str">
        <f t="shared" si="21"/>
        <v>Enteric fermentation</v>
      </c>
      <c r="C73" t="str">
        <f t="shared" si="22"/>
        <v>CH4</v>
      </c>
      <c r="D73" s="22">
        <v>10.5</v>
      </c>
      <c r="E73" t="s">
        <v>148</v>
      </c>
      <c r="F73" s="22">
        <v>8453.1361192978602</v>
      </c>
      <c r="G73" s="23">
        <f t="shared" si="28"/>
        <v>2.8181268319918107E-3</v>
      </c>
      <c r="H73" s="23">
        <f t="shared" si="18"/>
        <v>2.9590331735914011E-2</v>
      </c>
      <c r="J73" t="str">
        <f t="shared" si="23"/>
        <v>Manure management</v>
      </c>
      <c r="K73" t="str">
        <f t="shared" si="24"/>
        <v>CH4</v>
      </c>
      <c r="L73" s="22">
        <v>3.2000000000000002E-3</v>
      </c>
      <c r="M73" t="s">
        <v>148</v>
      </c>
      <c r="N73" s="23">
        <f t="shared" si="29"/>
        <v>9.0180058623737941E-6</v>
      </c>
      <c r="P73" t="str">
        <f t="shared" si="25"/>
        <v>Manure management</v>
      </c>
      <c r="Q73" t="str">
        <f t="shared" si="26"/>
        <v>N2O</v>
      </c>
      <c r="R73" s="22">
        <v>33.352604999999997</v>
      </c>
      <c r="S73" t="s">
        <v>316</v>
      </c>
      <c r="T73" s="23">
        <f t="shared" si="30"/>
        <v>9.399187106732422E-2</v>
      </c>
    </row>
    <row r="74" spans="1:20" x14ac:dyDescent="0.25">
      <c r="A74" s="14" t="s">
        <v>227</v>
      </c>
      <c r="B74" t="str">
        <f t="shared" si="21"/>
        <v>Enteric fermentation</v>
      </c>
      <c r="C74" t="str">
        <f t="shared" si="22"/>
        <v>CH4</v>
      </c>
      <c r="D74" s="22">
        <v>2.76</v>
      </c>
      <c r="E74" t="s">
        <v>148</v>
      </c>
      <c r="F74" s="22">
        <v>202875.26686314863</v>
      </c>
      <c r="G74" s="23">
        <f t="shared" si="28"/>
        <v>6.7635043967803454E-2</v>
      </c>
      <c r="H74" s="23">
        <f t="shared" si="18"/>
        <v>0.18667272135113752</v>
      </c>
      <c r="J74" t="str">
        <f t="shared" si="23"/>
        <v>Manure management</v>
      </c>
      <c r="K74" t="str">
        <f t="shared" si="24"/>
        <v>CH4</v>
      </c>
      <c r="L74" s="22">
        <v>6.9999999999999999E-4</v>
      </c>
      <c r="M74" t="s">
        <v>148</v>
      </c>
      <c r="N74" s="23">
        <f t="shared" si="29"/>
        <v>4.734453077746242E-5</v>
      </c>
      <c r="P74" t="str">
        <f t="shared" si="25"/>
        <v>Manure management</v>
      </c>
      <c r="Q74" t="str">
        <f t="shared" si="26"/>
        <v>N2O</v>
      </c>
      <c r="R74" s="22">
        <v>7.6868999999999996</v>
      </c>
      <c r="S74" t="s">
        <v>316</v>
      </c>
      <c r="T74" s="23">
        <f t="shared" si="30"/>
        <v>0.51990381947610831</v>
      </c>
    </row>
    <row r="75" spans="1:20" x14ac:dyDescent="0.25">
      <c r="A75" s="14" t="s">
        <v>228</v>
      </c>
      <c r="B75" t="str">
        <f t="shared" si="21"/>
        <v>Enteric fermentation</v>
      </c>
      <c r="C75" t="str">
        <f t="shared" si="22"/>
        <v>CH4</v>
      </c>
      <c r="D75" s="22">
        <v>4.12</v>
      </c>
      <c r="E75" t="s">
        <v>148</v>
      </c>
      <c r="F75" s="22">
        <v>135250.17790876576</v>
      </c>
      <c r="G75" s="23">
        <f t="shared" si="28"/>
        <v>4.5090029311868972E-2</v>
      </c>
      <c r="H75" s="23">
        <f t="shared" si="18"/>
        <v>0.18577092076490018</v>
      </c>
      <c r="J75" t="str">
        <f t="shared" si="23"/>
        <v>Manure management</v>
      </c>
      <c r="K75" t="str">
        <f t="shared" si="24"/>
        <v>CH4</v>
      </c>
      <c r="L75" s="22">
        <v>1.1000000000000001E-3</v>
      </c>
      <c r="M75" t="s">
        <v>148</v>
      </c>
      <c r="N75" s="23">
        <f t="shared" si="29"/>
        <v>4.9599032243055872E-5</v>
      </c>
      <c r="P75" t="str">
        <f t="shared" si="25"/>
        <v>Manure management</v>
      </c>
      <c r="Q75" t="str">
        <f t="shared" si="26"/>
        <v>N2O</v>
      </c>
      <c r="R75" s="22">
        <v>12.811500000000001</v>
      </c>
      <c r="S75" t="s">
        <v>316</v>
      </c>
      <c r="T75" s="23">
        <f t="shared" si="30"/>
        <v>0.57767091052900932</v>
      </c>
    </row>
    <row r="76" spans="1:20" x14ac:dyDescent="0.25">
      <c r="A76" s="14" t="s">
        <v>229</v>
      </c>
      <c r="B76" t="str">
        <f t="shared" si="21"/>
        <v>Enteric fermentation</v>
      </c>
      <c r="C76" t="str">
        <f t="shared" si="22"/>
        <v>CH4</v>
      </c>
      <c r="D76" s="22">
        <v>5.07</v>
      </c>
      <c r="E76" t="s">
        <v>148</v>
      </c>
      <c r="F76" s="22">
        <v>101437.63343157432</v>
      </c>
      <c r="G76" s="23">
        <f t="shared" si="28"/>
        <v>3.3817521983901727E-2</v>
      </c>
      <c r="H76" s="23">
        <f t="shared" si="18"/>
        <v>0.17145483645838178</v>
      </c>
      <c r="J76" t="str">
        <f t="shared" si="23"/>
        <v>Manure management</v>
      </c>
      <c r="K76" t="str">
        <f t="shared" si="24"/>
        <v>CH4</v>
      </c>
      <c r="L76" s="22">
        <v>1.4E-3</v>
      </c>
      <c r="M76" t="s">
        <v>148</v>
      </c>
      <c r="N76" s="23">
        <f t="shared" si="29"/>
        <v>4.734453077746242E-5</v>
      </c>
      <c r="P76" t="str">
        <f t="shared" si="25"/>
        <v>Manure management</v>
      </c>
      <c r="Q76" t="str">
        <f t="shared" si="26"/>
        <v>N2O</v>
      </c>
      <c r="R76" s="22">
        <v>16.227899999999998</v>
      </c>
      <c r="S76" t="s">
        <v>316</v>
      </c>
      <c r="T76" s="23">
        <f t="shared" si="30"/>
        <v>0.54878736500255876</v>
      </c>
    </row>
    <row r="77" spans="1:20" x14ac:dyDescent="0.25">
      <c r="A77" s="14" t="s">
        <v>230</v>
      </c>
      <c r="B77" t="str">
        <f t="shared" si="21"/>
        <v>Enteric fermentation</v>
      </c>
      <c r="C77" t="str">
        <f t="shared" si="22"/>
        <v>CH4</v>
      </c>
      <c r="D77" s="22">
        <v>6.94</v>
      </c>
      <c r="E77" t="s">
        <v>148</v>
      </c>
      <c r="F77" s="22">
        <v>16906.27223859572</v>
      </c>
      <c r="G77" s="23">
        <f t="shared" si="28"/>
        <v>5.6362536639836215E-3</v>
      </c>
      <c r="H77" s="23">
        <f t="shared" ref="H77:H108" si="31">D77*G77</f>
        <v>3.9115600428046335E-2</v>
      </c>
      <c r="J77" t="str">
        <f t="shared" si="23"/>
        <v>Manure management</v>
      </c>
      <c r="K77" t="str">
        <f t="shared" si="24"/>
        <v>CH4</v>
      </c>
      <c r="L77" s="22">
        <v>2.0999999999999999E-3</v>
      </c>
      <c r="M77" t="s">
        <v>148</v>
      </c>
      <c r="N77" s="23">
        <f t="shared" si="29"/>
        <v>1.1836132694365605E-5</v>
      </c>
      <c r="P77" t="str">
        <f t="shared" si="25"/>
        <v>Manure management</v>
      </c>
      <c r="Q77" t="str">
        <f t="shared" si="26"/>
        <v>N2O</v>
      </c>
      <c r="R77" s="22">
        <v>23.188814999999998</v>
      </c>
      <c r="S77" t="s">
        <v>316</v>
      </c>
      <c r="T77" s="23">
        <f t="shared" si="30"/>
        <v>0.13069804350718836</v>
      </c>
    </row>
    <row r="78" spans="1:20" x14ac:dyDescent="0.25">
      <c r="A78" s="14" t="s">
        <v>231</v>
      </c>
      <c r="B78" t="str">
        <f t="shared" si="21"/>
        <v>Enteric fermentation</v>
      </c>
      <c r="C78" t="str">
        <f t="shared" si="22"/>
        <v>CH4</v>
      </c>
      <c r="D78" s="22">
        <v>7.4</v>
      </c>
      <c r="E78" t="s">
        <v>148</v>
      </c>
      <c r="F78" s="22">
        <v>261255.91572272734</v>
      </c>
      <c r="G78" s="23">
        <f t="shared" si="28"/>
        <v>8.7098124970920759E-2</v>
      </c>
      <c r="H78" s="23">
        <f t="shared" si="31"/>
        <v>0.64452612478481364</v>
      </c>
      <c r="J78" t="str">
        <f t="shared" si="23"/>
        <v>Manure management</v>
      </c>
      <c r="K78" t="str">
        <f t="shared" si="24"/>
        <v>CH4</v>
      </c>
      <c r="L78" s="22">
        <v>2.2000000000000001E-3</v>
      </c>
      <c r="M78" t="s">
        <v>148</v>
      </c>
      <c r="N78" s="23">
        <f t="shared" si="29"/>
        <v>1.9161587493602569E-4</v>
      </c>
      <c r="P78" t="str">
        <f t="shared" si="25"/>
        <v>Manure management</v>
      </c>
      <c r="Q78" t="str">
        <f t="shared" si="26"/>
        <v>N2O</v>
      </c>
      <c r="R78" s="22">
        <v>23.274225000000001</v>
      </c>
      <c r="S78" t="s">
        <v>316</v>
      </c>
      <c r="T78" s="23">
        <f t="shared" si="30"/>
        <v>2.0271413576513284</v>
      </c>
    </row>
    <row r="79" spans="1:20" x14ac:dyDescent="0.25">
      <c r="A79" s="14" t="s">
        <v>232</v>
      </c>
      <c r="B79" t="str">
        <f t="shared" si="21"/>
        <v>Enteric fermentation</v>
      </c>
      <c r="C79" t="str">
        <f t="shared" si="22"/>
        <v>CH4</v>
      </c>
      <c r="D79" s="22">
        <v>15</v>
      </c>
      <c r="E79" t="s">
        <v>148</v>
      </c>
      <c r="F79" s="22">
        <v>5805.6870160606077</v>
      </c>
      <c r="G79" s="23">
        <f t="shared" si="28"/>
        <v>1.9355138882426836E-3</v>
      </c>
      <c r="H79" s="23">
        <f t="shared" si="31"/>
        <v>2.9032708323640254E-2</v>
      </c>
      <c r="J79" t="str">
        <f t="shared" si="23"/>
        <v>Manure management</v>
      </c>
      <c r="K79" t="str">
        <f t="shared" si="24"/>
        <v>CH4</v>
      </c>
      <c r="L79" s="22">
        <v>5.0000000000000001E-3</v>
      </c>
      <c r="M79" t="s">
        <v>148</v>
      </c>
      <c r="N79" s="23">
        <f t="shared" si="29"/>
        <v>9.6775694412134183E-6</v>
      </c>
      <c r="P79" t="str">
        <f t="shared" si="25"/>
        <v>Manure management</v>
      </c>
      <c r="Q79" t="str">
        <f t="shared" si="26"/>
        <v>N2O</v>
      </c>
      <c r="R79" s="22">
        <v>46.97549999999999</v>
      </c>
      <c r="S79" t="s">
        <v>316</v>
      </c>
      <c r="T79" s="23">
        <f t="shared" si="30"/>
        <v>9.0921732657144164E-2</v>
      </c>
    </row>
    <row r="80" spans="1:20" x14ac:dyDescent="0.25">
      <c r="A80" s="14" t="s">
        <v>233</v>
      </c>
      <c r="B80" t="str">
        <f t="shared" si="21"/>
        <v>Enteric fermentation</v>
      </c>
      <c r="C80" t="str">
        <f t="shared" si="22"/>
        <v>CH4</v>
      </c>
      <c r="D80" s="22">
        <v>2.76</v>
      </c>
      <c r="E80" t="s">
        <v>148</v>
      </c>
      <c r="F80" s="22">
        <v>139336.48838545458</v>
      </c>
      <c r="G80" s="23">
        <f t="shared" si="28"/>
        <v>4.6452333317824404E-2</v>
      </c>
      <c r="H80" s="23">
        <f t="shared" si="31"/>
        <v>0.12820843995719536</v>
      </c>
      <c r="J80" t="str">
        <f t="shared" si="23"/>
        <v>Manure management</v>
      </c>
      <c r="K80" t="str">
        <f t="shared" si="24"/>
        <v>CH4</v>
      </c>
      <c r="L80" s="22">
        <v>6.9999999999999999E-4</v>
      </c>
      <c r="M80" t="s">
        <v>148</v>
      </c>
      <c r="N80" s="23">
        <f t="shared" si="29"/>
        <v>3.2516633322477081E-5</v>
      </c>
      <c r="P80" t="str">
        <f t="shared" si="25"/>
        <v>Manure management</v>
      </c>
      <c r="Q80" t="str">
        <f t="shared" si="26"/>
        <v>N2O</v>
      </c>
      <c r="R80" s="22">
        <v>7.6868999999999996</v>
      </c>
      <c r="S80" t="s">
        <v>316</v>
      </c>
      <c r="T80" s="23">
        <f t="shared" si="30"/>
        <v>0.35707444098078439</v>
      </c>
    </row>
    <row r="81" spans="1:20" x14ac:dyDescent="0.25">
      <c r="A81" s="14" t="s">
        <v>234</v>
      </c>
      <c r="B81" t="str">
        <f t="shared" si="21"/>
        <v>Enteric fermentation</v>
      </c>
      <c r="C81" t="str">
        <f t="shared" si="22"/>
        <v>CH4</v>
      </c>
      <c r="D81" s="22">
        <v>3.55</v>
      </c>
      <c r="E81" t="s">
        <v>148</v>
      </c>
      <c r="F81" s="22">
        <v>92890.992256969723</v>
      </c>
      <c r="G81" s="23">
        <f t="shared" si="28"/>
        <v>3.0968222211882938E-2</v>
      </c>
      <c r="H81" s="23">
        <f t="shared" si="31"/>
        <v>0.10993718885218443</v>
      </c>
      <c r="J81" t="str">
        <f t="shared" si="23"/>
        <v>Manure management</v>
      </c>
      <c r="K81" t="str">
        <f t="shared" si="24"/>
        <v>CH4</v>
      </c>
      <c r="L81" s="22">
        <v>1E-3</v>
      </c>
      <c r="M81" t="s">
        <v>148</v>
      </c>
      <c r="N81" s="23">
        <f t="shared" si="29"/>
        <v>3.096822221188294E-5</v>
      </c>
      <c r="P81" t="str">
        <f t="shared" si="25"/>
        <v>Manure management</v>
      </c>
      <c r="Q81" t="str">
        <f t="shared" si="26"/>
        <v>N2O</v>
      </c>
      <c r="R81" s="22">
        <v>10.67625</v>
      </c>
      <c r="S81" t="s">
        <v>316</v>
      </c>
      <c r="T81" s="23">
        <f t="shared" si="30"/>
        <v>0.33062448238961523</v>
      </c>
    </row>
    <row r="82" spans="1:20" x14ac:dyDescent="0.25">
      <c r="A82" s="14" t="s">
        <v>235</v>
      </c>
      <c r="B82" t="str">
        <f t="shared" si="21"/>
        <v>Enteric fermentation</v>
      </c>
      <c r="C82" t="str">
        <f t="shared" si="22"/>
        <v>CH4</v>
      </c>
      <c r="D82" s="22">
        <v>5.8</v>
      </c>
      <c r="E82" t="s">
        <v>148</v>
      </c>
      <c r="F82" s="22">
        <v>69668.244192727288</v>
      </c>
      <c r="G82" s="23">
        <f t="shared" si="28"/>
        <v>2.3226166658912202E-2</v>
      </c>
      <c r="H82" s="23">
        <f t="shared" si="31"/>
        <v>0.13471176662169076</v>
      </c>
      <c r="J82" t="str">
        <f t="shared" si="23"/>
        <v>Manure management</v>
      </c>
      <c r="K82" t="str">
        <f t="shared" si="24"/>
        <v>CH4</v>
      </c>
      <c r="L82" s="22">
        <v>2E-3</v>
      </c>
      <c r="M82" t="s">
        <v>148</v>
      </c>
      <c r="N82" s="23">
        <f t="shared" si="29"/>
        <v>4.6452333317824407E-5</v>
      </c>
      <c r="P82" t="str">
        <f t="shared" si="25"/>
        <v>Manure management</v>
      </c>
      <c r="Q82" t="str">
        <f t="shared" si="26"/>
        <v>N2O</v>
      </c>
      <c r="R82" s="22">
        <v>18.790199999999995</v>
      </c>
      <c r="S82" t="s">
        <v>316</v>
      </c>
      <c r="T82" s="23">
        <f t="shared" si="30"/>
        <v>0.43642431675429194</v>
      </c>
    </row>
    <row r="83" spans="1:20" x14ac:dyDescent="0.25">
      <c r="A83" s="14" t="s">
        <v>236</v>
      </c>
      <c r="B83" t="str">
        <f t="shared" si="21"/>
        <v>Enteric fermentation</v>
      </c>
      <c r="C83" t="str">
        <f t="shared" si="22"/>
        <v>CH4</v>
      </c>
      <c r="D83" s="22">
        <v>10.5</v>
      </c>
      <c r="E83" t="s">
        <v>148</v>
      </c>
      <c r="F83" s="22">
        <v>11611.374032121215</v>
      </c>
      <c r="G83" s="23">
        <f t="shared" si="28"/>
        <v>3.8710277764853673E-3</v>
      </c>
      <c r="H83" s="23">
        <f t="shared" si="31"/>
        <v>4.0645791653096355E-2</v>
      </c>
      <c r="J83" t="str">
        <f t="shared" si="23"/>
        <v>Manure management</v>
      </c>
      <c r="K83" t="str">
        <f t="shared" si="24"/>
        <v>CH4</v>
      </c>
      <c r="L83" s="22">
        <v>3.2000000000000002E-3</v>
      </c>
      <c r="M83" t="s">
        <v>148</v>
      </c>
      <c r="N83" s="23">
        <f t="shared" si="29"/>
        <v>1.2387288884753176E-5</v>
      </c>
      <c r="P83" t="str">
        <f t="shared" si="25"/>
        <v>Manure management</v>
      </c>
      <c r="Q83" t="str">
        <f t="shared" si="26"/>
        <v>N2O</v>
      </c>
      <c r="R83" s="22">
        <v>25.409474999999997</v>
      </c>
      <c r="S83" t="s">
        <v>316</v>
      </c>
      <c r="T83" s="23">
        <f t="shared" si="30"/>
        <v>9.8360783510910516E-2</v>
      </c>
    </row>
    <row r="84" spans="1:20" x14ac:dyDescent="0.25">
      <c r="A84" s="13" t="s">
        <v>157</v>
      </c>
      <c r="M84" s="13"/>
    </row>
    <row r="85" spans="1:20" x14ac:dyDescent="0.25">
      <c r="A85" s="14" t="s">
        <v>237</v>
      </c>
      <c r="B85" t="str">
        <f t="shared" ref="B85:B108" si="32">$B$5</f>
        <v>Enteric fermentation</v>
      </c>
      <c r="C85" t="str">
        <f t="shared" ref="C85:C108" si="33">$C$5</f>
        <v>CH4</v>
      </c>
      <c r="D85" s="22">
        <v>6.01</v>
      </c>
      <c r="E85" t="s">
        <v>148</v>
      </c>
      <c r="F85" s="22">
        <v>7463.5068944892591</v>
      </c>
      <c r="G85" s="23">
        <f>F85/SUM($F$85:$F$102)</f>
        <v>3.6371865957549993E-3</v>
      </c>
      <c r="H85" s="23">
        <f t="shared" si="31"/>
        <v>2.1859491440487544E-2</v>
      </c>
      <c r="J85" t="str">
        <f t="shared" ref="J85:J108" si="34">$J$5</f>
        <v>Manure management</v>
      </c>
      <c r="K85" t="str">
        <f t="shared" ref="K85:K108" si="35">$K$5</f>
        <v>CH4</v>
      </c>
      <c r="L85" s="22">
        <v>6.1999999999999998E-3</v>
      </c>
      <c r="M85" t="s">
        <v>148</v>
      </c>
      <c r="N85" s="23">
        <f t="shared" si="29"/>
        <v>2.2550556893680993E-5</v>
      </c>
      <c r="P85" t="str">
        <f t="shared" ref="P85:P108" si="36">$P$5</f>
        <v>Manure management</v>
      </c>
      <c r="Q85" t="str">
        <f t="shared" ref="Q85:Q108" si="37">$Q$5</f>
        <v>N2O</v>
      </c>
      <c r="R85" s="22">
        <v>20.752075000000005</v>
      </c>
      <c r="S85" t="s">
        <v>316</v>
      </c>
      <c r="T85" s="23">
        <f t="shared" ref="T85:T108" si="38">R85*G85</f>
        <v>7.5479169024102441E-2</v>
      </c>
    </row>
    <row r="86" spans="1:20" x14ac:dyDescent="0.25">
      <c r="A86" s="14" t="s">
        <v>238</v>
      </c>
      <c r="B86" t="str">
        <f t="shared" si="32"/>
        <v>Enteric fermentation</v>
      </c>
      <c r="C86" t="str">
        <f t="shared" si="33"/>
        <v>CH4</v>
      </c>
      <c r="D86" s="22">
        <v>4.76</v>
      </c>
      <c r="E86" t="s">
        <v>148</v>
      </c>
      <c r="F86" s="22">
        <v>339589.56369926129</v>
      </c>
      <c r="G86" s="23">
        <f t="shared" ref="G86:G102" si="39">F86/SUM($F$85:$F$102)</f>
        <v>0.16549199010685245</v>
      </c>
      <c r="H86" s="23">
        <f t="shared" si="31"/>
        <v>0.78774187290861764</v>
      </c>
      <c r="J86" t="str">
        <f t="shared" si="34"/>
        <v>Manure management</v>
      </c>
      <c r="K86" t="str">
        <f t="shared" si="35"/>
        <v>CH4</v>
      </c>
      <c r="L86" s="22">
        <v>5.0000000000000001E-3</v>
      </c>
      <c r="M86" t="s">
        <v>148</v>
      </c>
      <c r="N86" s="23">
        <f t="shared" si="29"/>
        <v>8.2745995053426231E-4</v>
      </c>
      <c r="P86" t="str">
        <f t="shared" si="36"/>
        <v>Manure management</v>
      </c>
      <c r="Q86" t="str">
        <f t="shared" si="37"/>
        <v>N2O</v>
      </c>
      <c r="R86" s="22">
        <v>15.001500000000002</v>
      </c>
      <c r="S86" t="s">
        <v>316</v>
      </c>
      <c r="T86" s="23">
        <f t="shared" si="38"/>
        <v>2.4826280895879473</v>
      </c>
    </row>
    <row r="87" spans="1:20" x14ac:dyDescent="0.25">
      <c r="A87" s="14" t="s">
        <v>239</v>
      </c>
      <c r="B87" t="str">
        <f t="shared" si="32"/>
        <v>Enteric fermentation</v>
      </c>
      <c r="C87" t="str">
        <f t="shared" si="33"/>
        <v>CH4</v>
      </c>
      <c r="D87" s="22">
        <v>2.63</v>
      </c>
      <c r="E87" t="s">
        <v>148</v>
      </c>
      <c r="F87" s="22">
        <v>173153.35995215081</v>
      </c>
      <c r="G87" s="23">
        <f t="shared" si="39"/>
        <v>8.4382729021515987E-2</v>
      </c>
      <c r="H87" s="23">
        <f t="shared" si="31"/>
        <v>0.22192657732658705</v>
      </c>
      <c r="J87" t="str">
        <f t="shared" si="34"/>
        <v>Manure management</v>
      </c>
      <c r="K87" t="str">
        <f t="shared" si="35"/>
        <v>CH4</v>
      </c>
      <c r="L87" s="22">
        <v>2E-3</v>
      </c>
      <c r="M87" t="s">
        <v>148</v>
      </c>
      <c r="N87" s="23">
        <f t="shared" si="29"/>
        <v>1.6876545804303197E-4</v>
      </c>
      <c r="P87" t="str">
        <f t="shared" si="36"/>
        <v>Manure management</v>
      </c>
      <c r="Q87" t="str">
        <f t="shared" si="37"/>
        <v>N2O</v>
      </c>
      <c r="R87" s="22">
        <v>7.2507250000000019</v>
      </c>
      <c r="S87" t="s">
        <v>316</v>
      </c>
      <c r="T87" s="23">
        <f t="shared" si="38"/>
        <v>0.61183596288453168</v>
      </c>
    </row>
    <row r="88" spans="1:20" x14ac:dyDescent="0.25">
      <c r="A88" s="14" t="s">
        <v>240</v>
      </c>
      <c r="B88" t="str">
        <f t="shared" si="32"/>
        <v>Enteric fermentation</v>
      </c>
      <c r="C88" t="str">
        <f t="shared" si="33"/>
        <v>CH4</v>
      </c>
      <c r="D88" s="22">
        <v>3.39</v>
      </c>
      <c r="E88" t="s">
        <v>148</v>
      </c>
      <c r="F88" s="22">
        <v>120908.811690726</v>
      </c>
      <c r="G88" s="23">
        <f t="shared" si="39"/>
        <v>5.8922422851230984E-2</v>
      </c>
      <c r="H88" s="23">
        <f t="shared" si="31"/>
        <v>0.19974701346567303</v>
      </c>
      <c r="J88" t="str">
        <f t="shared" si="34"/>
        <v>Manure management</v>
      </c>
      <c r="K88" t="str">
        <f t="shared" si="35"/>
        <v>CH4</v>
      </c>
      <c r="L88" s="22">
        <v>3.0000000000000001E-3</v>
      </c>
      <c r="M88" t="s">
        <v>148</v>
      </c>
      <c r="N88" s="23">
        <f t="shared" si="29"/>
        <v>1.7676726855369297E-4</v>
      </c>
      <c r="P88" t="str">
        <f t="shared" si="36"/>
        <v>Manure management</v>
      </c>
      <c r="Q88" t="str">
        <f t="shared" si="37"/>
        <v>N2O</v>
      </c>
      <c r="R88" s="22">
        <v>10.251025</v>
      </c>
      <c r="S88" t="s">
        <v>316</v>
      </c>
      <c r="T88" s="23">
        <f t="shared" si="38"/>
        <v>0.60401522970854016</v>
      </c>
    </row>
    <row r="89" spans="1:20" x14ac:dyDescent="0.25">
      <c r="A89" s="14" t="s">
        <v>241</v>
      </c>
      <c r="B89" t="str">
        <f t="shared" si="32"/>
        <v>Enteric fermentation</v>
      </c>
      <c r="C89" t="str">
        <f t="shared" si="33"/>
        <v>CH4</v>
      </c>
      <c r="D89" s="22">
        <v>4.51</v>
      </c>
      <c r="E89" t="s">
        <v>148</v>
      </c>
      <c r="F89" s="22">
        <v>14927.013788978518</v>
      </c>
      <c r="G89" s="23">
        <f t="shared" si="39"/>
        <v>7.2743731915099986E-3</v>
      </c>
      <c r="H89" s="23">
        <f t="shared" si="31"/>
        <v>3.2807423093710091E-2</v>
      </c>
      <c r="J89" t="str">
        <f t="shared" si="34"/>
        <v>Manure management</v>
      </c>
      <c r="K89" t="str">
        <f t="shared" si="35"/>
        <v>CH4</v>
      </c>
      <c r="L89" s="22">
        <v>4.0000000000000001E-3</v>
      </c>
      <c r="M89" t="s">
        <v>148</v>
      </c>
      <c r="N89" s="23">
        <f t="shared" si="29"/>
        <v>2.9097492766039994E-5</v>
      </c>
      <c r="P89" t="str">
        <f t="shared" si="36"/>
        <v>Manure management</v>
      </c>
      <c r="Q89" t="str">
        <f t="shared" si="37"/>
        <v>N2O</v>
      </c>
      <c r="R89" s="22">
        <v>14.751474999999999</v>
      </c>
      <c r="S89" t="s">
        <v>316</v>
      </c>
      <c r="T89" s="23">
        <f t="shared" si="38"/>
        <v>0.10730773427522995</v>
      </c>
    </row>
    <row r="90" spans="1:20" x14ac:dyDescent="0.25">
      <c r="A90" s="14" t="s">
        <v>242</v>
      </c>
      <c r="B90" t="str">
        <f t="shared" si="32"/>
        <v>Enteric fermentation</v>
      </c>
      <c r="C90" t="str">
        <f t="shared" si="33"/>
        <v>CH4</v>
      </c>
      <c r="D90" s="22">
        <v>3.64</v>
      </c>
      <c r="E90" t="s">
        <v>148</v>
      </c>
      <c r="F90" s="22">
        <v>90308.433423320035</v>
      </c>
      <c r="G90" s="23">
        <f t="shared" si="39"/>
        <v>4.4009957808635487E-2</v>
      </c>
      <c r="H90" s="23">
        <f t="shared" si="31"/>
        <v>0.16019624642343319</v>
      </c>
      <c r="J90" t="str">
        <f t="shared" si="34"/>
        <v>Manure management</v>
      </c>
      <c r="K90" t="str">
        <f t="shared" si="35"/>
        <v>CH4</v>
      </c>
      <c r="L90" s="22">
        <v>3.0000000000000001E-3</v>
      </c>
      <c r="M90" t="s">
        <v>148</v>
      </c>
      <c r="N90" s="23">
        <f t="shared" si="29"/>
        <v>1.3202987342590648E-4</v>
      </c>
      <c r="P90" t="str">
        <f t="shared" si="36"/>
        <v>Manure management</v>
      </c>
      <c r="Q90" t="str">
        <f t="shared" si="37"/>
        <v>N2O</v>
      </c>
      <c r="R90" s="22">
        <v>11.251125</v>
      </c>
      <c r="S90" t="s">
        <v>316</v>
      </c>
      <c r="T90" s="23">
        <f t="shared" si="38"/>
        <v>0.49516153654968392</v>
      </c>
    </row>
    <row r="91" spans="1:20" x14ac:dyDescent="0.25">
      <c r="A91" s="14" t="s">
        <v>243</v>
      </c>
      <c r="B91" t="str">
        <f t="shared" si="32"/>
        <v>Enteric fermentation</v>
      </c>
      <c r="C91" t="str">
        <f t="shared" si="33"/>
        <v>CH4</v>
      </c>
      <c r="D91" s="22">
        <v>18.3</v>
      </c>
      <c r="E91" t="s">
        <v>148</v>
      </c>
      <c r="F91" s="22">
        <v>110948.49938645436</v>
      </c>
      <c r="G91" s="23">
        <f t="shared" si="39"/>
        <v>5.4068469486576197E-2</v>
      </c>
      <c r="H91" s="23">
        <f t="shared" si="31"/>
        <v>0.98945299160434441</v>
      </c>
      <c r="J91" t="str">
        <f t="shared" si="34"/>
        <v>Manure management</v>
      </c>
      <c r="K91" t="str">
        <f t="shared" si="35"/>
        <v>CH4</v>
      </c>
      <c r="L91" s="22">
        <v>0.02</v>
      </c>
      <c r="M91" t="s">
        <v>148</v>
      </c>
      <c r="N91" s="23">
        <f t="shared" si="29"/>
        <v>1.081369389731524E-3</v>
      </c>
      <c r="P91" t="str">
        <f t="shared" si="36"/>
        <v>Manure management</v>
      </c>
      <c r="Q91" t="str">
        <f t="shared" si="37"/>
        <v>N2O</v>
      </c>
      <c r="R91" s="22">
        <v>59.005899999999997</v>
      </c>
      <c r="S91" t="s">
        <v>316</v>
      </c>
      <c r="T91" s="23">
        <f t="shared" si="38"/>
        <v>3.1903587036779664</v>
      </c>
    </row>
    <row r="92" spans="1:20" x14ac:dyDescent="0.25">
      <c r="A92" s="14" t="s">
        <v>244</v>
      </c>
      <c r="B92" t="str">
        <f t="shared" si="32"/>
        <v>Enteric fermentation</v>
      </c>
      <c r="C92" t="str">
        <f t="shared" si="33"/>
        <v>CH4</v>
      </c>
      <c r="D92" s="22">
        <v>12.1</v>
      </c>
      <c r="E92" t="s">
        <v>148</v>
      </c>
      <c r="F92" s="22">
        <v>457985.08467664308</v>
      </c>
      <c r="G92" s="23">
        <f t="shared" si="39"/>
        <v>0.22318961241551805</v>
      </c>
      <c r="H92" s="23">
        <f t="shared" si="31"/>
        <v>2.7005943102277681</v>
      </c>
      <c r="J92" t="str">
        <f t="shared" si="34"/>
        <v>Manure management</v>
      </c>
      <c r="K92" t="str">
        <f t="shared" si="35"/>
        <v>CH4</v>
      </c>
      <c r="L92" s="22">
        <v>1.2999999999999999E-2</v>
      </c>
      <c r="M92" t="s">
        <v>148</v>
      </c>
      <c r="N92" s="23">
        <f t="shared" si="29"/>
        <v>2.9014649614017346E-3</v>
      </c>
      <c r="P92" t="str">
        <f t="shared" si="36"/>
        <v>Manure management</v>
      </c>
      <c r="Q92" t="str">
        <f t="shared" si="37"/>
        <v>N2O</v>
      </c>
      <c r="R92" s="22">
        <v>39.003900000000002</v>
      </c>
      <c r="S92" t="s">
        <v>316</v>
      </c>
      <c r="T92" s="23">
        <f t="shared" si="38"/>
        <v>8.7052653236936255</v>
      </c>
    </row>
    <row r="93" spans="1:20" x14ac:dyDescent="0.25">
      <c r="A93" s="14" t="s">
        <v>245</v>
      </c>
      <c r="B93" t="str">
        <f t="shared" si="32"/>
        <v>Enteric fermentation</v>
      </c>
      <c r="C93" t="str">
        <f t="shared" si="33"/>
        <v>CH4</v>
      </c>
      <c r="D93" s="22">
        <v>3.62</v>
      </c>
      <c r="E93" t="s">
        <v>148</v>
      </c>
      <c r="F93" s="22">
        <v>202545.51632178301</v>
      </c>
      <c r="G93" s="23">
        <f t="shared" si="39"/>
        <v>9.8706391969679813E-2</v>
      </c>
      <c r="H93" s="23">
        <f t="shared" si="31"/>
        <v>0.35731713893024092</v>
      </c>
      <c r="J93" t="str">
        <f t="shared" si="34"/>
        <v>Manure management</v>
      </c>
      <c r="K93" t="str">
        <f t="shared" si="35"/>
        <v>CH4</v>
      </c>
      <c r="L93" s="22">
        <v>3.3999999999999998E-3</v>
      </c>
      <c r="M93" t="s">
        <v>148</v>
      </c>
      <c r="N93" s="23">
        <f t="shared" si="29"/>
        <v>3.3560173269691132E-4</v>
      </c>
      <c r="P93" t="str">
        <f t="shared" si="36"/>
        <v>Manure management</v>
      </c>
      <c r="Q93" t="str">
        <f t="shared" si="37"/>
        <v>N2O</v>
      </c>
      <c r="R93" s="22">
        <v>11.251125</v>
      </c>
      <c r="S93" t="s">
        <v>316</v>
      </c>
      <c r="T93" s="23">
        <f t="shared" si="38"/>
        <v>1.1105579543498638</v>
      </c>
    </row>
    <row r="94" spans="1:20" x14ac:dyDescent="0.25">
      <c r="A94" s="14" t="s">
        <v>246</v>
      </c>
      <c r="B94" t="str">
        <f t="shared" si="32"/>
        <v>Enteric fermentation</v>
      </c>
      <c r="C94" t="str">
        <f t="shared" si="33"/>
        <v>CH4</v>
      </c>
      <c r="D94" s="22">
        <v>5.54</v>
      </c>
      <c r="E94" t="s">
        <v>148</v>
      </c>
      <c r="F94" s="22">
        <v>336715.79464958829</v>
      </c>
      <c r="G94" s="23">
        <f t="shared" si="39"/>
        <v>0.16409151786042311</v>
      </c>
      <c r="H94" s="23">
        <f t="shared" si="31"/>
        <v>0.90906700894674408</v>
      </c>
      <c r="J94" t="str">
        <f t="shared" si="34"/>
        <v>Manure management</v>
      </c>
      <c r="K94" t="str">
        <f t="shared" si="35"/>
        <v>CH4</v>
      </c>
      <c r="L94" s="22">
        <v>6.0000000000000001E-3</v>
      </c>
      <c r="M94" t="s">
        <v>148</v>
      </c>
      <c r="N94" s="23">
        <f t="shared" si="29"/>
        <v>9.8454910716253875E-4</v>
      </c>
      <c r="P94" t="str">
        <f t="shared" si="36"/>
        <v>Manure management</v>
      </c>
      <c r="Q94" t="str">
        <f t="shared" si="37"/>
        <v>N2O</v>
      </c>
      <c r="R94" s="22">
        <v>16.751675000000002</v>
      </c>
      <c r="S94" t="s">
        <v>316</v>
      </c>
      <c r="T94" s="23">
        <f t="shared" si="38"/>
        <v>2.7488077774545037</v>
      </c>
    </row>
    <row r="95" spans="1:20" x14ac:dyDescent="0.25">
      <c r="A95" s="14" t="s">
        <v>247</v>
      </c>
      <c r="B95" t="str">
        <f t="shared" si="32"/>
        <v>Enteric fermentation</v>
      </c>
      <c r="C95" t="str">
        <f t="shared" si="33"/>
        <v>CH4</v>
      </c>
      <c r="D95" s="22">
        <v>13.1</v>
      </c>
      <c r="E95" t="s">
        <v>148</v>
      </c>
      <c r="F95" s="22">
        <v>69665.336824052749</v>
      </c>
      <c r="G95" s="23">
        <f t="shared" si="39"/>
        <v>3.3949969212501332E-2</v>
      </c>
      <c r="H95" s="23">
        <f t="shared" si="31"/>
        <v>0.44474459668376742</v>
      </c>
      <c r="J95" t="str">
        <f t="shared" si="34"/>
        <v>Manure management</v>
      </c>
      <c r="K95" t="str">
        <f t="shared" si="35"/>
        <v>CH4</v>
      </c>
      <c r="L95" s="22">
        <v>1.4E-2</v>
      </c>
      <c r="M95" t="s">
        <v>148</v>
      </c>
      <c r="N95" s="23">
        <f t="shared" si="29"/>
        <v>4.7529956897501867E-4</v>
      </c>
      <c r="P95" t="str">
        <f t="shared" si="36"/>
        <v>Manure management</v>
      </c>
      <c r="Q95" t="str">
        <f t="shared" si="37"/>
        <v>N2O</v>
      </c>
      <c r="R95" s="22">
        <v>26.502650000000003</v>
      </c>
      <c r="S95" t="s">
        <v>316</v>
      </c>
      <c r="T95" s="23">
        <f t="shared" si="38"/>
        <v>0.89976415154969858</v>
      </c>
    </row>
    <row r="96" spans="1:20" x14ac:dyDescent="0.25">
      <c r="A96" s="14" t="s">
        <v>248</v>
      </c>
      <c r="B96" t="str">
        <f t="shared" si="32"/>
        <v>Enteric fermentation</v>
      </c>
      <c r="C96" t="str">
        <f t="shared" si="33"/>
        <v>CH4</v>
      </c>
      <c r="D96" s="22">
        <v>8.01</v>
      </c>
      <c r="E96" t="s">
        <v>148</v>
      </c>
      <c r="F96" s="22">
        <v>112238.59821652943</v>
      </c>
      <c r="G96" s="23">
        <f t="shared" si="39"/>
        <v>5.4697172620141038E-2</v>
      </c>
      <c r="H96" s="23">
        <f t="shared" si="31"/>
        <v>0.43812435268732969</v>
      </c>
      <c r="J96" t="str">
        <f t="shared" si="34"/>
        <v>Manure management</v>
      </c>
      <c r="K96" t="str">
        <f t="shared" si="35"/>
        <v>CH4</v>
      </c>
      <c r="L96" s="22">
        <v>8.3999999999999995E-3</v>
      </c>
      <c r="M96" t="s">
        <v>148</v>
      </c>
      <c r="N96" s="23">
        <f t="shared" si="29"/>
        <v>4.594562500091847E-4</v>
      </c>
      <c r="P96" t="str">
        <f t="shared" si="36"/>
        <v>Manure management</v>
      </c>
      <c r="Q96" t="str">
        <f t="shared" si="37"/>
        <v>N2O</v>
      </c>
      <c r="R96" s="22">
        <v>20.252025000000003</v>
      </c>
      <c r="S96" t="s">
        <v>316</v>
      </c>
      <c r="T96" s="23">
        <f t="shared" si="38"/>
        <v>1.1077285073324119</v>
      </c>
    </row>
    <row r="97" spans="1:20" x14ac:dyDescent="0.25">
      <c r="A97" s="14" t="s">
        <v>249</v>
      </c>
      <c r="B97" t="str">
        <f t="shared" si="32"/>
        <v>Enteric fermentation</v>
      </c>
      <c r="C97" t="str">
        <f t="shared" si="33"/>
        <v>CH4</v>
      </c>
      <c r="D97" s="22">
        <v>10.5</v>
      </c>
      <c r="E97" t="s">
        <v>148</v>
      </c>
      <c r="F97" s="22">
        <v>155.50480476023225</v>
      </c>
      <c r="G97" s="23">
        <f t="shared" si="39"/>
        <v>7.5782068596604404E-5</v>
      </c>
      <c r="H97" s="23">
        <f t="shared" si="31"/>
        <v>7.9571172026434627E-4</v>
      </c>
      <c r="J97" t="str">
        <f t="shared" si="34"/>
        <v>Manure management</v>
      </c>
      <c r="K97" t="str">
        <f t="shared" si="35"/>
        <v>CH4</v>
      </c>
      <c r="L97" s="22">
        <v>8.9999999999999993E-3</v>
      </c>
      <c r="M97" t="s">
        <v>148</v>
      </c>
      <c r="N97" s="23">
        <f t="shared" si="29"/>
        <v>6.8203861736943956E-7</v>
      </c>
      <c r="P97" t="str">
        <f t="shared" si="36"/>
        <v>Manure management</v>
      </c>
      <c r="Q97" t="str">
        <f t="shared" si="37"/>
        <v>N2O</v>
      </c>
      <c r="R97" s="22">
        <v>36.253625</v>
      </c>
      <c r="S97" t="s">
        <v>316</v>
      </c>
      <c r="T97" s="23">
        <f t="shared" si="38"/>
        <v>2.7473746966255722E-3</v>
      </c>
    </row>
    <row r="98" spans="1:20" x14ac:dyDescent="0.25">
      <c r="A98" s="14" t="s">
        <v>250</v>
      </c>
      <c r="B98" t="str">
        <f t="shared" si="32"/>
        <v>Enteric fermentation</v>
      </c>
      <c r="C98" t="str">
        <f t="shared" si="33"/>
        <v>CH4</v>
      </c>
      <c r="D98" s="22">
        <v>8.48</v>
      </c>
      <c r="E98" t="s">
        <v>148</v>
      </c>
      <c r="F98" s="22">
        <v>7075.4686165905678</v>
      </c>
      <c r="G98" s="23">
        <f t="shared" si="39"/>
        <v>3.4480841211455004E-3</v>
      </c>
      <c r="H98" s="23">
        <f t="shared" si="31"/>
        <v>2.9239753347313845E-2</v>
      </c>
      <c r="J98" t="str">
        <f t="shared" si="34"/>
        <v>Manure management</v>
      </c>
      <c r="K98" t="str">
        <f t="shared" si="35"/>
        <v>CH4</v>
      </c>
      <c r="L98" s="22">
        <v>7.0000000000000001E-3</v>
      </c>
      <c r="M98" t="s">
        <v>148</v>
      </c>
      <c r="N98" s="23">
        <f t="shared" si="29"/>
        <v>2.4136588848018503E-5</v>
      </c>
      <c r="P98" t="str">
        <f t="shared" si="36"/>
        <v>Manure management</v>
      </c>
      <c r="Q98" t="str">
        <f t="shared" si="37"/>
        <v>N2O</v>
      </c>
      <c r="R98" s="22">
        <v>24.002400000000005</v>
      </c>
      <c r="S98" t="s">
        <v>316</v>
      </c>
      <c r="T98" s="23">
        <f t="shared" si="38"/>
        <v>8.2762294309382783E-2</v>
      </c>
    </row>
    <row r="99" spans="1:20" x14ac:dyDescent="0.25">
      <c r="A99" s="14" t="s">
        <v>251</v>
      </c>
      <c r="B99" t="str">
        <f t="shared" si="32"/>
        <v>Enteric fermentation</v>
      </c>
      <c r="C99" t="str">
        <f t="shared" si="33"/>
        <v>CH4</v>
      </c>
      <c r="D99" s="22">
        <v>3.62</v>
      </c>
      <c r="E99" t="s">
        <v>148</v>
      </c>
      <c r="F99" s="22">
        <v>3607.7114704373885</v>
      </c>
      <c r="G99" s="23">
        <f t="shared" si="39"/>
        <v>1.7581439914412223E-3</v>
      </c>
      <c r="H99" s="23">
        <f t="shared" si="31"/>
        <v>6.3644812490172252E-3</v>
      </c>
      <c r="J99" t="str">
        <f t="shared" si="34"/>
        <v>Manure management</v>
      </c>
      <c r="K99" t="str">
        <f t="shared" si="35"/>
        <v>CH4</v>
      </c>
      <c r="L99" s="22">
        <v>3.0000000000000001E-3</v>
      </c>
      <c r="M99" t="s">
        <v>148</v>
      </c>
      <c r="N99" s="23">
        <f t="shared" si="29"/>
        <v>5.2744319743236674E-6</v>
      </c>
      <c r="P99" t="str">
        <f t="shared" si="36"/>
        <v>Manure management</v>
      </c>
      <c r="Q99" t="str">
        <f t="shared" si="37"/>
        <v>N2O</v>
      </c>
      <c r="R99" s="22">
        <v>11.251125</v>
      </c>
      <c r="S99" t="s">
        <v>316</v>
      </c>
      <c r="T99" s="23">
        <f t="shared" si="38"/>
        <v>1.9781097815704123E-2</v>
      </c>
    </row>
    <row r="100" spans="1:20" x14ac:dyDescent="0.25">
      <c r="A100" s="14" t="s">
        <v>252</v>
      </c>
      <c r="B100" t="str">
        <f t="shared" si="32"/>
        <v>Enteric fermentation</v>
      </c>
      <c r="C100" t="str">
        <f t="shared" si="33"/>
        <v>CH4</v>
      </c>
      <c r="D100" s="22">
        <v>5.0199999999999996</v>
      </c>
      <c r="E100" t="s">
        <v>148</v>
      </c>
      <c r="F100" s="22">
        <v>2519.1778371157625</v>
      </c>
      <c r="G100" s="23">
        <f t="shared" si="39"/>
        <v>1.2276695112649913E-3</v>
      </c>
      <c r="H100" s="23">
        <f t="shared" si="31"/>
        <v>6.1629009465502555E-3</v>
      </c>
      <c r="J100" t="str">
        <f t="shared" si="34"/>
        <v>Manure management</v>
      </c>
      <c r="K100" t="str">
        <f t="shared" si="35"/>
        <v>CH4</v>
      </c>
      <c r="L100" s="22">
        <v>4.0000000000000001E-3</v>
      </c>
      <c r="M100" t="s">
        <v>148</v>
      </c>
      <c r="N100" s="23">
        <f t="shared" si="29"/>
        <v>4.910678045059965E-6</v>
      </c>
      <c r="P100" t="str">
        <f t="shared" si="36"/>
        <v>Manure management</v>
      </c>
      <c r="Q100" t="str">
        <f t="shared" si="37"/>
        <v>N2O</v>
      </c>
      <c r="R100" s="22">
        <v>16.751675000000002</v>
      </c>
      <c r="S100" t="s">
        <v>316</v>
      </c>
      <c r="T100" s="23">
        <f t="shared" si="38"/>
        <v>2.0565520660119976E-2</v>
      </c>
    </row>
    <row r="101" spans="1:20" x14ac:dyDescent="0.25">
      <c r="A101" s="14" t="s">
        <v>253</v>
      </c>
      <c r="B101" t="str">
        <f t="shared" si="32"/>
        <v>Enteric fermentation</v>
      </c>
      <c r="C101" t="str">
        <f t="shared" si="33"/>
        <v>CH4</v>
      </c>
      <c r="D101" s="22">
        <v>7.65</v>
      </c>
      <c r="E101" t="s">
        <v>148</v>
      </c>
      <c r="F101" s="22">
        <v>311.00960952046449</v>
      </c>
      <c r="G101" s="23">
        <f t="shared" si="39"/>
        <v>1.5156413719320881E-4</v>
      </c>
      <c r="H101" s="23">
        <f t="shared" si="31"/>
        <v>1.1594656495280474E-3</v>
      </c>
      <c r="J101" t="str">
        <f t="shared" si="34"/>
        <v>Manure management</v>
      </c>
      <c r="K101" t="str">
        <f t="shared" si="35"/>
        <v>CH4</v>
      </c>
      <c r="L101" s="22">
        <v>6.0000000000000001E-3</v>
      </c>
      <c r="M101" t="s">
        <v>148</v>
      </c>
      <c r="N101" s="23">
        <f t="shared" si="29"/>
        <v>9.0938482315925281E-7</v>
      </c>
      <c r="P101" t="str">
        <f t="shared" si="36"/>
        <v>Manure management</v>
      </c>
      <c r="Q101" t="str">
        <f t="shared" si="37"/>
        <v>N2O</v>
      </c>
      <c r="R101" s="22">
        <v>26.502650000000003</v>
      </c>
      <c r="S101" t="s">
        <v>316</v>
      </c>
      <c r="T101" s="23">
        <f t="shared" si="38"/>
        <v>4.0168512805835955E-3</v>
      </c>
    </row>
    <row r="102" spans="1:20" x14ac:dyDescent="0.25">
      <c r="A102" s="14" t="s">
        <v>254</v>
      </c>
      <c r="B102" t="str">
        <f t="shared" si="32"/>
        <v>Enteric fermentation</v>
      </c>
      <c r="C102" t="str">
        <f t="shared" si="33"/>
        <v>CH4</v>
      </c>
      <c r="D102" s="22">
        <v>5.94</v>
      </c>
      <c r="E102" t="s">
        <v>148</v>
      </c>
      <c r="F102" s="22">
        <v>1881.6081375988101</v>
      </c>
      <c r="G102" s="23">
        <f t="shared" si="39"/>
        <v>9.1696303001891316E-4</v>
      </c>
      <c r="H102" s="23">
        <f t="shared" si="31"/>
        <v>5.4467603983123442E-3</v>
      </c>
      <c r="J102" t="str">
        <f t="shared" si="34"/>
        <v>Manure management</v>
      </c>
      <c r="K102" t="str">
        <f t="shared" si="35"/>
        <v>CH4</v>
      </c>
      <c r="L102" s="22">
        <v>5.0000000000000001E-3</v>
      </c>
      <c r="M102" t="s">
        <v>148</v>
      </c>
      <c r="N102" s="23">
        <f t="shared" si="29"/>
        <v>4.584815150094566E-6</v>
      </c>
      <c r="P102" t="str">
        <f t="shared" si="36"/>
        <v>Manure management</v>
      </c>
      <c r="Q102" t="str">
        <f t="shared" si="37"/>
        <v>N2O</v>
      </c>
      <c r="R102" s="22">
        <v>20.252025000000003</v>
      </c>
      <c r="S102" t="s">
        <v>316</v>
      </c>
      <c r="T102" s="23">
        <f t="shared" si="38"/>
        <v>1.8570358208018781E-2</v>
      </c>
    </row>
    <row r="103" spans="1:20" x14ac:dyDescent="0.25">
      <c r="A103" s="14" t="s">
        <v>255</v>
      </c>
      <c r="B103" t="str">
        <f t="shared" si="32"/>
        <v>Enteric fermentation</v>
      </c>
      <c r="C103" t="str">
        <f t="shared" si="33"/>
        <v>CH4</v>
      </c>
      <c r="D103" s="22">
        <v>11.1</v>
      </c>
      <c r="E103" t="s">
        <v>148</v>
      </c>
      <c r="F103" s="22">
        <v>44584.86627064857</v>
      </c>
      <c r="G103" s="23">
        <f>F103/SUM($F$103:$F$108)</f>
        <v>1.0999999999999998E-2</v>
      </c>
      <c r="H103" s="23">
        <f t="shared" si="31"/>
        <v>0.12209999999999997</v>
      </c>
      <c r="J103" t="str">
        <f t="shared" si="34"/>
        <v>Manure management</v>
      </c>
      <c r="K103" t="str">
        <f t="shared" si="35"/>
        <v>CH4</v>
      </c>
      <c r="L103" s="22">
        <v>1.2999999999999999E-2</v>
      </c>
      <c r="M103" t="s">
        <v>148</v>
      </c>
      <c r="N103" s="23">
        <f t="shared" si="29"/>
        <v>1.4299999999999995E-4</v>
      </c>
      <c r="P103" t="str">
        <f t="shared" si="36"/>
        <v>Manure management</v>
      </c>
      <c r="Q103" t="str">
        <f t="shared" si="37"/>
        <v>N2O</v>
      </c>
      <c r="R103" s="22">
        <v>41.004100000000001</v>
      </c>
      <c r="S103" t="s">
        <v>316</v>
      </c>
      <c r="T103" s="23">
        <f t="shared" si="38"/>
        <v>0.45104509999999992</v>
      </c>
    </row>
    <row r="104" spans="1:20" x14ac:dyDescent="0.25">
      <c r="A104" s="14" t="s">
        <v>256</v>
      </c>
      <c r="B104" t="str">
        <f t="shared" si="32"/>
        <v>Enteric fermentation</v>
      </c>
      <c r="C104" t="str">
        <f t="shared" si="33"/>
        <v>CH4</v>
      </c>
      <c r="D104" s="22">
        <v>7.4</v>
      </c>
      <c r="E104" t="s">
        <v>148</v>
      </c>
      <c r="F104" s="22">
        <v>1921202.4192988568</v>
      </c>
      <c r="G104" s="23">
        <f t="shared" ref="G104:G108" si="40">F104/SUM($F$103:$F$108)</f>
        <v>0.47399999999999992</v>
      </c>
      <c r="H104" s="23">
        <f t="shared" si="31"/>
        <v>3.5075999999999996</v>
      </c>
      <c r="J104" t="str">
        <f t="shared" si="34"/>
        <v>Manure management</v>
      </c>
      <c r="K104" t="str">
        <f t="shared" si="35"/>
        <v>CH4</v>
      </c>
      <c r="L104" s="22">
        <v>8.9999999999999993E-3</v>
      </c>
      <c r="M104" t="s">
        <v>148</v>
      </c>
      <c r="N104" s="23">
        <f t="shared" si="29"/>
        <v>4.265999999999999E-3</v>
      </c>
      <c r="P104" t="str">
        <f t="shared" si="36"/>
        <v>Manure management</v>
      </c>
      <c r="Q104" t="str">
        <f t="shared" si="37"/>
        <v>N2O</v>
      </c>
      <c r="R104" s="22">
        <v>27.202719999999999</v>
      </c>
      <c r="S104" t="s">
        <v>316</v>
      </c>
      <c r="T104" s="23">
        <f t="shared" si="38"/>
        <v>12.894089279999998</v>
      </c>
    </row>
    <row r="105" spans="1:20" x14ac:dyDescent="0.25">
      <c r="A105" s="14" t="s">
        <v>257</v>
      </c>
      <c r="B105" t="str">
        <f t="shared" si="32"/>
        <v>Enteric fermentation</v>
      </c>
      <c r="C105" t="str">
        <f t="shared" si="33"/>
        <v>CH4</v>
      </c>
      <c r="D105" s="22">
        <v>2.54</v>
      </c>
      <c r="E105" t="s">
        <v>148</v>
      </c>
      <c r="F105" s="22">
        <v>806580.76253264246</v>
      </c>
      <c r="G105" s="23">
        <f t="shared" si="40"/>
        <v>0.19899999999999998</v>
      </c>
      <c r="H105" s="23">
        <f t="shared" si="31"/>
        <v>0.50545999999999991</v>
      </c>
      <c r="J105" t="str">
        <f t="shared" si="34"/>
        <v>Manure management</v>
      </c>
      <c r="K105" t="str">
        <f t="shared" si="35"/>
        <v>CH4</v>
      </c>
      <c r="L105" s="22">
        <v>3.0000000000000001E-3</v>
      </c>
      <c r="M105" t="s">
        <v>148</v>
      </c>
      <c r="N105" s="23">
        <f t="shared" si="29"/>
        <v>5.9699999999999998E-4</v>
      </c>
      <c r="P105" t="str">
        <f t="shared" si="36"/>
        <v>Manure management</v>
      </c>
      <c r="Q105" t="str">
        <f t="shared" si="37"/>
        <v>N2O</v>
      </c>
      <c r="R105" s="22">
        <v>8.0007999999999999</v>
      </c>
      <c r="S105" t="s">
        <v>316</v>
      </c>
      <c r="T105" s="23">
        <f t="shared" si="38"/>
        <v>1.5921591999999998</v>
      </c>
    </row>
    <row r="106" spans="1:20" x14ac:dyDescent="0.25">
      <c r="A106" s="14" t="s">
        <v>258</v>
      </c>
      <c r="B106" t="str">
        <f t="shared" si="32"/>
        <v>Enteric fermentation</v>
      </c>
      <c r="C106" t="str">
        <f t="shared" si="33"/>
        <v>CH4</v>
      </c>
      <c r="D106" s="22">
        <v>3.66</v>
      </c>
      <c r="E106" t="s">
        <v>148</v>
      </c>
      <c r="F106" s="22">
        <v>684985.67270360084</v>
      </c>
      <c r="G106" s="23">
        <f t="shared" si="40"/>
        <v>0.16899999999999998</v>
      </c>
      <c r="H106" s="23">
        <f t="shared" si="31"/>
        <v>0.61853999999999998</v>
      </c>
      <c r="J106" t="str">
        <f t="shared" si="34"/>
        <v>Manure management</v>
      </c>
      <c r="K106" t="str">
        <f t="shared" si="35"/>
        <v>CH4</v>
      </c>
      <c r="L106" s="22">
        <v>4.0000000000000001E-3</v>
      </c>
      <c r="M106" t="s">
        <v>148</v>
      </c>
      <c r="N106" s="23">
        <f t="shared" si="29"/>
        <v>6.7599999999999995E-4</v>
      </c>
      <c r="P106" t="str">
        <f t="shared" si="36"/>
        <v>Manure management</v>
      </c>
      <c r="Q106" t="str">
        <f t="shared" si="37"/>
        <v>N2O</v>
      </c>
      <c r="R106" s="22">
        <v>13.001299999999999</v>
      </c>
      <c r="S106" t="s">
        <v>316</v>
      </c>
      <c r="T106" s="23">
        <f t="shared" si="38"/>
        <v>2.1972196999999998</v>
      </c>
    </row>
    <row r="107" spans="1:20" x14ac:dyDescent="0.25">
      <c r="A107" s="14" t="s">
        <v>259</v>
      </c>
      <c r="B107" t="str">
        <f t="shared" si="32"/>
        <v>Enteric fermentation</v>
      </c>
      <c r="C107" t="str">
        <f t="shared" si="33"/>
        <v>CH4</v>
      </c>
      <c r="D107" s="22">
        <v>8.11</v>
      </c>
      <c r="E107" t="s">
        <v>148</v>
      </c>
      <c r="F107" s="22">
        <v>81063.393219361053</v>
      </c>
      <c r="G107" s="23">
        <f t="shared" si="40"/>
        <v>0.02</v>
      </c>
      <c r="H107" s="23">
        <f t="shared" si="31"/>
        <v>0.16219999999999998</v>
      </c>
      <c r="J107" t="str">
        <f t="shared" si="34"/>
        <v>Manure management</v>
      </c>
      <c r="K107" t="str">
        <f t="shared" si="35"/>
        <v>CH4</v>
      </c>
      <c r="L107" s="22">
        <v>8.9999999999999993E-3</v>
      </c>
      <c r="M107" t="s">
        <v>148</v>
      </c>
      <c r="N107" s="23">
        <f t="shared" si="29"/>
        <v>1.7999999999999998E-4</v>
      </c>
      <c r="P107" t="str">
        <f t="shared" si="36"/>
        <v>Manure management</v>
      </c>
      <c r="Q107" t="str">
        <f t="shared" si="37"/>
        <v>N2O</v>
      </c>
      <c r="R107" s="22">
        <v>30.803080000000005</v>
      </c>
      <c r="S107" t="s">
        <v>316</v>
      </c>
      <c r="T107" s="23">
        <f t="shared" si="38"/>
        <v>0.6160616000000001</v>
      </c>
    </row>
    <row r="108" spans="1:20" x14ac:dyDescent="0.25">
      <c r="A108" s="14" t="s">
        <v>260</v>
      </c>
      <c r="B108" t="str">
        <f t="shared" si="32"/>
        <v>Enteric fermentation</v>
      </c>
      <c r="C108" t="str">
        <f t="shared" si="33"/>
        <v>CH4</v>
      </c>
      <c r="D108" s="22">
        <v>5.19</v>
      </c>
      <c r="E108" t="s">
        <v>148</v>
      </c>
      <c r="F108" s="22">
        <v>514752.54694294266</v>
      </c>
      <c r="G108" s="23">
        <f t="shared" si="40"/>
        <v>0.127</v>
      </c>
      <c r="H108" s="23">
        <f t="shared" si="31"/>
        <v>0.6591300000000001</v>
      </c>
      <c r="J108" t="str">
        <f t="shared" si="34"/>
        <v>Manure management</v>
      </c>
      <c r="K108" t="str">
        <f t="shared" si="35"/>
        <v>CH4</v>
      </c>
      <c r="L108" s="22">
        <v>6.0000000000000001E-3</v>
      </c>
      <c r="M108" t="s">
        <v>148</v>
      </c>
      <c r="N108" s="23">
        <f t="shared" si="29"/>
        <v>7.6199999999999998E-4</v>
      </c>
      <c r="P108" t="str">
        <f t="shared" si="36"/>
        <v>Manure management</v>
      </c>
      <c r="Q108" t="str">
        <f t="shared" si="37"/>
        <v>N2O</v>
      </c>
      <c r="R108" s="22">
        <v>19.501950000000001</v>
      </c>
      <c r="S108" t="s">
        <v>316</v>
      </c>
      <c r="T108" s="23">
        <f t="shared" si="38"/>
        <v>2.4767476500000001</v>
      </c>
    </row>
    <row r="109" spans="1:20" x14ac:dyDescent="0.25">
      <c r="A109" s="13" t="s">
        <v>7</v>
      </c>
      <c r="M109" s="13"/>
    </row>
    <row r="110" spans="1:20" x14ac:dyDescent="0.25">
      <c r="A110" s="14" t="s">
        <v>7</v>
      </c>
      <c r="B110" t="str">
        <f>$B$5</f>
        <v>Enteric fermentation</v>
      </c>
      <c r="C110" t="str">
        <f>$C$5</f>
        <v>CH4</v>
      </c>
      <c r="D110" s="22">
        <v>18</v>
      </c>
      <c r="E110" t="s">
        <v>148</v>
      </c>
      <c r="H110" s="23">
        <f>D110</f>
        <v>18</v>
      </c>
      <c r="J110" t="str">
        <f>$J$5</f>
        <v>Manure management</v>
      </c>
      <c r="K110" t="str">
        <f>$K$5</f>
        <v>CH4</v>
      </c>
      <c r="L110" s="22">
        <v>1.34E-2</v>
      </c>
      <c r="M110" t="s">
        <v>148</v>
      </c>
      <c r="N110" s="23">
        <f>L110</f>
        <v>1.34E-2</v>
      </c>
      <c r="P110" t="str">
        <f>$P$5</f>
        <v>Manure management</v>
      </c>
      <c r="Q110" t="str">
        <f>$Q$5</f>
        <v>N2O</v>
      </c>
      <c r="R110" s="22">
        <v>39.5</v>
      </c>
      <c r="S110" t="s">
        <v>316</v>
      </c>
      <c r="T110" s="23">
        <f>R110</f>
        <v>39.5</v>
      </c>
    </row>
    <row r="111" spans="1:20" x14ac:dyDescent="0.25">
      <c r="A111" s="13" t="s">
        <v>158</v>
      </c>
      <c r="M111" s="13"/>
    </row>
    <row r="112" spans="1:20" x14ac:dyDescent="0.25">
      <c r="A112" s="14" t="s">
        <v>158</v>
      </c>
      <c r="B112" t="str">
        <f>$B$5</f>
        <v>Enteric fermentation</v>
      </c>
      <c r="C112" t="str">
        <f>$C$5</f>
        <v>CH4</v>
      </c>
      <c r="D112" s="22">
        <v>10</v>
      </c>
      <c r="E112" t="s">
        <v>148</v>
      </c>
      <c r="H112" s="23">
        <f>D112</f>
        <v>10</v>
      </c>
      <c r="J112" t="str">
        <f>$J$5</f>
        <v>Manure management</v>
      </c>
      <c r="K112" t="str">
        <f>$K$5</f>
        <v>CH4</v>
      </c>
      <c r="L112" s="22">
        <v>4.4999999999999997E-3</v>
      </c>
      <c r="M112" t="s">
        <v>148</v>
      </c>
      <c r="N112" s="23">
        <f>L112</f>
        <v>4.4999999999999997E-3</v>
      </c>
      <c r="P112" t="str">
        <f>$P$5</f>
        <v>Manure management</v>
      </c>
      <c r="Q112" t="str">
        <f>$Q$5</f>
        <v>N2O</v>
      </c>
      <c r="R112" s="22">
        <v>13.2</v>
      </c>
      <c r="S112" t="s">
        <v>316</v>
      </c>
      <c r="T112" s="23">
        <f>R112</f>
        <v>13.2</v>
      </c>
    </row>
    <row r="113" spans="1:20" x14ac:dyDescent="0.25">
      <c r="A113" s="13" t="s">
        <v>159</v>
      </c>
      <c r="M113" s="13"/>
    </row>
    <row r="114" spans="1:20" x14ac:dyDescent="0.25">
      <c r="A114" s="14" t="s">
        <v>261</v>
      </c>
      <c r="B114" t="str">
        <f t="shared" ref="B114:B133" si="41">$B$5</f>
        <v>Enteric fermentation</v>
      </c>
      <c r="C114" t="str">
        <f t="shared" ref="C114:C133" si="42">$C$5</f>
        <v>CH4</v>
      </c>
      <c r="D114" s="22">
        <v>0.99</v>
      </c>
      <c r="E114" t="s">
        <v>148</v>
      </c>
      <c r="F114" s="22">
        <v>78106</v>
      </c>
      <c r="G114">
        <f>F114/SUM($F$114:$F$123)</f>
        <v>4.9000000000000002E-2</v>
      </c>
      <c r="H114" s="23">
        <f t="shared" ref="H114:H133" si="43">D114*G114</f>
        <v>4.8510000000000005E-2</v>
      </c>
      <c r="J114" t="str">
        <f t="shared" ref="J114:J133" si="44">$J$5</f>
        <v>Manure management</v>
      </c>
      <c r="K114" t="str">
        <f t="shared" ref="K114:K133" si="45">$K$5</f>
        <v>CH4</v>
      </c>
      <c r="L114" s="22">
        <v>20.96</v>
      </c>
      <c r="M114" t="s">
        <v>148</v>
      </c>
      <c r="N114" s="23">
        <f t="shared" ref="N114:N133" si="46">L114*G114</f>
        <v>1.0270400000000002</v>
      </c>
      <c r="P114" t="str">
        <f t="shared" ref="P114:P133" si="47">$P$5</f>
        <v>Manure management</v>
      </c>
      <c r="Q114" t="str">
        <f t="shared" ref="Q114:Q133" si="48">$Q$5</f>
        <v>N2O</v>
      </c>
      <c r="R114" s="22">
        <v>11.04</v>
      </c>
      <c r="S114" t="s">
        <v>316</v>
      </c>
      <c r="T114" s="23">
        <f t="shared" ref="T114:T133" si="49">R114*G114</f>
        <v>0.54096</v>
      </c>
    </row>
    <row r="115" spans="1:20" x14ac:dyDescent="0.25">
      <c r="A115" s="14" t="s">
        <v>262</v>
      </c>
      <c r="B115" t="str">
        <f t="shared" si="41"/>
        <v>Enteric fermentation</v>
      </c>
      <c r="C115" t="str">
        <f t="shared" si="42"/>
        <v>CH4</v>
      </c>
      <c r="D115" s="22">
        <v>1.89</v>
      </c>
      <c r="E115" t="s">
        <v>148</v>
      </c>
      <c r="F115" s="22">
        <v>9564</v>
      </c>
      <c r="G115">
        <f t="shared" ref="G115:G123" si="50">F115/SUM($F$114:$F$123)</f>
        <v>6.0000000000000001E-3</v>
      </c>
      <c r="H115" s="23">
        <f t="shared" si="43"/>
        <v>1.1339999999999999E-2</v>
      </c>
      <c r="J115" t="str">
        <f t="shared" si="44"/>
        <v>Manure management</v>
      </c>
      <c r="K115" t="str">
        <f t="shared" si="45"/>
        <v>CH4</v>
      </c>
      <c r="L115" s="22">
        <v>16.47</v>
      </c>
      <c r="M115" t="s">
        <v>148</v>
      </c>
      <c r="N115" s="23">
        <f t="shared" si="46"/>
        <v>9.8819999999999991E-2</v>
      </c>
      <c r="P115" t="str">
        <f t="shared" si="47"/>
        <v>Manure management</v>
      </c>
      <c r="Q115" t="str">
        <f t="shared" si="48"/>
        <v>N2O</v>
      </c>
      <c r="R115" s="22">
        <v>14.59</v>
      </c>
      <c r="S115" t="s">
        <v>316</v>
      </c>
      <c r="T115" s="23">
        <f t="shared" si="49"/>
        <v>8.7540000000000007E-2</v>
      </c>
    </row>
    <row r="116" spans="1:20" x14ac:dyDescent="0.25">
      <c r="A116" s="14" t="s">
        <v>263</v>
      </c>
      <c r="B116" t="str">
        <f t="shared" si="41"/>
        <v>Enteric fermentation</v>
      </c>
      <c r="C116" t="str">
        <f t="shared" si="42"/>
        <v>CH4</v>
      </c>
      <c r="D116" s="22">
        <v>1.89</v>
      </c>
      <c r="E116" t="s">
        <v>148</v>
      </c>
      <c r="F116" s="22">
        <v>9564</v>
      </c>
      <c r="G116">
        <f t="shared" si="50"/>
        <v>6.0000000000000001E-3</v>
      </c>
      <c r="H116" s="23">
        <f t="shared" si="43"/>
        <v>1.1339999999999999E-2</v>
      </c>
      <c r="J116" t="str">
        <f t="shared" si="44"/>
        <v>Manure management</v>
      </c>
      <c r="K116" t="str">
        <f t="shared" si="45"/>
        <v>CH4</v>
      </c>
      <c r="L116" s="22">
        <v>16.47</v>
      </c>
      <c r="M116" t="s">
        <v>148</v>
      </c>
      <c r="N116" s="23">
        <f t="shared" si="46"/>
        <v>9.8819999999999991E-2</v>
      </c>
      <c r="P116" t="str">
        <f t="shared" si="47"/>
        <v>Manure management</v>
      </c>
      <c r="Q116" t="str">
        <f t="shared" si="48"/>
        <v>N2O</v>
      </c>
      <c r="R116" s="22">
        <v>14.59</v>
      </c>
      <c r="S116" t="s">
        <v>316</v>
      </c>
      <c r="T116" s="23">
        <f t="shared" si="49"/>
        <v>8.7540000000000007E-2</v>
      </c>
    </row>
    <row r="117" spans="1:20" x14ac:dyDescent="0.25">
      <c r="A117" s="14" t="s">
        <v>264</v>
      </c>
      <c r="B117" t="str">
        <f t="shared" si="41"/>
        <v>Enteric fermentation</v>
      </c>
      <c r="C117" t="str">
        <f t="shared" si="42"/>
        <v>CH4</v>
      </c>
      <c r="D117" s="22">
        <v>1.55</v>
      </c>
      <c r="E117" t="s">
        <v>148</v>
      </c>
      <c r="F117" s="22">
        <v>82888</v>
      </c>
      <c r="G117">
        <f t="shared" si="50"/>
        <v>5.1999999999999998E-2</v>
      </c>
      <c r="H117" s="23">
        <f t="shared" si="43"/>
        <v>8.0600000000000005E-2</v>
      </c>
      <c r="J117" t="str">
        <f t="shared" si="44"/>
        <v>Manure management</v>
      </c>
      <c r="K117" t="str">
        <f t="shared" si="45"/>
        <v>CH4</v>
      </c>
      <c r="L117" s="22">
        <v>13.47</v>
      </c>
      <c r="M117" t="s">
        <v>148</v>
      </c>
      <c r="N117" s="23">
        <f t="shared" si="46"/>
        <v>0.70043999999999995</v>
      </c>
      <c r="P117" t="str">
        <f t="shared" si="47"/>
        <v>Manure management</v>
      </c>
      <c r="Q117" t="str">
        <f t="shared" si="48"/>
        <v>N2O</v>
      </c>
      <c r="R117" s="22">
        <v>20.7</v>
      </c>
      <c r="S117" t="s">
        <v>316</v>
      </c>
      <c r="T117" s="23">
        <f t="shared" si="49"/>
        <v>1.0764</v>
      </c>
    </row>
    <row r="118" spans="1:20" x14ac:dyDescent="0.25">
      <c r="A118" s="14" t="s">
        <v>265</v>
      </c>
      <c r="B118" t="str">
        <f t="shared" si="41"/>
        <v>Enteric fermentation</v>
      </c>
      <c r="C118" t="str">
        <f t="shared" si="42"/>
        <v>CH4</v>
      </c>
      <c r="D118" s="22">
        <v>2.15</v>
      </c>
      <c r="E118" t="s">
        <v>148</v>
      </c>
      <c r="F118" s="22">
        <v>296484</v>
      </c>
      <c r="G118">
        <f t="shared" si="50"/>
        <v>0.186</v>
      </c>
      <c r="H118" s="23">
        <f t="shared" si="43"/>
        <v>0.39989999999999998</v>
      </c>
      <c r="J118" t="str">
        <f t="shared" si="44"/>
        <v>Manure management</v>
      </c>
      <c r="K118" t="str">
        <f t="shared" si="45"/>
        <v>CH4</v>
      </c>
      <c r="L118" s="22">
        <v>18.71</v>
      </c>
      <c r="M118" t="s">
        <v>148</v>
      </c>
      <c r="N118" s="23">
        <f t="shared" si="46"/>
        <v>3.4800599999999999</v>
      </c>
      <c r="P118" t="str">
        <f t="shared" si="47"/>
        <v>Manure management</v>
      </c>
      <c r="Q118" t="str">
        <f t="shared" si="48"/>
        <v>N2O</v>
      </c>
      <c r="R118" s="22">
        <v>20.7</v>
      </c>
      <c r="S118" t="s">
        <v>316</v>
      </c>
      <c r="T118" s="23">
        <f t="shared" si="49"/>
        <v>3.8501999999999996</v>
      </c>
    </row>
    <row r="119" spans="1:20" x14ac:dyDescent="0.25">
      <c r="A119" s="14" t="s">
        <v>266</v>
      </c>
      <c r="B119" t="str">
        <f t="shared" si="41"/>
        <v>Enteric fermentation</v>
      </c>
      <c r="C119" t="str">
        <f t="shared" si="42"/>
        <v>CH4</v>
      </c>
      <c r="D119" s="22">
        <v>4.09</v>
      </c>
      <c r="E119" t="s">
        <v>148</v>
      </c>
      <c r="F119" s="22">
        <v>52602</v>
      </c>
      <c r="G119">
        <f t="shared" si="50"/>
        <v>3.3000000000000002E-2</v>
      </c>
      <c r="H119" s="23">
        <f t="shared" si="43"/>
        <v>0.13497000000000001</v>
      </c>
      <c r="J119" t="str">
        <f t="shared" si="44"/>
        <v>Manure management</v>
      </c>
      <c r="K119" t="str">
        <f t="shared" si="45"/>
        <v>CH4</v>
      </c>
      <c r="L119" s="22">
        <v>35.549999999999997</v>
      </c>
      <c r="M119" t="s">
        <v>148</v>
      </c>
      <c r="N119" s="23">
        <f t="shared" si="46"/>
        <v>1.1731499999999999</v>
      </c>
      <c r="P119" t="str">
        <f t="shared" si="47"/>
        <v>Manure management</v>
      </c>
      <c r="Q119" t="str">
        <f t="shared" si="48"/>
        <v>N2O</v>
      </c>
      <c r="R119" s="22">
        <v>20.7</v>
      </c>
      <c r="S119" t="s">
        <v>316</v>
      </c>
      <c r="T119" s="23">
        <f t="shared" si="49"/>
        <v>0.68310000000000004</v>
      </c>
    </row>
    <row r="120" spans="1:20" x14ac:dyDescent="0.25">
      <c r="A120" s="14" t="s">
        <v>267</v>
      </c>
      <c r="B120" t="str">
        <f t="shared" si="41"/>
        <v>Enteric fermentation</v>
      </c>
      <c r="C120" t="str">
        <f t="shared" si="42"/>
        <v>CH4</v>
      </c>
      <c r="D120" s="22">
        <v>0.51</v>
      </c>
      <c r="E120" t="s">
        <v>148</v>
      </c>
      <c r="F120" s="22">
        <v>446320.00000000006</v>
      </c>
      <c r="G120">
        <f t="shared" si="50"/>
        <v>0.28000000000000003</v>
      </c>
      <c r="H120" s="23">
        <f t="shared" si="43"/>
        <v>0.14280000000000001</v>
      </c>
      <c r="J120" t="str">
        <f t="shared" si="44"/>
        <v>Manure management</v>
      </c>
      <c r="K120" t="str">
        <f t="shared" si="45"/>
        <v>CH4</v>
      </c>
      <c r="L120" s="22">
        <v>17.96</v>
      </c>
      <c r="M120" t="s">
        <v>148</v>
      </c>
      <c r="N120" s="23">
        <f t="shared" si="46"/>
        <v>5.0288000000000004</v>
      </c>
      <c r="P120" t="str">
        <f t="shared" si="47"/>
        <v>Manure management</v>
      </c>
      <c r="Q120" t="str">
        <f t="shared" si="48"/>
        <v>N2O</v>
      </c>
      <c r="R120" s="22">
        <v>11.04</v>
      </c>
      <c r="S120" t="s">
        <v>316</v>
      </c>
      <c r="T120" s="23">
        <f t="shared" si="49"/>
        <v>3.0912000000000002</v>
      </c>
    </row>
    <row r="121" spans="1:20" x14ac:dyDescent="0.25">
      <c r="A121" s="14" t="s">
        <v>268</v>
      </c>
      <c r="B121" t="str">
        <f t="shared" si="41"/>
        <v>Enteric fermentation</v>
      </c>
      <c r="C121" t="str">
        <f t="shared" si="42"/>
        <v>CH4</v>
      </c>
      <c r="D121" s="22">
        <v>0.43</v>
      </c>
      <c r="E121" t="s">
        <v>148</v>
      </c>
      <c r="F121" s="22">
        <v>526020</v>
      </c>
      <c r="G121">
        <f t="shared" si="50"/>
        <v>0.33</v>
      </c>
      <c r="H121" s="23">
        <f t="shared" si="43"/>
        <v>0.1419</v>
      </c>
      <c r="J121" t="str">
        <f t="shared" si="44"/>
        <v>Manure management</v>
      </c>
      <c r="K121" t="str">
        <f t="shared" si="45"/>
        <v>CH4</v>
      </c>
      <c r="L121" s="22">
        <v>3.74</v>
      </c>
      <c r="M121" t="s">
        <v>148</v>
      </c>
      <c r="N121" s="23">
        <f t="shared" si="46"/>
        <v>1.2342000000000002</v>
      </c>
      <c r="P121" t="str">
        <f t="shared" si="47"/>
        <v>Manure management</v>
      </c>
      <c r="Q121" t="str">
        <f t="shared" si="48"/>
        <v>N2O</v>
      </c>
      <c r="R121" s="22">
        <v>11.04</v>
      </c>
      <c r="S121" t="s">
        <v>316</v>
      </c>
      <c r="T121" s="23">
        <f t="shared" si="49"/>
        <v>3.6431999999999998</v>
      </c>
    </row>
    <row r="122" spans="1:20" x14ac:dyDescent="0.25">
      <c r="A122" s="14" t="s">
        <v>269</v>
      </c>
      <c r="B122" t="str">
        <f t="shared" si="41"/>
        <v>Enteric fermentation</v>
      </c>
      <c r="C122" t="str">
        <f t="shared" si="42"/>
        <v>CH4</v>
      </c>
      <c r="D122" s="22">
        <v>2.41</v>
      </c>
      <c r="E122" t="s">
        <v>148</v>
      </c>
      <c r="F122" s="22">
        <v>9564</v>
      </c>
      <c r="G122">
        <f t="shared" si="50"/>
        <v>6.0000000000000001E-3</v>
      </c>
      <c r="H122" s="23">
        <f t="shared" si="43"/>
        <v>1.4460000000000001E-2</v>
      </c>
      <c r="J122" t="str">
        <f t="shared" si="44"/>
        <v>Manure management</v>
      </c>
      <c r="K122" t="str">
        <f t="shared" si="45"/>
        <v>CH4</v>
      </c>
      <c r="L122" s="22">
        <v>20.96</v>
      </c>
      <c r="M122" t="s">
        <v>148</v>
      </c>
      <c r="N122" s="23">
        <f t="shared" si="46"/>
        <v>0.12576000000000001</v>
      </c>
      <c r="P122" t="str">
        <f t="shared" si="47"/>
        <v>Manure management</v>
      </c>
      <c r="Q122" t="str">
        <f t="shared" si="48"/>
        <v>N2O</v>
      </c>
      <c r="R122" s="22">
        <v>12.25</v>
      </c>
      <c r="S122" t="s">
        <v>316</v>
      </c>
      <c r="T122" s="23">
        <f t="shared" si="49"/>
        <v>7.3499999999999996E-2</v>
      </c>
    </row>
    <row r="123" spans="1:20" x14ac:dyDescent="0.25">
      <c r="A123" s="14" t="s">
        <v>270</v>
      </c>
      <c r="B123" t="str">
        <f t="shared" si="41"/>
        <v>Enteric fermentation</v>
      </c>
      <c r="C123" t="str">
        <f t="shared" si="42"/>
        <v>CH4</v>
      </c>
      <c r="D123" s="22">
        <v>2.41</v>
      </c>
      <c r="E123" t="s">
        <v>148</v>
      </c>
      <c r="F123" s="22">
        <v>82888</v>
      </c>
      <c r="G123">
        <f t="shared" si="50"/>
        <v>5.1999999999999998E-2</v>
      </c>
      <c r="H123" s="23">
        <f t="shared" si="43"/>
        <v>0.12532000000000001</v>
      </c>
      <c r="J123" t="str">
        <f t="shared" si="44"/>
        <v>Manure management</v>
      </c>
      <c r="K123" t="str">
        <f t="shared" si="45"/>
        <v>CH4</v>
      </c>
      <c r="L123" s="22">
        <v>20.96</v>
      </c>
      <c r="M123" t="s">
        <v>148</v>
      </c>
      <c r="N123" s="23">
        <f t="shared" si="46"/>
        <v>1.08992</v>
      </c>
      <c r="P123" t="str">
        <f t="shared" si="47"/>
        <v>Manure management</v>
      </c>
      <c r="Q123" t="str">
        <f t="shared" si="48"/>
        <v>N2O</v>
      </c>
      <c r="R123" s="22">
        <v>12.23</v>
      </c>
      <c r="S123" t="s">
        <v>316</v>
      </c>
      <c r="T123" s="23">
        <f t="shared" si="49"/>
        <v>0.63595999999999997</v>
      </c>
    </row>
    <row r="124" spans="1:20" x14ac:dyDescent="0.25">
      <c r="A124" s="14" t="s">
        <v>271</v>
      </c>
      <c r="B124" t="str">
        <f t="shared" si="41"/>
        <v>Enteric fermentation</v>
      </c>
      <c r="C124" t="str">
        <f t="shared" si="42"/>
        <v>CH4</v>
      </c>
      <c r="D124" s="22">
        <v>0.79</v>
      </c>
      <c r="E124" t="s">
        <v>148</v>
      </c>
      <c r="F124" s="22">
        <v>7701.5822103987002</v>
      </c>
      <c r="G124">
        <f>F124/SUM($F$124:$F$133)</f>
        <v>3.6999999999999998E-2</v>
      </c>
      <c r="H124" s="23">
        <f t="shared" si="43"/>
        <v>2.9229999999999999E-2</v>
      </c>
      <c r="J124" t="str">
        <f t="shared" si="44"/>
        <v>Manure management</v>
      </c>
      <c r="K124" t="str">
        <f t="shared" si="45"/>
        <v>CH4</v>
      </c>
      <c r="L124" s="22">
        <v>0.46</v>
      </c>
      <c r="M124" t="s">
        <v>148</v>
      </c>
      <c r="N124" s="23">
        <f t="shared" si="46"/>
        <v>1.702E-2</v>
      </c>
      <c r="P124" t="str">
        <f t="shared" si="47"/>
        <v>Manure management</v>
      </c>
      <c r="Q124" t="str">
        <f t="shared" si="48"/>
        <v>N2O</v>
      </c>
      <c r="R124" s="22">
        <v>11.04</v>
      </c>
      <c r="S124" t="s">
        <v>316</v>
      </c>
      <c r="T124" s="23">
        <f t="shared" si="49"/>
        <v>0.40847999999999995</v>
      </c>
    </row>
    <row r="125" spans="1:20" x14ac:dyDescent="0.25">
      <c r="A125" s="14" t="s">
        <v>272</v>
      </c>
      <c r="B125" t="str">
        <f t="shared" si="41"/>
        <v>Enteric fermentation</v>
      </c>
      <c r="C125" t="str">
        <f t="shared" si="42"/>
        <v>CH4</v>
      </c>
      <c r="D125" s="22">
        <v>1.55</v>
      </c>
      <c r="E125" t="s">
        <v>148</v>
      </c>
      <c r="F125" s="22">
        <v>3746.7156699236921</v>
      </c>
      <c r="G125">
        <f t="shared" ref="G125:G133" si="51">F125/SUM($F$124:$F$133)</f>
        <v>1.7999999999999999E-2</v>
      </c>
      <c r="H125" s="23">
        <f t="shared" si="43"/>
        <v>2.7899999999999998E-2</v>
      </c>
      <c r="J125" t="str">
        <f t="shared" si="44"/>
        <v>Manure management</v>
      </c>
      <c r="K125" t="str">
        <f t="shared" si="45"/>
        <v>CH4</v>
      </c>
      <c r="L125" s="22">
        <v>0.37</v>
      </c>
      <c r="M125" t="s">
        <v>148</v>
      </c>
      <c r="N125" s="23">
        <f t="shared" si="46"/>
        <v>6.6599999999999993E-3</v>
      </c>
      <c r="P125" t="str">
        <f t="shared" si="47"/>
        <v>Manure management</v>
      </c>
      <c r="Q125" t="str">
        <f t="shared" si="48"/>
        <v>N2O</v>
      </c>
      <c r="R125" s="22">
        <v>14.59</v>
      </c>
      <c r="S125" t="s">
        <v>316</v>
      </c>
      <c r="T125" s="23">
        <f t="shared" si="49"/>
        <v>0.26261999999999996</v>
      </c>
    </row>
    <row r="126" spans="1:20" x14ac:dyDescent="0.25">
      <c r="A126" s="14" t="s">
        <v>273</v>
      </c>
      <c r="B126" t="str">
        <f t="shared" si="41"/>
        <v>Enteric fermentation</v>
      </c>
      <c r="C126" t="str">
        <f t="shared" si="42"/>
        <v>CH4</v>
      </c>
      <c r="D126" s="22">
        <v>1.55</v>
      </c>
      <c r="E126" t="s">
        <v>148</v>
      </c>
      <c r="F126" s="22">
        <v>1873.357834961846</v>
      </c>
      <c r="G126">
        <f t="shared" si="51"/>
        <v>8.9999999999999993E-3</v>
      </c>
      <c r="H126" s="23">
        <f t="shared" si="43"/>
        <v>1.3949999999999999E-2</v>
      </c>
      <c r="J126" t="str">
        <f t="shared" si="44"/>
        <v>Manure management</v>
      </c>
      <c r="K126" t="str">
        <f t="shared" si="45"/>
        <v>CH4</v>
      </c>
      <c r="L126" s="22">
        <v>0.37</v>
      </c>
      <c r="M126" t="s">
        <v>148</v>
      </c>
      <c r="N126" s="23">
        <f t="shared" si="46"/>
        <v>3.3299999999999996E-3</v>
      </c>
      <c r="P126" t="str">
        <f t="shared" si="47"/>
        <v>Manure management</v>
      </c>
      <c r="Q126" t="str">
        <f t="shared" si="48"/>
        <v>N2O</v>
      </c>
      <c r="R126" s="22">
        <v>14.59</v>
      </c>
      <c r="S126" t="s">
        <v>316</v>
      </c>
      <c r="T126" s="23">
        <f t="shared" si="49"/>
        <v>0.13130999999999998</v>
      </c>
    </row>
    <row r="127" spans="1:20" x14ac:dyDescent="0.25">
      <c r="A127" s="14" t="s">
        <v>274</v>
      </c>
      <c r="B127" t="str">
        <f t="shared" si="41"/>
        <v>Enteric fermentation</v>
      </c>
      <c r="C127" t="str">
        <f t="shared" si="42"/>
        <v>CH4</v>
      </c>
      <c r="D127" s="22">
        <v>1.24</v>
      </c>
      <c r="E127" t="s">
        <v>148</v>
      </c>
      <c r="F127" s="22">
        <v>15819.466161900034</v>
      </c>
      <c r="G127">
        <f t="shared" si="51"/>
        <v>7.5999999999999998E-2</v>
      </c>
      <c r="H127" s="23">
        <f t="shared" si="43"/>
        <v>9.423999999999999E-2</v>
      </c>
      <c r="J127" t="str">
        <f t="shared" si="44"/>
        <v>Manure management</v>
      </c>
      <c r="K127" t="str">
        <f t="shared" si="45"/>
        <v>CH4</v>
      </c>
      <c r="L127" s="22">
        <v>0.3</v>
      </c>
      <c r="M127" t="s">
        <v>148</v>
      </c>
      <c r="N127" s="23">
        <f t="shared" si="46"/>
        <v>2.2799999999999997E-2</v>
      </c>
      <c r="P127" t="str">
        <f t="shared" si="47"/>
        <v>Manure management</v>
      </c>
      <c r="Q127" t="str">
        <f t="shared" si="48"/>
        <v>N2O</v>
      </c>
      <c r="R127" s="22">
        <v>20.7</v>
      </c>
      <c r="S127" t="s">
        <v>316</v>
      </c>
      <c r="T127" s="23">
        <f t="shared" si="49"/>
        <v>1.5731999999999999</v>
      </c>
    </row>
    <row r="128" spans="1:20" x14ac:dyDescent="0.25">
      <c r="A128" s="14" t="s">
        <v>275</v>
      </c>
      <c r="B128" t="str">
        <f t="shared" si="41"/>
        <v>Enteric fermentation</v>
      </c>
      <c r="C128" t="str">
        <f t="shared" si="42"/>
        <v>CH4</v>
      </c>
      <c r="D128" s="22">
        <v>1.72</v>
      </c>
      <c r="E128" t="s">
        <v>148</v>
      </c>
      <c r="F128" s="22">
        <v>57033.338531060654</v>
      </c>
      <c r="G128">
        <f t="shared" si="51"/>
        <v>0.27400000000000002</v>
      </c>
      <c r="H128" s="23">
        <f t="shared" si="43"/>
        <v>0.47128000000000003</v>
      </c>
      <c r="J128" t="str">
        <f t="shared" si="44"/>
        <v>Manure management</v>
      </c>
      <c r="K128" t="str">
        <f t="shared" si="45"/>
        <v>CH4</v>
      </c>
      <c r="L128" s="22">
        <v>0.42</v>
      </c>
      <c r="M128" t="s">
        <v>148</v>
      </c>
      <c r="N128" s="23">
        <f t="shared" si="46"/>
        <v>0.11508</v>
      </c>
      <c r="P128" t="str">
        <f t="shared" si="47"/>
        <v>Manure management</v>
      </c>
      <c r="Q128" t="str">
        <f t="shared" si="48"/>
        <v>N2O</v>
      </c>
      <c r="R128" s="22">
        <v>20.7</v>
      </c>
      <c r="S128" t="s">
        <v>316</v>
      </c>
      <c r="T128" s="23">
        <f t="shared" si="49"/>
        <v>5.6718000000000002</v>
      </c>
    </row>
    <row r="129" spans="1:20" x14ac:dyDescent="0.25">
      <c r="A129" s="14" t="s">
        <v>276</v>
      </c>
      <c r="B129" t="str">
        <f t="shared" si="41"/>
        <v>Enteric fermentation</v>
      </c>
      <c r="C129" t="str">
        <f t="shared" si="42"/>
        <v>CH4</v>
      </c>
      <c r="D129" s="22">
        <v>3.27</v>
      </c>
      <c r="E129" t="s">
        <v>148</v>
      </c>
      <c r="F129" s="22">
        <v>10199.392657014496</v>
      </c>
      <c r="G129">
        <f t="shared" si="51"/>
        <v>4.9000000000000002E-2</v>
      </c>
      <c r="H129" s="23">
        <f t="shared" si="43"/>
        <v>0.16023000000000001</v>
      </c>
      <c r="J129" t="str">
        <f t="shared" si="44"/>
        <v>Manure management</v>
      </c>
      <c r="K129" t="str">
        <f t="shared" si="45"/>
        <v>CH4</v>
      </c>
      <c r="L129" s="22">
        <v>0.79</v>
      </c>
      <c r="M129" t="s">
        <v>148</v>
      </c>
      <c r="N129" s="23">
        <f t="shared" si="46"/>
        <v>3.8710000000000001E-2</v>
      </c>
      <c r="P129" t="str">
        <f t="shared" si="47"/>
        <v>Manure management</v>
      </c>
      <c r="Q129" t="str">
        <f t="shared" si="48"/>
        <v>N2O</v>
      </c>
      <c r="R129" s="22">
        <v>20.7</v>
      </c>
      <c r="S129" t="s">
        <v>316</v>
      </c>
      <c r="T129" s="23">
        <f t="shared" si="49"/>
        <v>1.0143</v>
      </c>
    </row>
    <row r="130" spans="1:20" x14ac:dyDescent="0.25">
      <c r="A130" s="14" t="s">
        <v>277</v>
      </c>
      <c r="B130" t="str">
        <f t="shared" si="41"/>
        <v>Enteric fermentation</v>
      </c>
      <c r="C130" t="str">
        <f t="shared" si="42"/>
        <v>CH4</v>
      </c>
      <c r="D130" s="22">
        <v>0.41</v>
      </c>
      <c r="E130" t="s">
        <v>148</v>
      </c>
      <c r="F130" s="22">
        <v>43087.230204122461</v>
      </c>
      <c r="G130">
        <f t="shared" si="51"/>
        <v>0.20699999999999999</v>
      </c>
      <c r="H130" s="23">
        <f t="shared" si="43"/>
        <v>8.4869999999999987E-2</v>
      </c>
      <c r="J130" t="str">
        <f t="shared" si="44"/>
        <v>Manure management</v>
      </c>
      <c r="K130" t="str">
        <f t="shared" si="45"/>
        <v>CH4</v>
      </c>
      <c r="L130" s="22">
        <v>0.4</v>
      </c>
      <c r="M130" t="s">
        <v>148</v>
      </c>
      <c r="N130" s="23">
        <f t="shared" si="46"/>
        <v>8.2799999999999999E-2</v>
      </c>
      <c r="P130" t="str">
        <f t="shared" si="47"/>
        <v>Manure management</v>
      </c>
      <c r="Q130" t="str">
        <f t="shared" si="48"/>
        <v>N2O</v>
      </c>
      <c r="R130" s="22">
        <v>11.04</v>
      </c>
      <c r="S130" t="s">
        <v>316</v>
      </c>
      <c r="T130" s="23">
        <f t="shared" si="49"/>
        <v>2.2852799999999998</v>
      </c>
    </row>
    <row r="131" spans="1:20" x14ac:dyDescent="0.25">
      <c r="A131" s="14" t="s">
        <v>278</v>
      </c>
      <c r="B131" t="str">
        <f t="shared" si="41"/>
        <v>Enteric fermentation</v>
      </c>
      <c r="C131" t="str">
        <f t="shared" si="42"/>
        <v>CH4</v>
      </c>
      <c r="D131" s="22">
        <v>0.34</v>
      </c>
      <c r="E131" t="s">
        <v>148</v>
      </c>
      <c r="F131" s="22">
        <v>50996.963285072481</v>
      </c>
      <c r="G131">
        <f t="shared" si="51"/>
        <v>0.245</v>
      </c>
      <c r="H131" s="23">
        <f t="shared" si="43"/>
        <v>8.3299999999999999E-2</v>
      </c>
      <c r="J131" t="str">
        <f t="shared" si="44"/>
        <v>Manure management</v>
      </c>
      <c r="K131" t="str">
        <f t="shared" si="45"/>
        <v>CH4</v>
      </c>
      <c r="L131" s="22">
        <v>0.08</v>
      </c>
      <c r="M131" t="s">
        <v>148</v>
      </c>
      <c r="N131" s="23">
        <f t="shared" si="46"/>
        <v>1.9599999999999999E-2</v>
      </c>
      <c r="P131" t="str">
        <f t="shared" si="47"/>
        <v>Manure management</v>
      </c>
      <c r="Q131" t="str">
        <f t="shared" si="48"/>
        <v>N2O</v>
      </c>
      <c r="R131" s="22">
        <v>11.04</v>
      </c>
      <c r="S131" t="s">
        <v>316</v>
      </c>
      <c r="T131" s="23">
        <f t="shared" si="49"/>
        <v>2.7047999999999996</v>
      </c>
    </row>
    <row r="132" spans="1:20" x14ac:dyDescent="0.25">
      <c r="A132" s="14" t="s">
        <v>279</v>
      </c>
      <c r="B132" t="str">
        <f t="shared" si="41"/>
        <v>Enteric fermentation</v>
      </c>
      <c r="C132" t="str">
        <f t="shared" si="42"/>
        <v>CH4</v>
      </c>
      <c r="D132" s="22">
        <v>1.93</v>
      </c>
      <c r="E132" t="s">
        <v>148</v>
      </c>
      <c r="F132" s="22">
        <v>1873.357834961846</v>
      </c>
      <c r="G132">
        <f t="shared" si="51"/>
        <v>8.9999999999999993E-3</v>
      </c>
      <c r="H132" s="23">
        <f t="shared" si="43"/>
        <v>1.7369999999999997E-2</v>
      </c>
      <c r="J132" t="str">
        <f t="shared" si="44"/>
        <v>Manure management</v>
      </c>
      <c r="K132" t="str">
        <f t="shared" si="45"/>
        <v>CH4</v>
      </c>
      <c r="L132" s="22">
        <v>0.46</v>
      </c>
      <c r="M132" t="s">
        <v>148</v>
      </c>
      <c r="N132" s="23">
        <f t="shared" si="46"/>
        <v>4.1399999999999996E-3</v>
      </c>
      <c r="P132" t="str">
        <f t="shared" si="47"/>
        <v>Manure management</v>
      </c>
      <c r="Q132" t="str">
        <f t="shared" si="48"/>
        <v>N2O</v>
      </c>
      <c r="R132" s="22">
        <v>12.25</v>
      </c>
      <c r="S132" t="s">
        <v>316</v>
      </c>
      <c r="T132" s="23">
        <f t="shared" si="49"/>
        <v>0.11024999999999999</v>
      </c>
    </row>
    <row r="133" spans="1:20" x14ac:dyDescent="0.25">
      <c r="A133" s="14" t="s">
        <v>280</v>
      </c>
      <c r="B133" t="str">
        <f t="shared" si="41"/>
        <v>Enteric fermentation</v>
      </c>
      <c r="C133" t="str">
        <f t="shared" si="42"/>
        <v>CH4</v>
      </c>
      <c r="D133" s="22">
        <v>1.93</v>
      </c>
      <c r="E133" t="s">
        <v>148</v>
      </c>
      <c r="F133" s="22">
        <v>15819.466161900034</v>
      </c>
      <c r="G133">
        <f t="shared" si="51"/>
        <v>7.5999999999999998E-2</v>
      </c>
      <c r="H133" s="23">
        <f t="shared" si="43"/>
        <v>0.14668</v>
      </c>
      <c r="J133" t="str">
        <f t="shared" si="44"/>
        <v>Manure management</v>
      </c>
      <c r="K133" t="str">
        <f t="shared" si="45"/>
        <v>CH4</v>
      </c>
      <c r="L133" s="22">
        <v>0.46</v>
      </c>
      <c r="M133" t="s">
        <v>148</v>
      </c>
      <c r="N133" s="23">
        <f t="shared" si="46"/>
        <v>3.4959999999999998E-2</v>
      </c>
      <c r="P133" t="str">
        <f t="shared" si="47"/>
        <v>Manure management</v>
      </c>
      <c r="Q133" t="str">
        <f t="shared" si="48"/>
        <v>N2O</v>
      </c>
      <c r="R133" s="22">
        <v>12.23</v>
      </c>
      <c r="S133" t="s">
        <v>316</v>
      </c>
      <c r="T133" s="23">
        <f t="shared" si="49"/>
        <v>0.92947999999999997</v>
      </c>
    </row>
    <row r="134" spans="1:20" x14ac:dyDescent="0.25">
      <c r="A134" s="13" t="s">
        <v>292</v>
      </c>
      <c r="M134" s="13"/>
    </row>
    <row r="135" spans="1:20" x14ac:dyDescent="0.25">
      <c r="A135" s="14" t="s">
        <v>293</v>
      </c>
      <c r="F135" s="22">
        <v>88431266.728296682</v>
      </c>
      <c r="J135" t="str">
        <f t="shared" ref="J135:J138" si="52">$J$5</f>
        <v>Manure management</v>
      </c>
      <c r="K135" t="str">
        <f t="shared" ref="K135:K138" si="53">$K$5</f>
        <v>CH4</v>
      </c>
      <c r="L135" s="22">
        <v>2.35E-2</v>
      </c>
      <c r="M135" t="s">
        <v>148</v>
      </c>
      <c r="N135" s="23">
        <f>L135</f>
        <v>2.35E-2</v>
      </c>
      <c r="P135" t="str">
        <f t="shared" ref="P135:P138" si="54">$P$5</f>
        <v>Manure management</v>
      </c>
      <c r="Q135" t="str">
        <f t="shared" ref="Q135:Q138" si="55">$Q$5</f>
        <v>N2O</v>
      </c>
      <c r="R135" s="22">
        <v>0.7</v>
      </c>
      <c r="S135" t="s">
        <v>316</v>
      </c>
      <c r="T135" s="23">
        <f>R135</f>
        <v>0.7</v>
      </c>
    </row>
    <row r="136" spans="1:20" x14ac:dyDescent="0.25">
      <c r="A136" s="14" t="s">
        <v>294</v>
      </c>
      <c r="F136" s="22">
        <v>23091061.215630483</v>
      </c>
      <c r="J136" t="str">
        <f t="shared" si="52"/>
        <v>Manure management</v>
      </c>
      <c r="K136" t="str">
        <f t="shared" si="53"/>
        <v>CH4</v>
      </c>
      <c r="L136" s="22">
        <v>2.35E-2</v>
      </c>
      <c r="M136" t="s">
        <v>148</v>
      </c>
      <c r="N136" s="23">
        <f t="shared" ref="N136:N138" si="56">L136</f>
        <v>2.35E-2</v>
      </c>
      <c r="P136" t="str">
        <f t="shared" si="54"/>
        <v>Manure management</v>
      </c>
      <c r="Q136" t="str">
        <f t="shared" si="55"/>
        <v>N2O</v>
      </c>
      <c r="R136" s="22">
        <v>0.6</v>
      </c>
      <c r="S136" t="s">
        <v>316</v>
      </c>
      <c r="T136" s="23">
        <f t="shared" ref="T136:T138" si="57">R136</f>
        <v>0.6</v>
      </c>
    </row>
    <row r="137" spans="1:20" x14ac:dyDescent="0.25">
      <c r="A137" s="14" t="s">
        <v>295</v>
      </c>
      <c r="F137" s="22">
        <v>3714113.2025884609</v>
      </c>
      <c r="J137" t="str">
        <f t="shared" si="52"/>
        <v>Manure management</v>
      </c>
      <c r="K137" t="str">
        <f t="shared" si="53"/>
        <v>CH4</v>
      </c>
      <c r="L137" s="22">
        <v>2.35E-2</v>
      </c>
      <c r="M137" t="s">
        <v>148</v>
      </c>
      <c r="N137" s="23">
        <f t="shared" si="56"/>
        <v>2.35E-2</v>
      </c>
      <c r="P137" t="str">
        <f t="shared" si="54"/>
        <v>Manure management</v>
      </c>
      <c r="Q137" t="str">
        <f t="shared" si="55"/>
        <v>N2O</v>
      </c>
      <c r="R137" s="22">
        <v>0.7</v>
      </c>
      <c r="S137" t="s">
        <v>316</v>
      </c>
      <c r="T137" s="23">
        <f t="shared" si="57"/>
        <v>0.7</v>
      </c>
    </row>
    <row r="138" spans="1:20" x14ac:dyDescent="0.25">
      <c r="A138" s="14" t="s">
        <v>296</v>
      </c>
      <c r="F138" s="22">
        <v>969824.57105648029</v>
      </c>
      <c r="J138" t="str">
        <f t="shared" si="52"/>
        <v>Manure management</v>
      </c>
      <c r="K138" t="str">
        <f t="shared" si="53"/>
        <v>CH4</v>
      </c>
      <c r="L138" s="22">
        <v>2.35E-2</v>
      </c>
      <c r="M138" t="s">
        <v>148</v>
      </c>
      <c r="N138" s="23">
        <f t="shared" si="56"/>
        <v>2.35E-2</v>
      </c>
      <c r="P138" t="str">
        <f t="shared" si="54"/>
        <v>Manure management</v>
      </c>
      <c r="Q138" t="str">
        <f t="shared" si="55"/>
        <v>N2O</v>
      </c>
      <c r="R138" s="22">
        <v>0.6</v>
      </c>
      <c r="S138" t="s">
        <v>316</v>
      </c>
      <c r="T138" s="23">
        <f t="shared" si="57"/>
        <v>0.6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V188"/>
  <sheetViews>
    <sheetView workbookViewId="0">
      <pane ySplit="3" topLeftCell="A138" activePane="bottomLeft" state="frozen"/>
      <selection activeCell="D1" sqref="D1"/>
      <selection pane="bottomLeft" activeCell="D156" sqref="D156"/>
    </sheetView>
  </sheetViews>
  <sheetFormatPr defaultRowHeight="15" x14ac:dyDescent="0.25"/>
  <cols>
    <col min="1" max="1" width="15.42578125" customWidth="1"/>
    <col min="2" max="2" width="31" customWidth="1"/>
    <col min="3" max="3" width="27.7109375" customWidth="1"/>
    <col min="4" max="4" width="48.42578125" customWidth="1"/>
    <col min="5" max="5" width="33.28515625" customWidth="1"/>
    <col min="6" max="6" width="7.5703125" customWidth="1"/>
    <col min="7" max="7" width="14" customWidth="1"/>
    <col min="8" max="35" width="9.7109375" customWidth="1"/>
    <col min="36" max="36" width="9.5703125" customWidth="1"/>
    <col min="51" max="52" width="9.42578125" customWidth="1"/>
    <col min="53" max="53" width="9.7109375" customWidth="1"/>
  </cols>
  <sheetData>
    <row r="1" spans="1:74" ht="18.75" x14ac:dyDescent="0.3">
      <c r="A1" s="1" t="s">
        <v>742</v>
      </c>
    </row>
    <row r="3" spans="1:74" s="19" customFormat="1" ht="15.75" x14ac:dyDescent="0.25">
      <c r="A3" s="17" t="s">
        <v>8</v>
      </c>
      <c r="B3" s="17" t="s">
        <v>318</v>
      </c>
      <c r="C3" s="17" t="s">
        <v>320</v>
      </c>
      <c r="D3" s="17" t="s">
        <v>153</v>
      </c>
      <c r="E3" s="17" t="s">
        <v>154</v>
      </c>
      <c r="F3" s="17" t="s">
        <v>9</v>
      </c>
      <c r="G3" s="17" t="s">
        <v>0</v>
      </c>
      <c r="H3" s="17">
        <v>1990</v>
      </c>
      <c r="I3" s="17">
        <v>1991</v>
      </c>
      <c r="J3" s="17">
        <v>1992</v>
      </c>
      <c r="K3" s="17">
        <v>1993</v>
      </c>
      <c r="L3" s="17">
        <v>1994</v>
      </c>
      <c r="M3" s="17">
        <v>1995</v>
      </c>
      <c r="N3" s="17">
        <v>1996</v>
      </c>
      <c r="O3" s="17">
        <v>1997</v>
      </c>
      <c r="P3" s="17">
        <v>1998</v>
      </c>
      <c r="Q3" s="17">
        <v>1999</v>
      </c>
      <c r="R3" s="17">
        <v>2000</v>
      </c>
      <c r="S3" s="17">
        <v>2001</v>
      </c>
      <c r="T3" s="17">
        <v>2002</v>
      </c>
      <c r="U3" s="17">
        <v>2003</v>
      </c>
      <c r="V3" s="17">
        <v>2004</v>
      </c>
      <c r="W3" s="17">
        <v>2005</v>
      </c>
      <c r="X3" s="17">
        <v>2006</v>
      </c>
      <c r="Y3" s="17">
        <v>2007</v>
      </c>
      <c r="Z3" s="17">
        <v>2008</v>
      </c>
      <c r="AA3" s="17">
        <v>2009</v>
      </c>
      <c r="AB3" s="17">
        <v>2010</v>
      </c>
      <c r="AC3" s="17">
        <v>2011</v>
      </c>
      <c r="AD3" s="17">
        <v>2012</v>
      </c>
      <c r="AE3" s="17">
        <v>2013</v>
      </c>
      <c r="AF3" s="17">
        <v>2014</v>
      </c>
      <c r="AG3" s="17">
        <v>2015</v>
      </c>
      <c r="AH3" s="17">
        <v>2016</v>
      </c>
      <c r="AI3" s="17">
        <v>2017</v>
      </c>
      <c r="AJ3" s="17">
        <v>2018</v>
      </c>
      <c r="AK3" s="17">
        <v>2019</v>
      </c>
      <c r="AL3" s="17">
        <v>2020</v>
      </c>
      <c r="AM3" s="17">
        <v>2021</v>
      </c>
      <c r="AN3" s="17">
        <v>2022</v>
      </c>
      <c r="AO3" s="17">
        <v>2023</v>
      </c>
      <c r="AP3" s="17">
        <v>2024</v>
      </c>
      <c r="AQ3" s="17">
        <v>2025</v>
      </c>
      <c r="AR3" s="17">
        <v>2026</v>
      </c>
      <c r="AS3" s="17">
        <v>2027</v>
      </c>
      <c r="AT3" s="17">
        <v>2028</v>
      </c>
      <c r="AU3" s="17">
        <v>2029</v>
      </c>
      <c r="AV3" s="17">
        <v>2030</v>
      </c>
      <c r="AW3" s="17">
        <v>2031</v>
      </c>
      <c r="AX3" s="17">
        <v>2032</v>
      </c>
      <c r="AY3" s="17">
        <v>2033</v>
      </c>
      <c r="AZ3" s="17">
        <v>2034</v>
      </c>
      <c r="BA3" s="17">
        <v>2035</v>
      </c>
      <c r="BB3" s="17">
        <v>2036</v>
      </c>
      <c r="BC3" s="17">
        <v>2037</v>
      </c>
      <c r="BD3" s="17">
        <v>2038</v>
      </c>
      <c r="BE3" s="17">
        <v>2039</v>
      </c>
      <c r="BF3" s="17">
        <v>2040</v>
      </c>
      <c r="BG3" s="17">
        <v>2041</v>
      </c>
      <c r="BH3" s="17">
        <v>2042</v>
      </c>
      <c r="BI3" s="17">
        <v>2043</v>
      </c>
      <c r="BJ3" s="17">
        <v>2044</v>
      </c>
      <c r="BK3" s="17">
        <v>2045</v>
      </c>
      <c r="BL3" s="17">
        <v>2046</v>
      </c>
      <c r="BM3" s="17">
        <v>2047</v>
      </c>
      <c r="BN3" s="17">
        <v>2048</v>
      </c>
      <c r="BO3" s="17">
        <v>2049</v>
      </c>
      <c r="BP3" s="17">
        <v>2050</v>
      </c>
      <c r="BQ3" s="17"/>
      <c r="BR3" s="17"/>
      <c r="BS3" s="17"/>
      <c r="BT3" s="17"/>
      <c r="BU3" s="17"/>
      <c r="BV3" s="17"/>
    </row>
    <row r="4" spans="1:74" x14ac:dyDescent="0.25">
      <c r="A4" t="str">
        <f>'IPCC Categories'!A5</f>
        <v>3A Livestock</v>
      </c>
      <c r="B4" t="str">
        <f>'IPCC Categories'!B5</f>
        <v>3A1 Enteric fermentation (CH4)</v>
      </c>
      <c r="C4" t="str">
        <f>EF!C4</f>
        <v>3A1ai Dairy cattle</v>
      </c>
      <c r="D4" t="str">
        <f>EF!D4</f>
        <v>TMR</v>
      </c>
      <c r="E4" t="str">
        <f>'IPCC Categories'!F5&amp;" Emissions"</f>
        <v>Enteric fermentation Emissions</v>
      </c>
      <c r="F4" t="s">
        <v>125</v>
      </c>
      <c r="G4" t="s">
        <v>290</v>
      </c>
      <c r="H4" s="29">
        <f>IF(('Activity data'!H5*EF!$H4)*kgtoGg=0,"NO",('Activity data'!H5*EF!$H4)*kgtoGg)</f>
        <v>59.718917014778661</v>
      </c>
      <c r="I4" s="29">
        <f>IF(('Activity data'!I5*EF!$H4)*kgtoGg=0,"NO",('Activity data'!I5*EF!$H4)*kgtoGg)</f>
        <v>68.751985275543859</v>
      </c>
      <c r="J4" s="29">
        <f>IF(('Activity data'!J5*EF!$H4)*kgtoGg=0,"NO",('Activity data'!J5*EF!$H4)*kgtoGg)</f>
        <v>59.479363059114746</v>
      </c>
      <c r="K4" s="29">
        <f>IF(('Activity data'!K5*EF!$H4)*kgtoGg=0,"NO",('Activity data'!K5*EF!$H4)*kgtoGg)</f>
        <v>63.083438863990956</v>
      </c>
      <c r="L4" s="29">
        <f>IF(('Activity data'!L5*EF!$H4)*kgtoGg=0,"NO",('Activity data'!L5*EF!$H4)*kgtoGg)</f>
        <v>58.521147236459079</v>
      </c>
      <c r="M4" s="29">
        <f>IF(('Activity data'!M5*EF!$H4)*kgtoGg=0,"NO",('Activity data'!M5*EF!$H4)*kgtoGg)</f>
        <v>62.604330952663126</v>
      </c>
      <c r="N4" s="29">
        <f>IF(('Activity data'!N5*EF!$H4)*kgtoGg=0,"NO",('Activity data'!N5*EF!$H4)*kgtoGg)</f>
        <v>62.843884908327048</v>
      </c>
      <c r="O4" s="29">
        <f>IF(('Activity data'!O5*EF!$H4)*kgtoGg=0,"NO",('Activity data'!O5*EF!$H4)*kgtoGg)</f>
        <v>60.585617843135758</v>
      </c>
      <c r="P4" s="29">
        <f>IF(('Activity data'!P5*EF!$H4)*kgtoGg=0,"NO",('Activity data'!P5*EF!$H4)*kgtoGg)</f>
        <v>59.866955976144006</v>
      </c>
      <c r="Q4" s="29">
        <f>IF(('Activity data'!Q5*EF!$H4)*kgtoGg=0,"NO",('Activity data'!Q5*EF!$H4)*kgtoGg)</f>
        <v>58.80645868927229</v>
      </c>
      <c r="R4" s="29">
        <f>IF(('Activity data'!R5*EF!$H4)*kgtoGg=0,"NO",('Activity data'!R5*EF!$H4)*kgtoGg)</f>
        <v>75.720582929632371</v>
      </c>
      <c r="S4" s="29">
        <f>IF(('Activity data'!S5*EF!$H4)*kgtoGg=0,"NO",('Activity data'!S5*EF!$H4)*kgtoGg)</f>
        <v>75.481028973968449</v>
      </c>
      <c r="T4" s="29">
        <f>IF(('Activity data'!T5*EF!$H4)*kgtoGg=0,"NO",('Activity data'!T5*EF!$H4)*kgtoGg)</f>
        <v>65.820813840510098</v>
      </c>
      <c r="U4" s="29">
        <f>IF(('Activity data'!U5*EF!$H4)*kgtoGg=0,"NO",('Activity data'!U5*EF!$H4)*kgtoGg)</f>
        <v>59.866955976144006</v>
      </c>
      <c r="V4" s="29">
        <f>IF(('Activity data'!V5*EF!$H4)*kgtoGg=0,"NO",('Activity data'!V5*EF!$H4)*kgtoGg)</f>
        <v>57.802485369467341</v>
      </c>
      <c r="W4" s="29">
        <f>IF(('Activity data'!W5*EF!$H4)*kgtoGg=0,"NO",('Activity data'!W5*EF!$H4)*kgtoGg)</f>
        <v>61.885669085671374</v>
      </c>
      <c r="X4" s="29">
        <f>IF(('Activity data'!X5*EF!$H4)*kgtoGg=0,"NO",('Activity data'!X5*EF!$H4)*kgtoGg)</f>
        <v>60.539860345986469</v>
      </c>
      <c r="Y4" s="29">
        <f>IF(('Activity data'!Y5*EF!$H4)*kgtoGg=0,"NO",('Activity data'!Y5*EF!$H4)*kgtoGg)</f>
        <v>60.106509931807928</v>
      </c>
      <c r="Z4" s="29">
        <f>IF(('Activity data'!Z5*EF!$H4)*kgtoGg=0,"NO",('Activity data'!Z5*EF!$H4)*kgtoGg)</f>
        <v>73.610354825806411</v>
      </c>
      <c r="AA4" s="29">
        <f>IF(('Activity data'!AA5*EF!$H4)*kgtoGg=0,"NO",('Activity data'!AA5*EF!$H4)*kgtoGg)</f>
        <v>75.435271476819167</v>
      </c>
      <c r="AB4" s="29">
        <f>IF(('Activity data'!AB5*EF!$H4)*kgtoGg=0,"NO",('Activity data'!AB5*EF!$H4)*kgtoGg)</f>
        <v>75.435271476819167</v>
      </c>
      <c r="AC4" s="29">
        <f>IF(('Activity data'!AC5*EF!$H4)*kgtoGg=0,"NO",('Activity data'!AC5*EF!$H4)*kgtoGg)</f>
        <v>72.697896500300033</v>
      </c>
      <c r="AD4" s="29">
        <f>IF(('Activity data'!AD5*EF!$H4)*kgtoGg=0,"NO",('Activity data'!AD5*EF!$H4)*kgtoGg)</f>
        <v>70.006279020930194</v>
      </c>
      <c r="AE4" s="29">
        <f>IF(('Activity data'!AE5*EF!$H4)*kgtoGg=0,"NO",('Activity data'!AE5*EF!$H4)*kgtoGg)</f>
        <v>75.481028973968449</v>
      </c>
      <c r="AF4" s="29">
        <f>IF(('Activity data'!AF5*EF!$H4)*kgtoGg=0,"NO",('Activity data'!AF5*EF!$H4)*kgtoGg)</f>
        <v>71.35208776061512</v>
      </c>
      <c r="AG4" s="29">
        <f>IF(('Activity data'!AG5*EF!$H4)*kgtoGg=0,"NO",('Activity data'!AG5*EF!$H4)*kgtoGg)</f>
        <v>72.218788588972203</v>
      </c>
      <c r="AH4" s="29">
        <f>IF(('Activity data'!AH5*EF!$H4)*kgtoGg=0,"NO",('Activity data'!AH5*EF!$H4)*kgtoGg)</f>
        <v>74.910406068342056</v>
      </c>
      <c r="AI4" s="29">
        <f>IF(('Activity data'!AI5*EF!$H4)*kgtoGg=0,"NO",('Activity data'!AI5*EF!$H4)*kgtoGg)</f>
        <v>80.578952479894951</v>
      </c>
      <c r="AJ4" s="29">
        <f>IF(('Activity data'!AJ5*EF!$H4)*kgtoGg=0,"NO",('Activity data'!AJ5*EF!$H4)*kgtoGg)</f>
        <v>73.552150604241589</v>
      </c>
      <c r="AK4" s="29">
        <f>IF(('Activity data'!AK5*EF!$H4)*kgtoGg=0,"NO",('Activity data'!AK5*EF!$H4)*kgtoGg)</f>
        <v>73.812756461077527</v>
      </c>
      <c r="AL4" s="29">
        <f>IF(('Activity data'!AL5*EF!$H4)*kgtoGg=0,"NO",('Activity data'!AL5*EF!$H4)*kgtoGg)</f>
        <v>73.66676963885179</v>
      </c>
      <c r="AM4" s="29">
        <f>IF(('Activity data'!AM5*EF!$H4)*kgtoGg=0,"NO",('Activity data'!AM5*EF!$H4)*kgtoGg)</f>
        <v>73.990957328376567</v>
      </c>
      <c r="AN4" s="29">
        <f>IF(('Activity data'!AN5*EF!$H4)*kgtoGg=0,"NO",('Activity data'!AN5*EF!$H4)*kgtoGg)</f>
        <v>74.311011898641723</v>
      </c>
      <c r="AO4" s="29">
        <f>IF(('Activity data'!AO5*EF!$H4)*kgtoGg=0,"NO",('Activity data'!AO5*EF!$H4)*kgtoGg)</f>
        <v>74.631994240176653</v>
      </c>
      <c r="AP4" s="29">
        <f>IF(('Activity data'!AP5*EF!$H4)*kgtoGg=0,"NO",('Activity data'!AP5*EF!$H4)*kgtoGg)</f>
        <v>74.949418545723333</v>
      </c>
      <c r="AQ4" s="29">
        <f>IF(('Activity data'!AQ5*EF!$H4)*kgtoGg=0,"NO",('Activity data'!AQ5*EF!$H4)*kgtoGg)</f>
        <v>75.270969810659125</v>
      </c>
      <c r="AR4" s="29">
        <f>IF(('Activity data'!AR5*EF!$H4)*kgtoGg=0,"NO",('Activity data'!AR5*EF!$H4)*kgtoGg)</f>
        <v>75.629808394463254</v>
      </c>
      <c r="AS4" s="29">
        <f>IF(('Activity data'!AS5*EF!$H4)*kgtoGg=0,"NO",('Activity data'!AS5*EF!$H4)*kgtoGg)</f>
        <v>75.987552732547712</v>
      </c>
      <c r="AT4" s="29">
        <f>IF(('Activity data'!AT5*EF!$H4)*kgtoGg=0,"NO",('Activity data'!AT5*EF!$H4)*kgtoGg)</f>
        <v>76.350883283480456</v>
      </c>
      <c r="AU4" s="29">
        <f>IF(('Activity data'!AU5*EF!$H4)*kgtoGg=0,"NO",('Activity data'!AU5*EF!$H4)*kgtoGg)</f>
        <v>76.718361796464265</v>
      </c>
      <c r="AV4" s="29">
        <f>IF(('Activity data'!AV5*EF!$H4)*kgtoGg=0,"NO",('Activity data'!AV5*EF!$H4)*kgtoGg)</f>
        <v>77.090366866618936</v>
      </c>
      <c r="AW4" s="29">
        <f>IF(('Activity data'!AW5*EF!$H4)*kgtoGg=0,"NO",('Activity data'!AW5*EF!$H4)*kgtoGg)</f>
        <v>77.480831813827379</v>
      </c>
      <c r="AX4" s="29">
        <f>IF(('Activity data'!AX5*EF!$H4)*kgtoGg=0,"NO",('Activity data'!AX5*EF!$H4)*kgtoGg)</f>
        <v>77.863855001571821</v>
      </c>
      <c r="AY4" s="29">
        <f>IF(('Activity data'!AY5*EF!$H4)*kgtoGg=0,"NO",('Activity data'!AY5*EF!$H4)*kgtoGg)</f>
        <v>78.263663050873333</v>
      </c>
      <c r="AZ4" s="29">
        <f>IF(('Activity data'!AZ5*EF!$H4)*kgtoGg=0,"NO",('Activity data'!AZ5*EF!$H4)*kgtoGg)</f>
        <v>78.675205175631817</v>
      </c>
      <c r="BA4" s="29">
        <f>IF(('Activity data'!BA5*EF!$H4)*kgtoGg=0,"NO",('Activity data'!BA5*EF!$H4)*kgtoGg)</f>
        <v>79.099116478370092</v>
      </c>
      <c r="BB4" s="29">
        <f>IF(('Activity data'!BB5*EF!$H4)*kgtoGg=0,"NO",('Activity data'!BB5*EF!$H4)*kgtoGg)</f>
        <v>79.537798341057467</v>
      </c>
      <c r="BC4" s="29">
        <f>IF(('Activity data'!BC5*EF!$H4)*kgtoGg=0,"NO",('Activity data'!BC5*EF!$H4)*kgtoGg)</f>
        <v>79.98498809057152</v>
      </c>
      <c r="BD4" s="29">
        <f>IF(('Activity data'!BD5*EF!$H4)*kgtoGg=0,"NO",('Activity data'!BD5*EF!$H4)*kgtoGg)</f>
        <v>80.435338481375567</v>
      </c>
      <c r="BE4" s="29">
        <f>IF(('Activity data'!BE5*EF!$H4)*kgtoGg=0,"NO",('Activity data'!BE5*EF!$H4)*kgtoGg)</f>
        <v>80.894276999344697</v>
      </c>
      <c r="BF4" s="29">
        <f>IF(('Activity data'!BF5*EF!$H4)*kgtoGg=0,"NO",('Activity data'!BF5*EF!$H4)*kgtoGg)</f>
        <v>81.366609445038023</v>
      </c>
      <c r="BG4" s="29">
        <f>IF(('Activity data'!BG5*EF!$H4)*kgtoGg=0,"NO",('Activity data'!BG5*EF!$H4)*kgtoGg)</f>
        <v>81.882519738580257</v>
      </c>
      <c r="BH4" s="29">
        <f>IF(('Activity data'!BH5*EF!$H4)*kgtoGg=0,"NO",('Activity data'!BH5*EF!$H4)*kgtoGg)</f>
        <v>82.408712115532637</v>
      </c>
      <c r="BI4" s="29">
        <f>IF(('Activity data'!BI5*EF!$H4)*kgtoGg=0,"NO",('Activity data'!BI5*EF!$H4)*kgtoGg)</f>
        <v>82.944600448674009</v>
      </c>
      <c r="BJ4" s="29">
        <f>IF(('Activity data'!BJ5*EF!$H4)*kgtoGg=0,"NO",('Activity data'!BJ5*EF!$H4)*kgtoGg)</f>
        <v>83.491631513777094</v>
      </c>
      <c r="BK4" s="29">
        <f>IF(('Activity data'!BK5*EF!$H4)*kgtoGg=0,"NO",('Activity data'!BK5*EF!$H4)*kgtoGg)</f>
        <v>84.055541413873129</v>
      </c>
      <c r="BL4" s="29">
        <f>IF(('Activity data'!BL5*EF!$H4)*kgtoGg=0,"NO",('Activity data'!BL5*EF!$H4)*kgtoGg)</f>
        <v>84.624086584445294</v>
      </c>
      <c r="BM4" s="29">
        <f>IF(('Activity data'!BM5*EF!$H4)*kgtoGg=0,"NO",('Activity data'!BM5*EF!$H4)*kgtoGg)</f>
        <v>85.207185159910765</v>
      </c>
      <c r="BN4" s="29">
        <f>IF(('Activity data'!BN5*EF!$H4)*kgtoGg=0,"NO",('Activity data'!BN5*EF!$H4)*kgtoGg)</f>
        <v>85.793933225826208</v>
      </c>
      <c r="BO4" s="29">
        <f>IF(('Activity data'!BO5*EF!$H4)*kgtoGg=0,"NO",('Activity data'!BO5*EF!$H4)*kgtoGg)</f>
        <v>86.396553694580405</v>
      </c>
      <c r="BP4" s="29">
        <f>IF(('Activity data'!BP5*EF!$H4)*kgtoGg=0,"NO",('Activity data'!BP5*EF!$H4)*kgtoGg)</f>
        <v>87.016371100359876</v>
      </c>
    </row>
    <row r="5" spans="1:74" x14ac:dyDescent="0.25">
      <c r="A5" t="str">
        <f>A4</f>
        <v>3A Livestock</v>
      </c>
      <c r="B5" t="str">
        <f>B4</f>
        <v>3A1 Enteric fermentation (CH4)</v>
      </c>
      <c r="C5" t="str">
        <f>EF!C5</f>
        <v>3A1ai Dairy cattle</v>
      </c>
      <c r="D5" t="str">
        <f>EF!D5</f>
        <v>Pasture</v>
      </c>
      <c r="E5" t="str">
        <f t="shared" ref="E5:G6" si="0">E4</f>
        <v>Enteric fermentation Emissions</v>
      </c>
      <c r="F5" t="str">
        <f t="shared" si="0"/>
        <v>CH4</v>
      </c>
      <c r="G5" t="str">
        <f t="shared" si="0"/>
        <v>Gg CH4</v>
      </c>
      <c r="H5" s="29">
        <f>IF(('Activity data'!H6*EF!$H5)*kgtoGg=0,"NO",('Activity data'!H6*EF!$H5)*kgtoGg)</f>
        <v>47.244302499713584</v>
      </c>
      <c r="I5" s="29">
        <f>IF(('Activity data'!I6*EF!$H5)*kgtoGg=0,"NO",('Activity data'!I6*EF!$H5)*kgtoGg)</f>
        <v>54.390463728768381</v>
      </c>
      <c r="J5" s="29">
        <f>IF(('Activity data'!J6*EF!$H5)*kgtoGg=0,"NO",('Activity data'!J6*EF!$H5)*kgtoGg)</f>
        <v>47.054788688811946</v>
      </c>
      <c r="K5" s="29">
        <f>IF(('Activity data'!K6*EF!$H5)*kgtoGg=0,"NO",('Activity data'!K6*EF!$H5)*kgtoGg)</f>
        <v>49.90601332698369</v>
      </c>
      <c r="L5" s="29">
        <f>IF(('Activity data'!L6*EF!$H5)*kgtoGg=0,"NO",('Activity data'!L6*EF!$H5)*kgtoGg)</f>
        <v>46.296733445205426</v>
      </c>
      <c r="M5" s="29">
        <f>IF(('Activity data'!M6*EF!$H5)*kgtoGg=0,"NO",('Activity data'!M6*EF!$H5)*kgtoGg)</f>
        <v>49.526985705180429</v>
      </c>
      <c r="N5" s="29">
        <f>IF(('Activity data'!N6*EF!$H5)*kgtoGg=0,"NO",('Activity data'!N6*EF!$H5)*kgtoGg)</f>
        <v>49.71649951608206</v>
      </c>
      <c r="O5" s="29">
        <f>IF(('Activity data'!O6*EF!$H5)*kgtoGg=0,"NO",('Activity data'!O6*EF!$H5)*kgtoGg)</f>
        <v>47.929959208818367</v>
      </c>
      <c r="P5" s="29">
        <f>IF(('Activity data'!P6*EF!$H5)*kgtoGg=0,"NO",('Activity data'!P6*EF!$H5)*kgtoGg)</f>
        <v>47.36141777611347</v>
      </c>
      <c r="Q5" s="29">
        <f>IF(('Activity data'!Q6*EF!$H5)*kgtoGg=0,"NO",('Activity data'!Q6*EF!$H5)*kgtoGg)</f>
        <v>46.522446523357921</v>
      </c>
      <c r="R5" s="29">
        <f>IF(('Activity data'!R6*EF!$H5)*kgtoGg=0,"NO",('Activity data'!R6*EF!$H5)*kgtoGg)</f>
        <v>59.903399194210245</v>
      </c>
      <c r="S5" s="29">
        <f>IF(('Activity data'!S6*EF!$H5)*kgtoGg=0,"NO",('Activity data'!S6*EF!$H5)*kgtoGg)</f>
        <v>59.713885383308607</v>
      </c>
      <c r="T5" s="29">
        <f>IF(('Activity data'!T6*EF!$H5)*kgtoGg=0,"NO",('Activity data'!T6*EF!$H5)*kgtoGg)</f>
        <v>52.071581256050649</v>
      </c>
      <c r="U5" s="29">
        <f>IF(('Activity data'!U6*EF!$H5)*kgtoGg=0,"NO",('Activity data'!U6*EF!$H5)*kgtoGg)</f>
        <v>47.36141777611347</v>
      </c>
      <c r="V5" s="29">
        <f>IF(('Activity data'!V6*EF!$H5)*kgtoGg=0,"NO",('Activity data'!V6*EF!$H5)*kgtoGg)</f>
        <v>45.728192012500521</v>
      </c>
      <c r="W5" s="29">
        <f>IF(('Activity data'!W6*EF!$H5)*kgtoGg=0,"NO",('Activity data'!W6*EF!$H5)*kgtoGg)</f>
        <v>48.958444272475539</v>
      </c>
      <c r="X5" s="29">
        <f>IF(('Activity data'!X6*EF!$H5)*kgtoGg=0,"NO",('Activity data'!X6*EF!$H5)*kgtoGg)</f>
        <v>47.893759941567488</v>
      </c>
      <c r="Y5" s="29">
        <f>IF(('Activity data'!Y6*EF!$H5)*kgtoGg=0,"NO",('Activity data'!Y6*EF!$H5)*kgtoGg)</f>
        <v>47.550931587015107</v>
      </c>
      <c r="Z5" s="29">
        <f>IF(('Activity data'!Z6*EF!$H5)*kgtoGg=0,"NO",('Activity data'!Z6*EF!$H5)*kgtoGg)</f>
        <v>58.233974163346424</v>
      </c>
      <c r="AA5" s="29">
        <f>IF(('Activity data'!AA6*EF!$H5)*kgtoGg=0,"NO",('Activity data'!AA6*EF!$H5)*kgtoGg)</f>
        <v>59.677686116057721</v>
      </c>
      <c r="AB5" s="29">
        <f>IF(('Activity data'!AB6*EF!$H5)*kgtoGg=0,"NO",('Activity data'!AB6*EF!$H5)*kgtoGg)</f>
        <v>59.677686116057721</v>
      </c>
      <c r="AC5" s="29">
        <f>IF(('Activity data'!AC6*EF!$H5)*kgtoGg=0,"NO",('Activity data'!AC6*EF!$H5)*kgtoGg)</f>
        <v>57.512118186990755</v>
      </c>
      <c r="AD5" s="29">
        <f>IF(('Activity data'!AD6*EF!$H5)*kgtoGg=0,"NO",('Activity data'!AD6*EF!$H5)*kgtoGg)</f>
        <v>55.382749525174674</v>
      </c>
      <c r="AE5" s="29">
        <f>IF(('Activity data'!AE6*EF!$H5)*kgtoGg=0,"NO",('Activity data'!AE6*EF!$H5)*kgtoGg)</f>
        <v>59.713885383308607</v>
      </c>
      <c r="AF5" s="29">
        <f>IF(('Activity data'!AF6*EF!$H5)*kgtoGg=0,"NO",('Activity data'!AF6*EF!$H5)*kgtoGg)</f>
        <v>56.447433856082725</v>
      </c>
      <c r="AG5" s="29">
        <f>IF(('Activity data'!AG6*EF!$H5)*kgtoGg=0,"NO",('Activity data'!AG6*EF!$H5)*kgtoGg)</f>
        <v>57.133090565187494</v>
      </c>
      <c r="AH5" s="29">
        <f>IF(('Activity data'!AH6*EF!$H5)*kgtoGg=0,"NO",('Activity data'!AH6*EF!$H5)*kgtoGg)</f>
        <v>59.262459227003589</v>
      </c>
      <c r="AI5" s="29">
        <f>IF(('Activity data'!AI6*EF!$H5)*kgtoGg=0,"NO",('Activity data'!AI6*EF!$H5)*kgtoGg)</f>
        <v>63.746909628788281</v>
      </c>
      <c r="AJ5" s="29">
        <f>IF(('Activity data'!AJ6*EF!$H5)*kgtoGg=0,"NO",('Activity data'!AJ6*EF!$H5)*kgtoGg)</f>
        <v>58.090569656709739</v>
      </c>
      <c r="AK5" s="29">
        <f>IF(('Activity data'!AK6*EF!$H5)*kgtoGg=0,"NO",('Activity data'!AK6*EF!$H5)*kgtoGg)</f>
        <v>58.296392906677383</v>
      </c>
      <c r="AL5" s="29">
        <f>IF(('Activity data'!AL6*EF!$H5)*kgtoGg=0,"NO",('Activity data'!AL6*EF!$H5)*kgtoGg)</f>
        <v>58.181094338303815</v>
      </c>
      <c r="AM5" s="29">
        <f>IF(('Activity data'!AM6*EF!$H5)*kgtoGg=0,"NO",('Activity data'!AM6*EF!$H5)*kgtoGg)</f>
        <v>58.437133725398262</v>
      </c>
      <c r="AN5" s="29">
        <f>IF(('Activity data'!AN6*EF!$H5)*kgtoGg=0,"NO",('Activity data'!AN6*EF!$H5)*kgtoGg)</f>
        <v>58.689908826536666</v>
      </c>
      <c r="AO5" s="29">
        <f>IF(('Activity data'!AO6*EF!$H5)*kgtoGg=0,"NO",('Activity data'!AO6*EF!$H5)*kgtoGg)</f>
        <v>58.943416669833297</v>
      </c>
      <c r="AP5" s="29">
        <f>IF(('Activity data'!AP6*EF!$H5)*kgtoGg=0,"NO",('Activity data'!AP6*EF!$H5)*kgtoGg)</f>
        <v>59.194114420757082</v>
      </c>
      <c r="AQ5" s="29">
        <f>IF(('Activity data'!AQ6*EF!$H5)*kgtoGg=0,"NO",('Activity data'!AQ6*EF!$H5)*kgtoGg)</f>
        <v>59.448071592648105</v>
      </c>
      <c r="AR5" s="29">
        <f>IF(('Activity data'!AR6*EF!$H5)*kgtoGg=0,"NO",('Activity data'!AR6*EF!$H5)*kgtoGg)</f>
        <v>59.731477823149099</v>
      </c>
      <c r="AS5" s="29">
        <f>IF(('Activity data'!AS6*EF!$H5)*kgtoGg=0,"NO",('Activity data'!AS6*EF!$H5)*kgtoGg)</f>
        <v>60.014019832051162</v>
      </c>
      <c r="AT5" s="29">
        <f>IF(('Activity data'!AT6*EF!$H5)*kgtoGg=0,"NO",('Activity data'!AT6*EF!$H5)*kgtoGg)</f>
        <v>60.300973762071962</v>
      </c>
      <c r="AU5" s="29">
        <f>IF(('Activity data'!AU6*EF!$H5)*kgtoGg=0,"NO",('Activity data'!AU6*EF!$H5)*kgtoGg)</f>
        <v>60.591203700700014</v>
      </c>
      <c r="AV5" s="29">
        <f>IF(('Activity data'!AV6*EF!$H5)*kgtoGg=0,"NO",('Activity data'!AV6*EF!$H5)*kgtoGg)</f>
        <v>60.885008657631118</v>
      </c>
      <c r="AW5" s="29">
        <f>IF(('Activity data'!AW6*EF!$H5)*kgtoGg=0,"NO",('Activity data'!AW6*EF!$H5)*kgtoGg)</f>
        <v>61.193392994839151</v>
      </c>
      <c r="AX5" s="29">
        <f>IF(('Activity data'!AX6*EF!$H5)*kgtoGg=0,"NO",('Activity data'!AX6*EF!$H5)*kgtoGg)</f>
        <v>61.495899923392791</v>
      </c>
      <c r="AY5" s="29">
        <f>IF(('Activity data'!AY6*EF!$H5)*kgtoGg=0,"NO",('Activity data'!AY6*EF!$H5)*kgtoGg)</f>
        <v>61.811663325910118</v>
      </c>
      <c r="AZ5" s="29">
        <f>IF(('Activity data'!AZ6*EF!$H5)*kgtoGg=0,"NO",('Activity data'!AZ6*EF!$H5)*kgtoGg)</f>
        <v>62.136694154629026</v>
      </c>
      <c r="BA5" s="29">
        <f>IF(('Activity data'!BA6*EF!$H5)*kgtoGg=0,"NO",('Activity data'!BA6*EF!$H5)*kgtoGg)</f>
        <v>62.471494005587616</v>
      </c>
      <c r="BB5" s="29">
        <f>IF(('Activity data'!BB6*EF!$H5)*kgtoGg=0,"NO",('Activity data'!BB6*EF!$H5)*kgtoGg)</f>
        <v>62.817959460264696</v>
      </c>
      <c r="BC5" s="29">
        <f>IF(('Activity data'!BC6*EF!$H5)*kgtoGg=0,"NO",('Activity data'!BC6*EF!$H5)*kgtoGg)</f>
        <v>63.171144337668046</v>
      </c>
      <c r="BD5" s="29">
        <f>IF(('Activity data'!BD6*EF!$H5)*kgtoGg=0,"NO",('Activity data'!BD6*EF!$H5)*kgtoGg)</f>
        <v>63.526825450076217</v>
      </c>
      <c r="BE5" s="29">
        <f>IF(('Activity data'!BE6*EF!$H5)*kgtoGg=0,"NO",('Activity data'!BE6*EF!$H5)*kgtoGg)</f>
        <v>63.889289358027483</v>
      </c>
      <c r="BF5" s="29">
        <f>IF(('Activity data'!BF6*EF!$H5)*kgtoGg=0,"NO",('Activity data'!BF6*EF!$H5)*kgtoGg)</f>
        <v>64.262331622764307</v>
      </c>
      <c r="BG5" s="29">
        <f>IF(('Activity data'!BG6*EF!$H5)*kgtoGg=0,"NO",('Activity data'!BG6*EF!$H5)*kgtoGg)</f>
        <v>64.669791127312109</v>
      </c>
      <c r="BH5" s="29">
        <f>IF(('Activity data'!BH6*EF!$H5)*kgtoGg=0,"NO",('Activity data'!BH6*EF!$H5)*kgtoGg)</f>
        <v>65.085371292882684</v>
      </c>
      <c r="BI5" s="29">
        <f>IF(('Activity data'!BI6*EF!$H5)*kgtoGg=0,"NO",('Activity data'!BI6*EF!$H5)*kgtoGg)</f>
        <v>65.508609203519271</v>
      </c>
      <c r="BJ5" s="29">
        <f>IF(('Activity data'!BJ6*EF!$H5)*kgtoGg=0,"NO",('Activity data'!BJ6*EF!$H5)*kgtoGg)</f>
        <v>65.940647504652532</v>
      </c>
      <c r="BK5" s="29">
        <f>IF(('Activity data'!BK6*EF!$H5)*kgtoGg=0,"NO",('Activity data'!BK6*EF!$H5)*kgtoGg)</f>
        <v>66.386016498795158</v>
      </c>
      <c r="BL5" s="29">
        <f>IF(('Activity data'!BL6*EF!$H5)*kgtoGg=0,"NO",('Activity data'!BL6*EF!$H5)*kgtoGg)</f>
        <v>66.83504637165116</v>
      </c>
      <c r="BM5" s="29">
        <f>IF(('Activity data'!BM6*EF!$H5)*kgtoGg=0,"NO",('Activity data'!BM6*EF!$H5)*kgtoGg)</f>
        <v>67.295570341875518</v>
      </c>
      <c r="BN5" s="29">
        <f>IF(('Activity data'!BN6*EF!$H5)*kgtoGg=0,"NO",('Activity data'!BN6*EF!$H5)*kgtoGg)</f>
        <v>67.758976634064013</v>
      </c>
      <c r="BO5" s="29">
        <f>IF(('Activity data'!BO6*EF!$H5)*kgtoGg=0,"NO",('Activity data'!BO6*EF!$H5)*kgtoGg)</f>
        <v>68.23491875171986</v>
      </c>
      <c r="BP5" s="29">
        <f>IF(('Activity data'!BP6*EF!$H5)*kgtoGg=0,"NO",('Activity data'!BP6*EF!$H5)*kgtoGg)</f>
        <v>68.724442795396115</v>
      </c>
    </row>
    <row r="6" spans="1:74" x14ac:dyDescent="0.25">
      <c r="A6" t="str">
        <f t="shared" ref="A6:A53" si="1">A5</f>
        <v>3A Livestock</v>
      </c>
      <c r="B6" t="str">
        <f t="shared" ref="B6:B17" si="2">B5</f>
        <v>3A1 Enteric fermentation (CH4)</v>
      </c>
      <c r="C6" t="str">
        <f>EF!C6</f>
        <v>3A1aii Other cattle</v>
      </c>
      <c r="D6" t="str">
        <f>EF!D6</f>
        <v>Non-lactating</v>
      </c>
      <c r="E6" t="str">
        <f t="shared" si="0"/>
        <v>Enteric fermentation Emissions</v>
      </c>
      <c r="F6" t="str">
        <f t="shared" si="0"/>
        <v>CH4</v>
      </c>
      <c r="G6" t="str">
        <f t="shared" si="0"/>
        <v>Gg CH4</v>
      </c>
      <c r="H6" s="29">
        <f>IF(('Activity data'!H7*EF!$H6)*kgtoGg=0,"NO",('Activity data'!H7*EF!$H6)*kgtoGg)</f>
        <v>25.216780378245733</v>
      </c>
      <c r="I6" s="29">
        <f>IF(('Activity data'!I7*EF!$H6)*kgtoGg=0,"NO",('Activity data'!I7*EF!$H6)*kgtoGg)</f>
        <v>28.66289621274522</v>
      </c>
      <c r="J6" s="29">
        <f>IF(('Activity data'!J7*EF!$H6)*kgtoGg=0,"NO",('Activity data'!J7*EF!$H6)*kgtoGg)</f>
        <v>24.793479863671994</v>
      </c>
      <c r="K6" s="29">
        <f>IF(('Activity data'!K7*EF!$H6)*kgtoGg=0,"NO",('Activity data'!K7*EF!$H6)*kgtoGg)</f>
        <v>25.947161118330968</v>
      </c>
      <c r="L6" s="29">
        <f>IF(('Activity data'!L7*EF!$H6)*kgtoGg=0,"NO",('Activity data'!L7*EF!$H6)*kgtoGg)</f>
        <v>23.100277805377079</v>
      </c>
      <c r="M6" s="29">
        <f>IF(('Activity data'!M7*EF!$H6)*kgtoGg=0,"NO",('Activity data'!M7*EF!$H6)*kgtoGg)</f>
        <v>25.100560089183503</v>
      </c>
      <c r="N6" s="29">
        <f>IF(('Activity data'!N7*EF!$H6)*kgtoGg=0,"NO",('Activity data'!N7*EF!$H6)*kgtoGg)</f>
        <v>25.523860603757235</v>
      </c>
      <c r="O6" s="29">
        <f>IF(('Activity data'!O7*EF!$H6)*kgtoGg=0,"NO",('Activity data'!O7*EF!$H6)*kgtoGg)</f>
        <v>24.662331645132362</v>
      </c>
      <c r="P6" s="29">
        <f>IF(('Activity data'!P7*EF!$H6)*kgtoGg=0,"NO",('Activity data'!P7*EF!$H6)*kgtoGg)</f>
        <v>23.392430101411172</v>
      </c>
      <c r="Q6" s="29">
        <f>IF(('Activity data'!Q7*EF!$H6)*kgtoGg=0,"NO",('Activity data'!Q7*EF!$H6)*kgtoGg)</f>
        <v>24.647403715654953</v>
      </c>
      <c r="R6" s="29">
        <f>IF(('Activity data'!R7*EF!$H6)*kgtoGg=0,"NO",('Activity data'!R7*EF!$H6)*kgtoGg)</f>
        <v>30.546958207489421</v>
      </c>
      <c r="S6" s="29">
        <f>IF(('Activity data'!S7*EF!$H6)*kgtoGg=0,"NO",('Activity data'!S7*EF!$H6)*kgtoGg)</f>
        <v>30.123657692915693</v>
      </c>
      <c r="T6" s="29">
        <f>IF(('Activity data'!T7*EF!$H6)*kgtoGg=0,"NO",('Activity data'!T7*EF!$H6)*kgtoGg)</f>
        <v>27.655291106103299</v>
      </c>
      <c r="U6" s="29">
        <f>IF(('Activity data'!U7*EF!$H6)*kgtoGg=0,"NO",('Activity data'!U7*EF!$H6)*kgtoGg)</f>
        <v>23.392430101411172</v>
      </c>
      <c r="V6" s="29">
        <f>IF(('Activity data'!V7*EF!$H6)*kgtoGg=0,"NO",('Activity data'!V7*EF!$H6)*kgtoGg)</f>
        <v>21.830376261655886</v>
      </c>
      <c r="W6" s="29">
        <f>IF(('Activity data'!W7*EF!$H6)*kgtoGg=0,"NO",('Activity data'!W7*EF!$H6)*kgtoGg)</f>
        <v>23.830658545462317</v>
      </c>
      <c r="X6" s="29">
        <f>IF(('Activity data'!X7*EF!$H6)*kgtoGg=0,"NO",('Activity data'!X7*EF!$H6)*kgtoGg)</f>
        <v>23.53850624942822</v>
      </c>
      <c r="Y6" s="29">
        <f>IF(('Activity data'!Y7*EF!$H6)*kgtoGg=0,"NO",('Activity data'!Y7*EF!$H6)*kgtoGg)</f>
        <v>23.815730615984904</v>
      </c>
      <c r="Z6" s="29">
        <f>IF(('Activity data'!Z7*EF!$H6)*kgtoGg=0,"NO",('Activity data'!Z7*EF!$H6)*kgtoGg)</f>
        <v>27.861078972029997</v>
      </c>
      <c r="AA6" s="29">
        <f>IF(('Activity data'!AA7*EF!$H6)*kgtoGg=0,"NO",('Activity data'!AA7*EF!$H6)*kgtoGg)</f>
        <v>28.999832297211544</v>
      </c>
      <c r="AB6" s="29">
        <f>IF(('Activity data'!AB7*EF!$H6)*kgtoGg=0,"NO",('Activity data'!AB7*EF!$H6)*kgtoGg)</f>
        <v>28.999832297211544</v>
      </c>
      <c r="AC6" s="29">
        <f>IF(('Activity data'!AC7*EF!$H6)*kgtoGg=0,"NO",('Activity data'!AC7*EF!$H6)*kgtoGg)</f>
        <v>27.29170230943922</v>
      </c>
      <c r="AD6" s="29">
        <f>IF(('Activity data'!AD7*EF!$H6)*kgtoGg=0,"NO",('Activity data'!AD7*EF!$H6)*kgtoGg)</f>
        <v>26.707397717371023</v>
      </c>
      <c r="AE6" s="29">
        <f>IF(('Activity data'!AE7*EF!$H6)*kgtoGg=0,"NO",('Activity data'!AE7*EF!$H6)*kgtoGg)</f>
        <v>30.123657692915693</v>
      </c>
      <c r="AF6" s="29">
        <f>IF(('Activity data'!AF7*EF!$H6)*kgtoGg=0,"NO",('Activity data'!AF7*EF!$H6)*kgtoGg)</f>
        <v>26.999550013405116</v>
      </c>
      <c r="AG6" s="29">
        <f>IF(('Activity data'!AG7*EF!$H6)*kgtoGg=0,"NO",('Activity data'!AG7*EF!$H6)*kgtoGg)</f>
        <v>26.445101280291755</v>
      </c>
      <c r="AH6" s="29">
        <f>IF(('Activity data'!AH7*EF!$H6)*kgtoGg=0,"NO",('Activity data'!AH7*EF!$H6)*kgtoGg)</f>
        <v>27.029405872359941</v>
      </c>
      <c r="AI6" s="29">
        <f>IF(('Activity data'!AI7*EF!$H6)*kgtoGg=0,"NO",('Activity data'!AI7*EF!$H6)*kgtoGg)</f>
        <v>29.745140966774191</v>
      </c>
      <c r="AJ6" s="29">
        <f>IF(('Activity data'!AJ7*EF!$H6)*kgtoGg=0,"NO",('Activity data'!AJ7*EF!$H6)*kgtoGg)</f>
        <v>28.347120258015849</v>
      </c>
      <c r="AK6" s="29">
        <f>IF(('Activity data'!AK7*EF!$H6)*kgtoGg=0,"NO",('Activity data'!AK7*EF!$H6)*kgtoGg)</f>
        <v>28.428524204328593</v>
      </c>
      <c r="AL6" s="29">
        <f>IF(('Activity data'!AL7*EF!$H6)*kgtoGg=0,"NO",('Activity data'!AL7*EF!$H6)*kgtoGg)</f>
        <v>28.382923143849304</v>
      </c>
      <c r="AM6" s="29">
        <f>IF(('Activity data'!AM7*EF!$H6)*kgtoGg=0,"NO",('Activity data'!AM7*EF!$H6)*kgtoGg)</f>
        <v>28.484187780008057</v>
      </c>
      <c r="AN6" s="29">
        <f>IF(('Activity data'!AN7*EF!$H6)*kgtoGg=0,"NO",('Activity data'!AN7*EF!$H6)*kgtoGg)</f>
        <v>28.584161377575413</v>
      </c>
      <c r="AO6" s="29">
        <f>IF(('Activity data'!AO7*EF!$H6)*kgtoGg=0,"NO",('Activity data'!AO7*EF!$H6)*kgtoGg)</f>
        <v>28.684424777695767</v>
      </c>
      <c r="AP6" s="29">
        <f>IF(('Activity data'!AP7*EF!$H6)*kgtoGg=0,"NO",('Activity data'!AP7*EF!$H6)*kgtoGg)</f>
        <v>28.783576774664702</v>
      </c>
      <c r="AQ6" s="29">
        <f>IF(('Activity data'!AQ7*EF!$H6)*kgtoGg=0,"NO",('Activity data'!AQ7*EF!$H6)*kgtoGg)</f>
        <v>28.884017886101837</v>
      </c>
      <c r="AR6" s="29">
        <f>IF(('Activity data'!AR7*EF!$H6)*kgtoGg=0,"NO",('Activity data'!AR7*EF!$H6)*kgtoGg)</f>
        <v>28.996106221972674</v>
      </c>
      <c r="AS6" s="29">
        <f>IF(('Activity data'!AS7*EF!$H6)*kgtoGg=0,"NO",('Activity data'!AS7*EF!$H6)*kgtoGg)</f>
        <v>29.107852754628116</v>
      </c>
      <c r="AT6" s="29">
        <f>IF(('Activity data'!AT7*EF!$H6)*kgtoGg=0,"NO",('Activity data'!AT7*EF!$H6)*kgtoGg)</f>
        <v>29.221344220326568</v>
      </c>
      <c r="AU6" s="29">
        <f>IF(('Activity data'!AU7*EF!$H6)*kgtoGg=0,"NO",('Activity data'!AU7*EF!$H6)*kgtoGg)</f>
        <v>29.336131360973425</v>
      </c>
      <c r="AV6" s="29">
        <f>IF(('Activity data'!AV7*EF!$H6)*kgtoGg=0,"NO",('Activity data'!AV7*EF!$H6)*kgtoGg)</f>
        <v>29.45233243613961</v>
      </c>
      <c r="AW6" s="29">
        <f>IF(('Activity data'!AW7*EF!$H6)*kgtoGg=0,"NO",('Activity data'!AW7*EF!$H6)*kgtoGg)</f>
        <v>29.574299716481949</v>
      </c>
      <c r="AX6" s="29">
        <f>IF(('Activity data'!AX7*EF!$H6)*kgtoGg=0,"NO",('Activity data'!AX7*EF!$H6)*kgtoGg)</f>
        <v>29.693942457402056</v>
      </c>
      <c r="AY6" s="29">
        <f>IF(('Activity data'!AY7*EF!$H6)*kgtoGg=0,"NO",('Activity data'!AY7*EF!$H6)*kgtoGg)</f>
        <v>29.818828188582046</v>
      </c>
      <c r="AZ6" s="29">
        <f>IF(('Activity data'!AZ7*EF!$H6)*kgtoGg=0,"NO",('Activity data'!AZ7*EF!$H6)*kgtoGg)</f>
        <v>29.947379225139773</v>
      </c>
      <c r="BA6" s="29">
        <f>IF(('Activity data'!BA7*EF!$H6)*kgtoGg=0,"NO",('Activity data'!BA7*EF!$H6)*kgtoGg)</f>
        <v>30.079793950382104</v>
      </c>
      <c r="BB6" s="29">
        <f>IF(('Activity data'!BB7*EF!$H6)*kgtoGg=0,"NO",('Activity data'!BB7*EF!$H6)*kgtoGg)</f>
        <v>30.216822470125081</v>
      </c>
      <c r="BC6" s="29">
        <f>IF(('Activity data'!BC7*EF!$H6)*kgtoGg=0,"NO",('Activity data'!BC7*EF!$H6)*kgtoGg)</f>
        <v>30.356508549336915</v>
      </c>
      <c r="BD6" s="29">
        <f>IF(('Activity data'!BD7*EF!$H6)*kgtoGg=0,"NO",('Activity data'!BD7*EF!$H6)*kgtoGg)</f>
        <v>30.497181899813523</v>
      </c>
      <c r="BE6" s="29">
        <f>IF(('Activity data'!BE7*EF!$H6)*kgtoGg=0,"NO",('Activity data'!BE7*EF!$H6)*kgtoGg)</f>
        <v>30.640537873970043</v>
      </c>
      <c r="BF6" s="29">
        <f>IF(('Activity data'!BF7*EF!$H6)*kgtoGg=0,"NO",('Activity data'!BF7*EF!$H6)*kgtoGg)</f>
        <v>30.788077631970154</v>
      </c>
      <c r="BG6" s="29">
        <f>IF(('Activity data'!BG7*EF!$H6)*kgtoGg=0,"NO",('Activity data'!BG7*EF!$H6)*kgtoGg)</f>
        <v>30.949229550609282</v>
      </c>
      <c r="BH6" s="29">
        <f>IF(('Activity data'!BH7*EF!$H6)*kgtoGg=0,"NO",('Activity data'!BH7*EF!$H6)*kgtoGg)</f>
        <v>31.113593224256789</v>
      </c>
      <c r="BI6" s="29">
        <f>IF(('Activity data'!BI7*EF!$H6)*kgtoGg=0,"NO",('Activity data'!BI7*EF!$H6)*kgtoGg)</f>
        <v>31.280985567737886</v>
      </c>
      <c r="BJ6" s="29">
        <f>IF(('Activity data'!BJ7*EF!$H6)*kgtoGg=0,"NO",('Activity data'!BJ7*EF!$H6)*kgtoGg)</f>
        <v>31.451858502044537</v>
      </c>
      <c r="BK6" s="29">
        <f>IF(('Activity data'!BK7*EF!$H6)*kgtoGg=0,"NO",('Activity data'!BK7*EF!$H6)*kgtoGg)</f>
        <v>31.628003780550472</v>
      </c>
      <c r="BL6" s="29">
        <f>IF(('Activity data'!BL7*EF!$H6)*kgtoGg=0,"NO",('Activity data'!BL7*EF!$H6)*kgtoGg)</f>
        <v>31.805596951723004</v>
      </c>
      <c r="BM6" s="29">
        <f>IF(('Activity data'!BM7*EF!$H6)*kgtoGg=0,"NO",('Activity data'!BM7*EF!$H6)*kgtoGg)</f>
        <v>31.987736085925622</v>
      </c>
      <c r="BN6" s="29">
        <f>IF(('Activity data'!BN7*EF!$H6)*kgtoGg=0,"NO",('Activity data'!BN7*EF!$H6)*kgtoGg)</f>
        <v>32.171015190381667</v>
      </c>
      <c r="BO6" s="29">
        <f>IF(('Activity data'!BO7*EF!$H6)*kgtoGg=0,"NO",('Activity data'!BO7*EF!$H6)*kgtoGg)</f>
        <v>32.359252265637849</v>
      </c>
      <c r="BP6" s="29">
        <f>IF(('Activity data'!BP7*EF!$H6)*kgtoGg=0,"NO",('Activity data'!BP7*EF!$H6)*kgtoGg)</f>
        <v>32.552861048787889</v>
      </c>
    </row>
    <row r="7" spans="1:74" x14ac:dyDescent="0.25">
      <c r="A7" t="str">
        <f t="shared" si="1"/>
        <v>3A Livestock</v>
      </c>
      <c r="B7" t="str">
        <f t="shared" si="2"/>
        <v>3A1 Enteric fermentation (CH4)</v>
      </c>
      <c r="C7" t="str">
        <f>EF!C7</f>
        <v>3A1aii Other cattle</v>
      </c>
      <c r="D7" t="str">
        <f>EF!D7</f>
        <v>Commercial</v>
      </c>
      <c r="E7" t="str">
        <f>E5</f>
        <v>Enteric fermentation Emissions</v>
      </c>
      <c r="F7" t="str">
        <f>F5</f>
        <v>CH4</v>
      </c>
      <c r="G7" t="str">
        <f>G5</f>
        <v>Gg CH4</v>
      </c>
      <c r="H7" s="29">
        <f>IF(('Activity data'!H8*EF!$H7)*kgtoGg=0,"NO",('Activity data'!H8*EF!$H7)*kgtoGg)</f>
        <v>530.30777048487039</v>
      </c>
      <c r="I7" s="29">
        <f>IF(('Activity data'!I8*EF!$H7)*kgtoGg=0,"NO",('Activity data'!I8*EF!$H7)*kgtoGg)</f>
        <v>507.4186008397914</v>
      </c>
      <c r="J7" s="29">
        <f>IF(('Activity data'!J8*EF!$H7)*kgtoGg=0,"NO",('Activity data'!J8*EF!$H7)*kgtoGg)</f>
        <v>507.23423660631244</v>
      </c>
      <c r="K7" s="29">
        <f>IF(('Activity data'!K8*EF!$H7)*kgtoGg=0,"NO",('Activity data'!K8*EF!$H7)*kgtoGg)</f>
        <v>474.53564508710184</v>
      </c>
      <c r="L7" s="29">
        <f>IF(('Activity data'!L8*EF!$H7)*kgtoGg=0,"NO",('Activity data'!L8*EF!$H7)*kgtoGg)</f>
        <v>488.84137611527626</v>
      </c>
      <c r="M7" s="29">
        <f>IF(('Activity data'!M8*EF!$H7)*kgtoGg=0,"NO",('Activity data'!M8*EF!$H7)*kgtoGg)</f>
        <v>499.9561278787649</v>
      </c>
      <c r="N7" s="29">
        <f>IF(('Activity data'!N8*EF!$H7)*kgtoGg=0,"NO",('Activity data'!N8*EF!$H7)*kgtoGg)</f>
        <v>520.69593728290613</v>
      </c>
      <c r="O7" s="29">
        <f>IF(('Activity data'!O8*EF!$H7)*kgtoGg=0,"NO",('Activity data'!O8*EF!$H7)*kgtoGg)</f>
        <v>540.42057654067605</v>
      </c>
      <c r="P7" s="29">
        <f>IF(('Activity data'!P8*EF!$H7)*kgtoGg=0,"NO",('Activity data'!P8*EF!$H7)*kgtoGg)</f>
        <v>545.10124992819794</v>
      </c>
      <c r="Q7" s="29">
        <f>IF(('Activity data'!Q8*EF!$H7)*kgtoGg=0,"NO",('Activity data'!Q8*EF!$H7)*kgtoGg)</f>
        <v>536.28054932306088</v>
      </c>
      <c r="R7" s="29">
        <f>IF(('Activity data'!R8*EF!$H7)*kgtoGg=0,"NO",('Activity data'!R8*EF!$H7)*kgtoGg)</f>
        <v>499.85033236925801</v>
      </c>
      <c r="S7" s="29">
        <f>IF(('Activity data'!S8*EF!$H7)*kgtoGg=0,"NO",('Activity data'!S8*EF!$H7)*kgtoGg)</f>
        <v>502.44776770928382</v>
      </c>
      <c r="T7" s="29">
        <f>IF(('Activity data'!T8*EF!$H7)*kgtoGg=0,"NO",('Activity data'!T8*EF!$H7)*kgtoGg)</f>
        <v>468.28593094461399</v>
      </c>
      <c r="U7" s="29">
        <f>IF(('Activity data'!U8*EF!$H7)*kgtoGg=0,"NO",('Activity data'!U8*EF!$H7)*kgtoGg)</f>
        <v>480.5348728026691</v>
      </c>
      <c r="V7" s="29">
        <f>IF(('Activity data'!V8*EF!$H7)*kgtoGg=0,"NO",('Activity data'!V8*EF!$H7)*kgtoGg)</f>
        <v>484.96505976327012</v>
      </c>
      <c r="W7" s="29">
        <f>IF(('Activity data'!W8*EF!$H7)*kgtoGg=0,"NO",('Activity data'!W8*EF!$H7)*kgtoGg)</f>
        <v>489.07863810350864</v>
      </c>
      <c r="X7" s="29">
        <f>IF(('Activity data'!X8*EF!$H7)*kgtoGg=0,"NO",('Activity data'!X8*EF!$H7)*kgtoGg)</f>
        <v>477.93743746264329</v>
      </c>
      <c r="Y7" s="29">
        <f>IF(('Activity data'!Y8*EF!$H7)*kgtoGg=0,"NO",('Activity data'!Y8*EF!$H7)*kgtoGg)</f>
        <v>491.93978430914353</v>
      </c>
      <c r="Z7" s="29">
        <f>IF(('Activity data'!Z8*EF!$H7)*kgtoGg=0,"NO",('Activity data'!Z8*EF!$H7)*kgtoGg)</f>
        <v>478.26977927550422</v>
      </c>
      <c r="AA7" s="29">
        <f>IF(('Activity data'!AA8*EF!$H7)*kgtoGg=0,"NO",('Activity data'!AA8*EF!$H7)*kgtoGg)</f>
        <v>470.23930370767658</v>
      </c>
      <c r="AB7" s="29">
        <f>IF(('Activity data'!AB8*EF!$H7)*kgtoGg=0,"NO",('Activity data'!AB8*EF!$H7)*kgtoGg)</f>
        <v>468.76105131733328</v>
      </c>
      <c r="AC7" s="29">
        <f>IF(('Activity data'!AC8*EF!$H7)*kgtoGg=0,"NO",('Activity data'!AC8*EF!$H7)*kgtoGg)</f>
        <v>467.07782660988823</v>
      </c>
      <c r="AD7" s="29">
        <f>IF(('Activity data'!AD8*EF!$H7)*kgtoGg=0,"NO",('Activity data'!AD8*EF!$H7)*kgtoGg)</f>
        <v>552.7322437265492</v>
      </c>
      <c r="AE7" s="29">
        <f>IF(('Activity data'!AE8*EF!$H7)*kgtoGg=0,"NO",('Activity data'!AE8*EF!$H7)*kgtoGg)</f>
        <v>458.67884298241432</v>
      </c>
      <c r="AF7" s="29">
        <f>IF(('Activity data'!AF8*EF!$H7)*kgtoGg=0,"NO",('Activity data'!AF8*EF!$H7)*kgtoGg)</f>
        <v>469.22136550477597</v>
      </c>
      <c r="AG7" s="29">
        <f>IF(('Activity data'!AG8*EF!$H7)*kgtoGg=0,"NO",('Activity data'!AG8*EF!$H7)*kgtoGg)</f>
        <v>458.45706136652893</v>
      </c>
      <c r="AH7" s="29">
        <f>IF(('Activity data'!AH8*EF!$H7)*kgtoGg=0,"NO",('Activity data'!AH8*EF!$H7)*kgtoGg)</f>
        <v>436.49702522553105</v>
      </c>
      <c r="AI7" s="29">
        <f>IF(('Activity data'!AI8*EF!$H7)*kgtoGg=0,"NO",('Activity data'!AI8*EF!$H7)*kgtoGg)</f>
        <v>406.10111964522741</v>
      </c>
      <c r="AJ7" s="29">
        <f>IF(('Activity data'!AJ8*EF!$H7)*kgtoGg=0,"NO",('Activity data'!AJ8*EF!$H7)*kgtoGg)</f>
        <v>455.01755463374701</v>
      </c>
      <c r="AK7" s="29">
        <f>IF(('Activity data'!AK8*EF!$H7)*kgtoGg=0,"NO",('Activity data'!AK8*EF!$H7)*kgtoGg)</f>
        <v>453.63577425874507</v>
      </c>
      <c r="AL7" s="29">
        <f>IF(('Activity data'!AL8*EF!$H7)*kgtoGg=0,"NO",('Activity data'!AL8*EF!$H7)*kgtoGg)</f>
        <v>454.26089689726206</v>
      </c>
      <c r="AM7" s="29">
        <f>IF(('Activity data'!AM8*EF!$H7)*kgtoGg=0,"NO",('Activity data'!AM8*EF!$H7)*kgtoGg)</f>
        <v>452.56398367329678</v>
      </c>
      <c r="AN7" s="29">
        <f>IF(('Activity data'!AN8*EF!$H7)*kgtoGg=0,"NO",('Activity data'!AN8*EF!$H7)*kgtoGg)</f>
        <v>450.88747113692557</v>
      </c>
      <c r="AO7" s="29">
        <f>IF(('Activity data'!AO8*EF!$H7)*kgtoGg=0,"NO",('Activity data'!AO8*EF!$H7)*kgtoGg)</f>
        <v>449.20637920930341</v>
      </c>
      <c r="AP7" s="29">
        <f>IF(('Activity data'!AP8*EF!$H7)*kgtoGg=0,"NO",('Activity data'!AP8*EF!$H7)*kgtoGg)</f>
        <v>447.54284941084586</v>
      </c>
      <c r="AQ7" s="29">
        <f>IF(('Activity data'!AQ8*EF!$H7)*kgtoGg=0,"NO",('Activity data'!AQ8*EF!$H7)*kgtoGg)</f>
        <v>445.85894932933257</v>
      </c>
      <c r="AR7" s="29">
        <f>IF(('Activity data'!AR8*EF!$H7)*kgtoGg=0,"NO",('Activity data'!AR8*EF!$H7)*kgtoGg)</f>
        <v>443.98293403618197</v>
      </c>
      <c r="AS7" s="29">
        <f>IF(('Activity data'!AS8*EF!$H7)*kgtoGg=0,"NO",('Activity data'!AS8*EF!$H7)*kgtoGg)</f>
        <v>442.11231983642381</v>
      </c>
      <c r="AT7" s="29">
        <f>IF(('Activity data'!AT8*EF!$H7)*kgtoGg=0,"NO",('Activity data'!AT8*EF!$H7)*kgtoGg)</f>
        <v>440.21413261831901</v>
      </c>
      <c r="AU7" s="29">
        <f>IF(('Activity data'!AU8*EF!$H7)*kgtoGg=0,"NO",('Activity data'!AU8*EF!$H7)*kgtoGg)</f>
        <v>438.29547145179129</v>
      </c>
      <c r="AV7" s="29">
        <f>IF(('Activity data'!AV8*EF!$H7)*kgtoGg=0,"NO",('Activity data'!AV8*EF!$H7)*kgtoGg)</f>
        <v>436.35446762713207</v>
      </c>
      <c r="AW7" s="29">
        <f>IF(('Activity data'!AW8*EF!$H7)*kgtoGg=0,"NO",('Activity data'!AW8*EF!$H7)*kgtoGg)</f>
        <v>434.32590631544616</v>
      </c>
      <c r="AX7" s="29">
        <f>IF(('Activity data'!AX8*EF!$H7)*kgtoGg=0,"NO",('Activity data'!AX8*EF!$H7)*kgtoGg)</f>
        <v>432.33407682651409</v>
      </c>
      <c r="AY7" s="29">
        <f>IF(('Activity data'!AY8*EF!$H7)*kgtoGg=0,"NO",('Activity data'!AY8*EF!$H7)*kgtoGg)</f>
        <v>430.25939884644782</v>
      </c>
      <c r="AZ7" s="29">
        <f>IF(('Activity data'!AZ8*EF!$H7)*kgtoGg=0,"NO",('Activity data'!AZ8*EF!$H7)*kgtoGg)</f>
        <v>428.12680258137016</v>
      </c>
      <c r="BA7" s="29">
        <f>IF(('Activity data'!BA8*EF!$H7)*kgtoGg=0,"NO",('Activity data'!BA8*EF!$H7)*kgtoGg)</f>
        <v>425.93315322350304</v>
      </c>
      <c r="BB7" s="29">
        <f>IF(('Activity data'!BB8*EF!$H7)*kgtoGg=0,"NO",('Activity data'!BB8*EF!$H7)*kgtoGg)</f>
        <v>423.66261664448359</v>
      </c>
      <c r="BC7" s="29">
        <f>IF(('Activity data'!BC8*EF!$H7)*kgtoGg=0,"NO",('Activity data'!BC8*EF!$H7)*kgtoGg)</f>
        <v>421.35008594065471</v>
      </c>
      <c r="BD7" s="29">
        <f>IF(('Activity data'!BD8*EF!$H7)*kgtoGg=0,"NO",('Activity data'!BD8*EF!$H7)*kgtoGg)</f>
        <v>419.02195461209726</v>
      </c>
      <c r="BE7" s="29">
        <f>IF(('Activity data'!BE8*EF!$H7)*kgtoGg=0,"NO",('Activity data'!BE8*EF!$H7)*kgtoGg)</f>
        <v>416.65143309822201</v>
      </c>
      <c r="BF7" s="29">
        <f>IF(('Activity data'!BF8*EF!$H7)*kgtoGg=0,"NO",('Activity data'!BF8*EF!$H7)*kgtoGg)</f>
        <v>414.21480042372667</v>
      </c>
      <c r="BG7" s="29">
        <f>IF(('Activity data'!BG8*EF!$H7)*kgtoGg=0,"NO",('Activity data'!BG8*EF!$H7)*kgtoGg)</f>
        <v>411.54817654836012</v>
      </c>
      <c r="BH7" s="29">
        <f>IF(('Activity data'!BH8*EF!$H7)*kgtoGg=0,"NO",('Activity data'!BH8*EF!$H7)*kgtoGg)</f>
        <v>408.83080128341504</v>
      </c>
      <c r="BI7" s="29">
        <f>IF(('Activity data'!BI8*EF!$H7)*kgtoGg=0,"NO",('Activity data'!BI8*EF!$H7)*kgtoGg)</f>
        <v>406.06556769385452</v>
      </c>
      <c r="BJ7" s="29">
        <f>IF(('Activity data'!BJ8*EF!$H7)*kgtoGg=0,"NO",('Activity data'!BJ8*EF!$H7)*kgtoGg)</f>
        <v>403.2453346330679</v>
      </c>
      <c r="BK7" s="29">
        <f>IF(('Activity data'!BK8*EF!$H7)*kgtoGg=0,"NO",('Activity data'!BK8*EF!$H7)*kgtoGg)</f>
        <v>400.34178923894007</v>
      </c>
      <c r="BL7" s="29">
        <f>IF(('Activity data'!BL8*EF!$H7)*kgtoGg=0,"NO",('Activity data'!BL8*EF!$H7)*kgtoGg)</f>
        <v>397.4196048084608</v>
      </c>
      <c r="BM7" s="29">
        <f>IF(('Activity data'!BM8*EF!$H7)*kgtoGg=0,"NO",('Activity data'!BM8*EF!$H7)*kgtoGg)</f>
        <v>394.4255861477028</v>
      </c>
      <c r="BN7" s="29">
        <f>IF(('Activity data'!BN8*EF!$H7)*kgtoGg=0,"NO",('Activity data'!BN8*EF!$H7)*kgtoGg)</f>
        <v>391.41355394541989</v>
      </c>
      <c r="BO7" s="29">
        <f>IF(('Activity data'!BO8*EF!$H7)*kgtoGg=0,"NO",('Activity data'!BO8*EF!$H7)*kgtoGg)</f>
        <v>388.32317706551936</v>
      </c>
      <c r="BP7" s="29">
        <f>IF(('Activity data'!BP8*EF!$H7)*kgtoGg=0,"NO",('Activity data'!BP8*EF!$H7)*kgtoGg)</f>
        <v>385.1479177307283</v>
      </c>
    </row>
    <row r="8" spans="1:74" x14ac:dyDescent="0.25">
      <c r="A8" t="str">
        <f t="shared" si="1"/>
        <v>3A Livestock</v>
      </c>
      <c r="B8" t="str">
        <f t="shared" si="2"/>
        <v>3A1 Enteric fermentation (CH4)</v>
      </c>
      <c r="C8" t="str">
        <f>EF!C8</f>
        <v>3A1aii Other cattle</v>
      </c>
      <c r="D8" t="str">
        <f>EF!D8</f>
        <v>Subsistence</v>
      </c>
      <c r="E8" t="str">
        <f t="shared" ref="E8:E17" si="3">E7</f>
        <v>Enteric fermentation Emissions</v>
      </c>
      <c r="F8" t="str">
        <f t="shared" ref="F8:F18" si="4">F7</f>
        <v>CH4</v>
      </c>
      <c r="G8" t="str">
        <f t="shared" ref="G8:G18" si="5">G7</f>
        <v>Gg CH4</v>
      </c>
      <c r="H8" s="29">
        <f>IF(('Activity data'!H9*EF!$H8)*kgtoGg=0,"NO",('Activity data'!H9*EF!$H8)*kgtoGg)</f>
        <v>351.48091935561007</v>
      </c>
      <c r="I8" s="29">
        <f>IF(('Activity data'!I9*EF!$H8)*kgtoGg=0,"NO",('Activity data'!I9*EF!$H8)*kgtoGg)</f>
        <v>378.66046320736206</v>
      </c>
      <c r="J8" s="29">
        <f>IF(('Activity data'!J9*EF!$H8)*kgtoGg=0,"NO",('Activity data'!J9*EF!$H8)*kgtoGg)</f>
        <v>382.36676464169187</v>
      </c>
      <c r="K8" s="29">
        <f>IF(('Activity data'!K9*EF!$H8)*kgtoGg=0,"NO",('Activity data'!K9*EF!$H8)*kgtoGg)</f>
        <v>382.36676464169176</v>
      </c>
      <c r="L8" s="29">
        <f>IF(('Activity data'!L9*EF!$H8)*kgtoGg=0,"NO",('Activity data'!L9*EF!$H8)*kgtoGg)</f>
        <v>336.03799671256928</v>
      </c>
      <c r="M8" s="29">
        <f>IF(('Activity data'!M9*EF!$H8)*kgtoGg=0,"NO",('Activity data'!M9*EF!$H8)*kgtoGg)</f>
        <v>331.71397837251777</v>
      </c>
      <c r="N8" s="29">
        <f>IF(('Activity data'!N9*EF!$H8)*kgtoGg=0,"NO",('Activity data'!N9*EF!$H8)*kgtoGg)</f>
        <v>339.7442981468991</v>
      </c>
      <c r="O8" s="29">
        <f>IF(('Activity data'!O9*EF!$H8)*kgtoGg=0,"NO",('Activity data'!O9*EF!$H8)*kgtoGg)</f>
        <v>349.62776863844516</v>
      </c>
      <c r="P8" s="29">
        <f>IF(('Activity data'!P9*EF!$H8)*kgtoGg=0,"NO",('Activity data'!P9*EF!$H8)*kgtoGg)</f>
        <v>365.07069128148612</v>
      </c>
      <c r="Q8" s="29">
        <f>IF(('Activity data'!Q9*EF!$H8)*kgtoGg=0,"NO",('Activity data'!Q9*EF!$H8)*kgtoGg)</f>
        <v>378.04274630164036</v>
      </c>
      <c r="R8" s="29">
        <f>IF(('Activity data'!R9*EF!$H8)*kgtoGg=0,"NO",('Activity data'!R9*EF!$H8)*kgtoGg)</f>
        <v>388.54393369890818</v>
      </c>
      <c r="S8" s="29">
        <f>IF(('Activity data'!S9*EF!$H8)*kgtoGg=0,"NO",('Activity data'!S9*EF!$H8)*kgtoGg)</f>
        <v>380.51361392452696</v>
      </c>
      <c r="T8" s="29">
        <f>IF(('Activity data'!T9*EF!$H8)*kgtoGg=0,"NO",('Activity data'!T9*EF!$H8)*kgtoGg)</f>
        <v>410.78174230488708</v>
      </c>
      <c r="U8" s="29">
        <f>IF(('Activity data'!U9*EF!$H8)*kgtoGg=0,"NO",('Activity data'!U9*EF!$H8)*kgtoGg)</f>
        <v>410.1640253991655</v>
      </c>
      <c r="V8" s="29">
        <f>IF(('Activity data'!V9*EF!$H8)*kgtoGg=0,"NO",('Activity data'!V9*EF!$H8)*kgtoGg)</f>
        <v>401.51598871906259</v>
      </c>
      <c r="W8" s="29">
        <f>IF(('Activity data'!W9*EF!$H8)*kgtoGg=0,"NO",('Activity data'!W9*EF!$H8)*kgtoGg)</f>
        <v>396.57425347328939</v>
      </c>
      <c r="X8" s="29">
        <f>IF(('Activity data'!X9*EF!$H8)*kgtoGg=0,"NO",('Activity data'!X9*EF!$H8)*kgtoGg)</f>
        <v>405.84000705911399</v>
      </c>
      <c r="Y8" s="29">
        <f>IF(('Activity data'!Y9*EF!$H8)*kgtoGg=0,"NO",('Activity data'!Y9*EF!$H8)*kgtoGg)</f>
        <v>419.42977898498992</v>
      </c>
      <c r="Z8" s="29">
        <f>IF(('Activity data'!Z9*EF!$H8)*kgtoGg=0,"NO",('Activity data'!Z9*EF!$H8)*kgtoGg)</f>
        <v>427.46009875937119</v>
      </c>
      <c r="AA8" s="29">
        <f>IF(('Activity data'!AA9*EF!$H8)*kgtoGg=0,"NO",('Activity data'!AA9*EF!$H8)*kgtoGg)</f>
        <v>426.22466494792798</v>
      </c>
      <c r="AB8" s="29">
        <f>IF(('Activity data'!AB9*EF!$H8)*kgtoGg=0,"NO",('Activity data'!AB9*EF!$H8)*kgtoGg)</f>
        <v>421.28292970215483</v>
      </c>
      <c r="AC8" s="29">
        <f>IF(('Activity data'!AC9*EF!$H8)*kgtoGg=0,"NO",('Activity data'!AC9*EF!$H8)*kgtoGg)</f>
        <v>420.04749589071156</v>
      </c>
      <c r="AD8" s="29">
        <f>IF(('Activity data'!AD9*EF!$H8)*kgtoGg=0,"NO",('Activity data'!AD9*EF!$H8)*kgtoGg)</f>
        <v>363.83525747004279</v>
      </c>
      <c r="AE8" s="29">
        <f>IF(('Activity data'!AE9*EF!$H8)*kgtoGg=0,"NO",('Activity data'!AE9*EF!$H8)*kgtoGg)</f>
        <v>434.87270162803082</v>
      </c>
      <c r="AF8" s="29">
        <f>IF(('Activity data'!AF9*EF!$H8)*kgtoGg=0,"NO",('Activity data'!AF9*EF!$H8)*kgtoGg)</f>
        <v>427.46009875937114</v>
      </c>
      <c r="AG8" s="29">
        <f>IF(('Activity data'!AG9*EF!$H8)*kgtoGg=0,"NO",('Activity data'!AG9*EF!$H8)*kgtoGg)</f>
        <v>422.5183635135981</v>
      </c>
      <c r="AH8" s="29">
        <f>IF(('Activity data'!AH9*EF!$H8)*kgtoGg=0,"NO",('Activity data'!AH9*EF!$H8)*kgtoGg)</f>
        <v>418.8120620792684</v>
      </c>
      <c r="AI8" s="29">
        <f>IF(('Activity data'!AI9*EF!$H8)*kgtoGg=0,"NO",('Activity data'!AI9*EF!$H8)*kgtoGg)</f>
        <v>414.48804373921689</v>
      </c>
      <c r="AJ8" s="29">
        <f>IF(('Activity data'!AJ9*EF!$H8)*kgtoGg=0,"NO",('Activity data'!AJ9*EF!$H8)*kgtoGg)</f>
        <v>430.47777127940014</v>
      </c>
      <c r="AK8" s="29">
        <f>IF(('Activity data'!AK9*EF!$H8)*kgtoGg=0,"NO",('Activity data'!AK9*EF!$H8)*kgtoGg)</f>
        <v>472.99644643123355</v>
      </c>
      <c r="AL8" s="29">
        <f>IF(('Activity data'!AL9*EF!$H8)*kgtoGg=0,"NO",('Activity data'!AL9*EF!$H8)*kgtoGg)</f>
        <v>476.29474940083571</v>
      </c>
      <c r="AM8" s="29">
        <f>IF(('Activity data'!AM9*EF!$H8)*kgtoGg=0,"NO",('Activity data'!AM9*EF!$H8)*kgtoGg)</f>
        <v>479.63793535205883</v>
      </c>
      <c r="AN8" s="29">
        <f>IF(('Activity data'!AN9*EF!$H8)*kgtoGg=0,"NO",('Activity data'!AN9*EF!$H8)*kgtoGg)</f>
        <v>482.98112124157194</v>
      </c>
      <c r="AO8" s="29">
        <f>IF(('Activity data'!AO9*EF!$H8)*kgtoGg=0,"NO",('Activity data'!AO9*EF!$H8)*kgtoGg)</f>
        <v>486.32430713108505</v>
      </c>
      <c r="AP8" s="29">
        <f>IF(('Activity data'!AP9*EF!$H8)*kgtoGg=0,"NO",('Activity data'!AP9*EF!$H8)*kgtoGg)</f>
        <v>489.66749302059822</v>
      </c>
      <c r="AQ8" s="29">
        <f>IF(('Activity data'!AQ9*EF!$H8)*kgtoGg=0,"NO",('Activity data'!AQ9*EF!$H8)*kgtoGg)</f>
        <v>493.01067897182122</v>
      </c>
      <c r="AR8" s="29">
        <f>IF(('Activity data'!AR9*EF!$H8)*kgtoGg=0,"NO",('Activity data'!AR9*EF!$H8)*kgtoGg)</f>
        <v>496.63266225255194</v>
      </c>
      <c r="AS8" s="29">
        <f>IF(('Activity data'!AS9*EF!$H8)*kgtoGg=0,"NO",('Activity data'!AS9*EF!$H8)*kgtoGg)</f>
        <v>500.2546455332826</v>
      </c>
      <c r="AT8" s="29">
        <f>IF(('Activity data'!AT9*EF!$H8)*kgtoGg=0,"NO",('Activity data'!AT9*EF!$H8)*kgtoGg)</f>
        <v>503.87662881401332</v>
      </c>
      <c r="AU8" s="29">
        <f>IF(('Activity data'!AU9*EF!$H8)*kgtoGg=0,"NO",('Activity data'!AU9*EF!$H8)*kgtoGg)</f>
        <v>507.49861209474398</v>
      </c>
      <c r="AV8" s="29">
        <f>IF(('Activity data'!AV9*EF!$H8)*kgtoGg=0,"NO",('Activity data'!AV9*EF!$H8)*kgtoGg)</f>
        <v>511.12059537547475</v>
      </c>
      <c r="AW8" s="29">
        <f>IF(('Activity data'!AW9*EF!$H8)*kgtoGg=0,"NO",('Activity data'!AW9*EF!$H8)*kgtoGg)</f>
        <v>514.61961183095673</v>
      </c>
      <c r="AX8" s="29">
        <f>IF(('Activity data'!AX9*EF!$H8)*kgtoGg=0,"NO",('Activity data'!AX9*EF!$H8)*kgtoGg)</f>
        <v>518.11862822472881</v>
      </c>
      <c r="AY8" s="29">
        <f>IF(('Activity data'!AY9*EF!$H8)*kgtoGg=0,"NO",('Activity data'!AY9*EF!$H8)*kgtoGg)</f>
        <v>521.6176446802109</v>
      </c>
      <c r="AZ8" s="29">
        <f>IF(('Activity data'!AZ9*EF!$H8)*kgtoGg=0,"NO",('Activity data'!AZ9*EF!$H8)*kgtoGg)</f>
        <v>525.1166610739831</v>
      </c>
      <c r="BA8" s="29">
        <f>IF(('Activity data'!BA9*EF!$H8)*kgtoGg=0,"NO",('Activity data'!BA9*EF!$H8)*kgtoGg)</f>
        <v>528.61567746775518</v>
      </c>
      <c r="BB8" s="29">
        <f>IF(('Activity data'!BB9*EF!$H8)*kgtoGg=0,"NO",('Activity data'!BB9*EF!$H8)*kgtoGg)</f>
        <v>532.25225662533944</v>
      </c>
      <c r="BC8" s="29">
        <f>IF(('Activity data'!BC9*EF!$H8)*kgtoGg=0,"NO",('Activity data'!BC9*EF!$H8)*kgtoGg)</f>
        <v>535.88883578292371</v>
      </c>
      <c r="BD8" s="29">
        <f>IF(('Activity data'!BD9*EF!$H8)*kgtoGg=0,"NO",('Activity data'!BD9*EF!$H8)*kgtoGg)</f>
        <v>539.52541487879785</v>
      </c>
      <c r="BE8" s="29">
        <f>IF(('Activity data'!BE9*EF!$H8)*kgtoGg=0,"NO",('Activity data'!BE9*EF!$H8)*kgtoGg)</f>
        <v>543.16199403638223</v>
      </c>
      <c r="BF8" s="29">
        <f>IF(('Activity data'!BF9*EF!$H8)*kgtoGg=0,"NO",('Activity data'!BF9*EF!$H8)*kgtoGg)</f>
        <v>546.79857319396649</v>
      </c>
      <c r="BG8" s="29">
        <f>IF(('Activity data'!BG9*EF!$H8)*kgtoGg=0,"NO",('Activity data'!BG9*EF!$H8)*kgtoGg)</f>
        <v>550.94983140286911</v>
      </c>
      <c r="BH8" s="29">
        <f>IF(('Activity data'!BH9*EF!$H8)*kgtoGg=0,"NO",('Activity data'!BH9*EF!$H8)*kgtoGg)</f>
        <v>555.10108955006183</v>
      </c>
      <c r="BI8" s="29">
        <f>IF(('Activity data'!BI9*EF!$H8)*kgtoGg=0,"NO",('Activity data'!BI9*EF!$H8)*kgtoGg)</f>
        <v>559.25234775896456</v>
      </c>
      <c r="BJ8" s="29">
        <f>IF(('Activity data'!BJ9*EF!$H8)*kgtoGg=0,"NO",('Activity data'!BJ9*EF!$H8)*kgtoGg)</f>
        <v>563.40360596786695</v>
      </c>
      <c r="BK8" s="29">
        <f>IF(('Activity data'!BK9*EF!$H8)*kgtoGg=0,"NO",('Activity data'!BK9*EF!$H8)*kgtoGg)</f>
        <v>567.55486417676957</v>
      </c>
      <c r="BL8" s="29">
        <f>IF(('Activity data'!BL9*EF!$H8)*kgtoGg=0,"NO",('Activity data'!BL9*EF!$H8)*kgtoGg)</f>
        <v>571.55960724050829</v>
      </c>
      <c r="BM8" s="29">
        <f>IF(('Activity data'!BM9*EF!$H8)*kgtoGg=0,"NO",('Activity data'!BM9*EF!$H8)*kgtoGg)</f>
        <v>575.56435030424666</v>
      </c>
      <c r="BN8" s="29">
        <f>IF(('Activity data'!BN9*EF!$H8)*kgtoGg=0,"NO",('Activity data'!BN9*EF!$H8)*kgtoGg)</f>
        <v>579.56909342969527</v>
      </c>
      <c r="BO8" s="29">
        <f>IF(('Activity data'!BO9*EF!$H8)*kgtoGg=0,"NO",('Activity data'!BO9*EF!$H8)*kgtoGg)</f>
        <v>583.57383649343353</v>
      </c>
      <c r="BP8" s="29">
        <f>IF(('Activity data'!BP9*EF!$H8)*kgtoGg=0,"NO",('Activity data'!BP9*EF!$H8)*kgtoGg)</f>
        <v>587.57857955717213</v>
      </c>
    </row>
    <row r="9" spans="1:74" x14ac:dyDescent="0.25">
      <c r="A9" t="str">
        <f t="shared" si="1"/>
        <v>3A Livestock</v>
      </c>
      <c r="B9" t="str">
        <f t="shared" si="2"/>
        <v>3A1 Enteric fermentation (CH4)</v>
      </c>
      <c r="C9" t="str">
        <f>EF!C9</f>
        <v>3A1aii Other cattle</v>
      </c>
      <c r="D9" t="str">
        <f>EF!D9</f>
        <v>Feedlot</v>
      </c>
      <c r="E9" t="str">
        <f t="shared" si="3"/>
        <v>Enteric fermentation Emissions</v>
      </c>
      <c r="F9" t="str">
        <f t="shared" si="4"/>
        <v>CH4</v>
      </c>
      <c r="G9" t="str">
        <f t="shared" si="5"/>
        <v>Gg CH4</v>
      </c>
      <c r="H9" s="29">
        <f>IF(('Activity data'!H10*EF!$H9)*kgtoGg=0,"NO",('Activity data'!H10*EF!$H9)*kgtoGg)</f>
        <v>24.738</v>
      </c>
      <c r="I9" s="29">
        <f>IF(('Activity data'!I10*EF!$H9)*kgtoGg=0,"NO",('Activity data'!I10*EF!$H9)*kgtoGg)</f>
        <v>24.738</v>
      </c>
      <c r="J9" s="29">
        <f>IF(('Activity data'!J10*EF!$H9)*kgtoGg=0,"NO",('Activity data'!J10*EF!$H9)*kgtoGg)</f>
        <v>24.738</v>
      </c>
      <c r="K9" s="29">
        <f>IF(('Activity data'!K10*EF!$H9)*kgtoGg=0,"NO",('Activity data'!K10*EF!$H9)*kgtoGg)</f>
        <v>24.738</v>
      </c>
      <c r="L9" s="29">
        <f>IF(('Activity data'!L10*EF!$H9)*kgtoGg=0,"NO",('Activity data'!L10*EF!$H9)*kgtoGg)</f>
        <v>24.738</v>
      </c>
      <c r="M9" s="29">
        <f>IF(('Activity data'!M10*EF!$H9)*kgtoGg=0,"NO",('Activity data'!M10*EF!$H9)*kgtoGg)</f>
        <v>24.738</v>
      </c>
      <c r="N9" s="29">
        <f>IF(('Activity data'!N10*EF!$H9)*kgtoGg=0,"NO",('Activity data'!N10*EF!$H9)*kgtoGg)</f>
        <v>24.738</v>
      </c>
      <c r="O9" s="29">
        <f>IF(('Activity data'!O10*EF!$H9)*kgtoGg=0,"NO",('Activity data'!O10*EF!$H9)*kgtoGg)</f>
        <v>24.738</v>
      </c>
      <c r="P9" s="29">
        <f>IF(('Activity data'!P10*EF!$H9)*kgtoGg=0,"NO",('Activity data'!P10*EF!$H9)*kgtoGg)</f>
        <v>24.738</v>
      </c>
      <c r="Q9" s="29">
        <f>IF(('Activity data'!Q10*EF!$H9)*kgtoGg=0,"NO",('Activity data'!Q10*EF!$H9)*kgtoGg)</f>
        <v>24.738</v>
      </c>
      <c r="R9" s="29">
        <f>IF(('Activity data'!R10*EF!$H9)*kgtoGg=0,"NO",('Activity data'!R10*EF!$H9)*kgtoGg)</f>
        <v>24.738</v>
      </c>
      <c r="S9" s="29">
        <f>IF(('Activity data'!S10*EF!$H9)*kgtoGg=0,"NO",('Activity data'!S10*EF!$H9)*kgtoGg)</f>
        <v>24.738</v>
      </c>
      <c r="T9" s="29">
        <f>IF(('Activity data'!T10*EF!$H9)*kgtoGg=0,"NO",('Activity data'!T10*EF!$H9)*kgtoGg)</f>
        <v>24.738</v>
      </c>
      <c r="U9" s="29">
        <f>IF(('Activity data'!U10*EF!$H9)*kgtoGg=0,"NO",('Activity data'!U10*EF!$H9)*kgtoGg)</f>
        <v>24.738</v>
      </c>
      <c r="V9" s="29">
        <f>IF(('Activity data'!V10*EF!$H9)*kgtoGg=0,"NO",('Activity data'!V10*EF!$H9)*kgtoGg)</f>
        <v>24.738</v>
      </c>
      <c r="W9" s="29">
        <f>IF(('Activity data'!W10*EF!$H9)*kgtoGg=0,"NO",('Activity data'!W10*EF!$H9)*kgtoGg)</f>
        <v>24.738</v>
      </c>
      <c r="X9" s="29">
        <f>IF(('Activity data'!X10*EF!$H9)*kgtoGg=0,"NO",('Activity data'!X10*EF!$H9)*kgtoGg)</f>
        <v>24.738</v>
      </c>
      <c r="Y9" s="29">
        <f>IF(('Activity data'!Y10*EF!$H9)*kgtoGg=0,"NO",('Activity data'!Y10*EF!$H9)*kgtoGg)</f>
        <v>24.738</v>
      </c>
      <c r="Z9" s="29">
        <f>IF(('Activity data'!Z10*EF!$H9)*kgtoGg=0,"NO",('Activity data'!Z10*EF!$H9)*kgtoGg)</f>
        <v>23.038602474999998</v>
      </c>
      <c r="AA9" s="29">
        <f>IF(('Activity data'!AA10*EF!$H9)*kgtoGg=0,"NO",('Activity data'!AA10*EF!$H9)*kgtoGg)</f>
        <v>23.608263641666664</v>
      </c>
      <c r="AB9" s="29">
        <f>IF(('Activity data'!AB10*EF!$H9)*kgtoGg=0,"NO",('Activity data'!AB10*EF!$H9)*kgtoGg)</f>
        <v>23.549535433333329</v>
      </c>
      <c r="AC9" s="29">
        <f>IF(('Activity data'!AC10*EF!$H9)*kgtoGg=0,"NO",('Activity data'!AC10*EF!$H9)*kgtoGg)</f>
        <v>27.200029816666664</v>
      </c>
      <c r="AD9" s="29">
        <f>IF(('Activity data'!AD10*EF!$H9)*kgtoGg=0,"NO",('Activity data'!AD10*EF!$H9)*kgtoGg)</f>
        <v>28.523718966666667</v>
      </c>
      <c r="AE9" s="29">
        <f>IF(('Activity data'!AE10*EF!$H9)*kgtoGg=0,"NO",('Activity data'!AE10*EF!$H9)*kgtoGg)</f>
        <v>29.606026099999998</v>
      </c>
      <c r="AF9" s="29">
        <f>IF(('Activity data'!AF10*EF!$H9)*kgtoGg=0,"NO",('Activity data'!AF10*EF!$H9)*kgtoGg)</f>
        <v>30.6883725</v>
      </c>
      <c r="AG9" s="29">
        <f>IF(('Activity data'!AG10*EF!$H9)*kgtoGg=0,"NO",('Activity data'!AG10*EF!$H9)*kgtoGg)</f>
        <v>31.770659999999999</v>
      </c>
      <c r="AH9" s="29">
        <f>IF(('Activity data'!AH10*EF!$H9)*kgtoGg=0,"NO",('Activity data'!AH10*EF!$H9)*kgtoGg)</f>
        <v>33.463210399999994</v>
      </c>
      <c r="AI9" s="29">
        <f>IF(('Activity data'!AI10*EF!$H9)*kgtoGg=0,"NO",('Activity data'!AI10*EF!$H9)*kgtoGg)</f>
        <v>34.844356499999996</v>
      </c>
      <c r="AJ9" s="29">
        <f>IF(('Activity data'!AJ10*EF!$H9)*kgtoGg=0,"NO",('Activity data'!AJ10*EF!$H9)*kgtoGg)</f>
        <v>31.065874897988724</v>
      </c>
      <c r="AK9" s="29">
        <f>IF(('Activity data'!AK10*EF!$H9)*kgtoGg=0,"NO",('Activity data'!AK10*EF!$H9)*kgtoGg)</f>
        <v>31.421411171789103</v>
      </c>
      <c r="AL9" s="29">
        <f>IF(('Activity data'!AL10*EF!$H9)*kgtoGg=0,"NO",('Activity data'!AL10*EF!$H9)*kgtoGg)</f>
        <v>31.26056522435244</v>
      </c>
      <c r="AM9" s="29">
        <f>IF(('Activity data'!AM10*EF!$H9)*kgtoGg=0,"NO",('Activity data'!AM10*EF!$H9)*kgtoGg)</f>
        <v>31.697186134249456</v>
      </c>
      <c r="AN9" s="29">
        <f>IF(('Activity data'!AN10*EF!$H9)*kgtoGg=0,"NO",('Activity data'!AN10*EF!$H9)*kgtoGg)</f>
        <v>32.128557885465845</v>
      </c>
      <c r="AO9" s="29">
        <f>IF(('Activity data'!AO10*EF!$H9)*kgtoGg=0,"NO",('Activity data'!AO10*EF!$H9)*kgtoGg)</f>
        <v>32.561107927915138</v>
      </c>
      <c r="AP9" s="29">
        <f>IF(('Activity data'!AP10*EF!$H9)*kgtoGg=0,"NO",('Activity data'!AP10*EF!$H9)*kgtoGg)</f>
        <v>32.989139181361381</v>
      </c>
      <c r="AQ9" s="29">
        <f>IF(('Activity data'!AQ10*EF!$H9)*kgtoGg=0,"NO",('Activity data'!AQ10*EF!$H9)*kgtoGg)</f>
        <v>33.422411770308464</v>
      </c>
      <c r="AR9" s="29">
        <f>IF(('Activity data'!AR10*EF!$H9)*kgtoGg=0,"NO",('Activity data'!AR10*EF!$H9)*kgtoGg)</f>
        <v>33.905116184834803</v>
      </c>
      <c r="AS9" s="29">
        <f>IF(('Activity data'!AS10*EF!$H9)*kgtoGg=0,"NO",('Activity data'!AS10*EF!$H9)*kgtoGg)</f>
        <v>34.386430881679551</v>
      </c>
      <c r="AT9" s="29">
        <f>IF(('Activity data'!AT10*EF!$H9)*kgtoGg=0,"NO",('Activity data'!AT10*EF!$H9)*kgtoGg)</f>
        <v>34.874840199621644</v>
      </c>
      <c r="AU9" s="29">
        <f>IF(('Activity data'!AU10*EF!$H9)*kgtoGg=0,"NO",('Activity data'!AU10*EF!$H9)*kgtoGg)</f>
        <v>35.368517526477433</v>
      </c>
      <c r="AV9" s="29">
        <f>IF(('Activity data'!AV10*EF!$H9)*kgtoGg=0,"NO",('Activity data'!AV10*EF!$H9)*kgtoGg)</f>
        <v>35.867943686912412</v>
      </c>
      <c r="AW9" s="29">
        <f>IF(('Activity data'!AW10*EF!$H9)*kgtoGg=0,"NO",('Activity data'!AW10*EF!$H9)*kgtoGg)</f>
        <v>36.389898653837875</v>
      </c>
      <c r="AX9" s="29">
        <f>IF(('Activity data'!AX10*EF!$H9)*kgtoGg=0,"NO",('Activity data'!AX10*EF!$H9)*kgtoGg)</f>
        <v>36.902402411563941</v>
      </c>
      <c r="AY9" s="29">
        <f>IF(('Activity data'!AY10*EF!$H9)*kgtoGg=0,"NO",('Activity data'!AY10*EF!$H9)*kgtoGg)</f>
        <v>37.436223336880978</v>
      </c>
      <c r="AZ9" s="29">
        <f>IF(('Activity data'!AZ10*EF!$H9)*kgtoGg=0,"NO",('Activity data'!AZ10*EF!$H9)*kgtoGg)</f>
        <v>37.984946812277869</v>
      </c>
      <c r="BA9" s="29">
        <f>IF(('Activity data'!BA10*EF!$H9)*kgtoGg=0,"NO",('Activity data'!BA10*EF!$H9)*kgtoGg)</f>
        <v>38.549379433286525</v>
      </c>
      <c r="BB9" s="29">
        <f>IF(('Activity data'!BB10*EF!$H9)*kgtoGg=0,"NO",('Activity data'!BB10*EF!$H9)*kgtoGg)</f>
        <v>39.133595369072189</v>
      </c>
      <c r="BC9" s="29">
        <f>IF(('Activity data'!BC10*EF!$H9)*kgtoGg=0,"NO",('Activity data'!BC10*EF!$H9)*kgtoGg)</f>
        <v>39.728616520307682</v>
      </c>
      <c r="BD9" s="29">
        <f>IF(('Activity data'!BD10*EF!$H9)*kgtoGg=0,"NO",('Activity data'!BD10*EF!$H9)*kgtoGg)</f>
        <v>40.327651759516449</v>
      </c>
      <c r="BE9" s="29">
        <f>IF(('Activity data'!BE10*EF!$H9)*kgtoGg=0,"NO",('Activity data'!BE10*EF!$H9)*kgtoGg)</f>
        <v>40.937594121742862</v>
      </c>
      <c r="BF9" s="29">
        <f>IF(('Activity data'!BF10*EF!$H9)*kgtoGg=0,"NO",('Activity data'!BF10*EF!$H9)*kgtoGg)</f>
        <v>41.564547085747087</v>
      </c>
      <c r="BG9" s="29">
        <f>IF(('Activity data'!BG10*EF!$H9)*kgtoGg=0,"NO",('Activity data'!BG10*EF!$H9)*kgtoGg)</f>
        <v>42.250677482029204</v>
      </c>
      <c r="BH9" s="29">
        <f>IF(('Activity data'!BH10*EF!$H9)*kgtoGg=0,"NO",('Activity data'!BH10*EF!$H9)*kgtoGg)</f>
        <v>42.949866364498696</v>
      </c>
      <c r="BI9" s="29">
        <f>IF(('Activity data'!BI10*EF!$H9)*kgtoGg=0,"NO",('Activity data'!BI10*EF!$H9)*kgtoGg)</f>
        <v>43.66136933878186</v>
      </c>
      <c r="BJ9" s="29">
        <f>IF(('Activity data'!BJ10*EF!$H9)*kgtoGg=0,"NO",('Activity data'!BJ10*EF!$H9)*kgtoGg)</f>
        <v>44.387023843521277</v>
      </c>
      <c r="BK9" s="29">
        <f>IF(('Activity data'!BK10*EF!$H9)*kgtoGg=0,"NO",('Activity data'!BK10*EF!$H9)*kgtoGg)</f>
        <v>45.134114863855828</v>
      </c>
      <c r="BL9" s="29">
        <f>IF(('Activity data'!BL10*EF!$H9)*kgtoGg=0,"NO",('Activity data'!BL10*EF!$H9)*kgtoGg)</f>
        <v>45.886001764672919</v>
      </c>
      <c r="BM9" s="29">
        <f>IF(('Activity data'!BM10*EF!$H9)*kgtoGg=0,"NO",('Activity data'!BM10*EF!$H9)*kgtoGg)</f>
        <v>46.656371830417413</v>
      </c>
      <c r="BN9" s="29">
        <f>IF(('Activity data'!BN10*EF!$H9)*kgtoGg=0,"NO",('Activity data'!BN10*EF!$H9)*kgtoGg)</f>
        <v>47.431376834931896</v>
      </c>
      <c r="BO9" s="29">
        <f>IF(('Activity data'!BO10*EF!$H9)*kgtoGg=0,"NO",('Activity data'!BO10*EF!$H9)*kgtoGg)</f>
        <v>48.226540162184307</v>
      </c>
      <c r="BP9" s="29">
        <f>IF(('Activity data'!BP10*EF!$H9)*kgtoGg=0,"NO",('Activity data'!BP10*EF!$H9)*kgtoGg)</f>
        <v>49.043544002060003</v>
      </c>
    </row>
    <row r="10" spans="1:74" x14ac:dyDescent="0.25">
      <c r="A10" t="str">
        <f t="shared" si="1"/>
        <v>3A Livestock</v>
      </c>
      <c r="B10" t="str">
        <f t="shared" si="2"/>
        <v>3A1 Enteric fermentation (CH4)</v>
      </c>
      <c r="C10" t="str">
        <f>EF!C10</f>
        <v>3A1c Sheep</v>
      </c>
      <c r="D10" t="str">
        <f>EF!D10</f>
        <v>Commercial</v>
      </c>
      <c r="E10" t="str">
        <f t="shared" si="3"/>
        <v>Enteric fermentation Emissions</v>
      </c>
      <c r="F10" t="str">
        <f t="shared" si="4"/>
        <v>CH4</v>
      </c>
      <c r="G10" t="str">
        <f t="shared" si="5"/>
        <v>Gg CH4</v>
      </c>
      <c r="H10" s="29">
        <f>IF(('Activity data'!H11*EF!$H10)*kgtoGg=0,"NO",('Activity data'!H11*EF!$H10)*kgtoGg)</f>
        <v>209.00064638385984</v>
      </c>
      <c r="I10" s="29">
        <f>IF(('Activity data'!I11*EF!$H10)*kgtoGg=0,"NO",('Activity data'!I11*EF!$H10)*kgtoGg)</f>
        <v>199.60297230115387</v>
      </c>
      <c r="J10" s="29">
        <f>IF(('Activity data'!J11*EF!$H10)*kgtoGg=0,"NO",('Activity data'!J11*EF!$H10)*kgtoGg)</f>
        <v>191.35560698969897</v>
      </c>
      <c r="K10" s="29">
        <f>IF(('Activity data'!K11*EF!$H10)*kgtoGg=0,"NO",('Activity data'!K11*EF!$H10)*kgtoGg)</f>
        <v>178.96015853342948</v>
      </c>
      <c r="L10" s="29">
        <f>IF(('Activity data'!L11*EF!$H10)*kgtoGg=0,"NO",('Activity data'!L11*EF!$H10)*kgtoGg)</f>
        <v>180.22201239765039</v>
      </c>
      <c r="M10" s="29">
        <f>IF(('Activity data'!M11*EF!$H10)*kgtoGg=0,"NO",('Activity data'!M11*EF!$H10)*kgtoGg)</f>
        <v>177.64253212272365</v>
      </c>
      <c r="N10" s="29">
        <f>IF(('Activity data'!N11*EF!$H10)*kgtoGg=0,"NO",('Activity data'!N11*EF!$H10)*kgtoGg)</f>
        <v>178.23511542912576</v>
      </c>
      <c r="O10" s="29">
        <f>IF(('Activity data'!O11*EF!$H10)*kgtoGg=0,"NO",('Activity data'!O11*EF!$H10)*kgtoGg)</f>
        <v>174.35892344842506</v>
      </c>
      <c r="P10" s="29">
        <f>IF(('Activity data'!P11*EF!$H10)*kgtoGg=0,"NO",('Activity data'!P11*EF!$H10)*kgtoGg)</f>
        <v>174.83996166185733</v>
      </c>
      <c r="Q10" s="29">
        <f>IF(('Activity data'!Q11*EF!$H10)*kgtoGg=0,"NO",('Activity data'!Q11*EF!$H10)*kgtoGg)</f>
        <v>170.54547558251988</v>
      </c>
      <c r="R10" s="29">
        <f>IF(('Activity data'!R11*EF!$H10)*kgtoGg=0,"NO",('Activity data'!R11*EF!$H10)*kgtoGg)</f>
        <v>164.4314101741125</v>
      </c>
      <c r="S10" s="29">
        <f>IF(('Activity data'!S11*EF!$H10)*kgtoGg=0,"NO",('Activity data'!S11*EF!$H10)*kgtoGg)</f>
        <v>160.33212800747219</v>
      </c>
      <c r="T10" s="29">
        <f>IF(('Activity data'!T11*EF!$H10)*kgtoGg=0,"NO",('Activity data'!T11*EF!$H10)*kgtoGg)</f>
        <v>157.65504577619689</v>
      </c>
      <c r="U10" s="29">
        <f>IF(('Activity data'!U11*EF!$H10)*kgtoGg=0,"NO",('Activity data'!U11*EF!$H10)*kgtoGg)</f>
        <v>158.20579967273531</v>
      </c>
      <c r="V10" s="29">
        <f>IF(('Activity data'!V11*EF!$H10)*kgtoGg=0,"NO",('Activity data'!V11*EF!$H10)*kgtoGg)</f>
        <v>155.38928607524772</v>
      </c>
      <c r="W10" s="29">
        <f>IF(('Activity data'!W11*EF!$H10)*kgtoGg=0,"NO",('Activity data'!W11*EF!$H10)*kgtoGg)</f>
        <v>155.01979295478526</v>
      </c>
      <c r="X10" s="29">
        <f>IF(('Activity data'!X11*EF!$H10)*kgtoGg=0,"NO",('Activity data'!X11*EF!$H10)*kgtoGg)</f>
        <v>152.99106657639697</v>
      </c>
      <c r="Y10" s="29">
        <f>IF(('Activity data'!Y11*EF!$H10)*kgtoGg=0,"NO",('Activity data'!Y11*EF!$H10)*kgtoGg)</f>
        <v>152.84466364187409</v>
      </c>
      <c r="Z10" s="29">
        <f>IF(('Activity data'!Z11*EF!$H10)*kgtoGg=0,"NO",('Activity data'!Z11*EF!$H10)*kgtoGg)</f>
        <v>153.3396449919276</v>
      </c>
      <c r="AA10" s="29">
        <f>IF(('Activity data'!AA11*EF!$H10)*kgtoGg=0,"NO",('Activity data'!AA11*EF!$H10)*kgtoGg)</f>
        <v>152.79586266369981</v>
      </c>
      <c r="AB10" s="29">
        <f>IF(('Activity data'!AB11*EF!$H10)*kgtoGg=0,"NO",('Activity data'!AB11*EF!$H10)*kgtoGg)</f>
        <v>149.83991769999997</v>
      </c>
      <c r="AC10" s="29">
        <f>IF(('Activity data'!AC11*EF!$H10)*kgtoGg=0,"NO",('Activity data'!AC11*EF!$H10)*kgtoGg)</f>
        <v>148.66869422381706</v>
      </c>
      <c r="AD10" s="29">
        <f>IF(('Activity data'!AD11*EF!$H10)*kgtoGg=0,"NO",('Activity data'!AD11*EF!$H10)*kgtoGg)</f>
        <v>149.37979419149954</v>
      </c>
      <c r="AE10" s="29">
        <f>IF(('Activity data'!AE11*EF!$H10)*kgtoGg=0,"NO",('Activity data'!AE11*EF!$H10)*kgtoGg)</f>
        <v>150.50918825781881</v>
      </c>
      <c r="AF10" s="29">
        <f>IF(('Activity data'!AF11*EF!$H10)*kgtoGg=0,"NO",('Activity data'!AF11*EF!$H10)*kgtoGg)</f>
        <v>147.81119132161166</v>
      </c>
      <c r="AG10" s="29">
        <f>IF(('Activity data'!AG11*EF!$H10)*kgtoGg=0,"NO",('Activity data'!AG11*EF!$H10)*kgtoGg)</f>
        <v>146.63299627711811</v>
      </c>
      <c r="AH10" s="29">
        <f>IF(('Activity data'!AH11*EF!$H10)*kgtoGg=0,"NO",('Activity data'!AH11*EF!$H10)*kgtoGg)</f>
        <v>142.48491313230352</v>
      </c>
      <c r="AI10" s="29">
        <f>IF(('Activity data'!AI11*EF!$H10)*kgtoGg=0,"NO",('Activity data'!AI11*EF!$H10)*kgtoGg)</f>
        <v>139.0270152502396</v>
      </c>
      <c r="AJ10" s="29">
        <f>IF(('Activity data'!AJ11*EF!$H10)*kgtoGg=0,"NO",('Activity data'!AJ11*EF!$H10)*kgtoGg)</f>
        <v>147.85150822923396</v>
      </c>
      <c r="AK10" s="29">
        <f>IF(('Activity data'!AK11*EF!$H10)*kgtoGg=0,"NO",('Activity data'!AK11*EF!$H10)*kgtoGg)</f>
        <v>147.38935794998969</v>
      </c>
      <c r="AL10" s="29">
        <f>IF(('Activity data'!AL11*EF!$H10)*kgtoGg=0,"NO",('Activity data'!AL11*EF!$H10)*kgtoGg)</f>
        <v>145.85447199982579</v>
      </c>
      <c r="AM10" s="29">
        <f>IF(('Activity data'!AM11*EF!$H10)*kgtoGg=0,"NO",('Activity data'!AM11*EF!$H10)*kgtoGg)</f>
        <v>145.54442785298502</v>
      </c>
      <c r="AN10" s="29">
        <f>IF(('Activity data'!AN11*EF!$H10)*kgtoGg=0,"NO",('Activity data'!AN11*EF!$H10)*kgtoGg)</f>
        <v>145.22347909338512</v>
      </c>
      <c r="AO10" s="29">
        <f>IF(('Activity data'!AO11*EF!$H10)*kgtoGg=0,"NO",('Activity data'!AO11*EF!$H10)*kgtoGg)</f>
        <v>144.90497812339589</v>
      </c>
      <c r="AP10" s="29">
        <f>IF(('Activity data'!AP11*EF!$H10)*kgtoGg=0,"NO",('Activity data'!AP11*EF!$H10)*kgtoGg)</f>
        <v>144.57708979273934</v>
      </c>
      <c r="AQ10" s="29">
        <f>IF(('Activity data'!AQ11*EF!$H10)*kgtoGg=0,"NO",('Activity data'!AQ11*EF!$H10)*kgtoGg)</f>
        <v>144.2600898229191</v>
      </c>
      <c r="AR10" s="29">
        <f>IF(('Activity data'!AR11*EF!$H10)*kgtoGg=0,"NO",('Activity data'!AR11*EF!$H10)*kgtoGg)</f>
        <v>143.94428397698343</v>
      </c>
      <c r="AS10" s="29">
        <f>IF(('Activity data'!AS11*EF!$H10)*kgtoGg=0,"NO",('Activity data'!AS11*EF!$H10)*kgtoGg)</f>
        <v>143.6255911228042</v>
      </c>
      <c r="AT10" s="29">
        <f>IF(('Activity data'!AT11*EF!$H10)*kgtoGg=0,"NO",('Activity data'!AT11*EF!$H10)*kgtoGg)</f>
        <v>143.32163667906943</v>
      </c>
      <c r="AU10" s="29">
        <f>IF(('Activity data'!AU11*EF!$H10)*kgtoGg=0,"NO",('Activity data'!AU11*EF!$H10)*kgtoGg)</f>
        <v>143.02862603015171</v>
      </c>
      <c r="AV10" s="29">
        <f>IF(('Activity data'!AV11*EF!$H10)*kgtoGg=0,"NO",('Activity data'!AV11*EF!$H10)*kgtoGg)</f>
        <v>142.74755804423239</v>
      </c>
      <c r="AW10" s="29">
        <f>IF(('Activity data'!AW11*EF!$H10)*kgtoGg=0,"NO",('Activity data'!AW11*EF!$H10)*kgtoGg)</f>
        <v>142.55805747995157</v>
      </c>
      <c r="AX10" s="29">
        <f>IF(('Activity data'!AX11*EF!$H10)*kgtoGg=0,"NO",('Activity data'!AX11*EF!$H10)*kgtoGg)</f>
        <v>142.34892293676171</v>
      </c>
      <c r="AY10" s="29">
        <f>IF(('Activity data'!AY11*EF!$H10)*kgtoGg=0,"NO",('Activity data'!AY11*EF!$H10)*kgtoGg)</f>
        <v>142.18407278899943</v>
      </c>
      <c r="AZ10" s="29">
        <f>IF(('Activity data'!AZ11*EF!$H10)*kgtoGg=0,"NO",('Activity data'!AZ11*EF!$H10)*kgtoGg)</f>
        <v>142.05018131487387</v>
      </c>
      <c r="BA10" s="29">
        <f>IF(('Activity data'!BA11*EF!$H10)*kgtoGg=0,"NO",('Activity data'!BA11*EF!$H10)*kgtoGg)</f>
        <v>141.94892411854562</v>
      </c>
      <c r="BB10" s="29">
        <f>IF(('Activity data'!BB11*EF!$H10)*kgtoGg=0,"NO",('Activity data'!BB11*EF!$H10)*kgtoGg)</f>
        <v>141.83868533177431</v>
      </c>
      <c r="BC10" s="29">
        <f>IF(('Activity data'!BC11*EF!$H10)*kgtoGg=0,"NO",('Activity data'!BC11*EF!$H10)*kgtoGg)</f>
        <v>141.7508933674697</v>
      </c>
      <c r="BD10" s="29">
        <f>IF(('Activity data'!BD11*EF!$H10)*kgtoGg=0,"NO",('Activity data'!BD11*EF!$H10)*kgtoGg)</f>
        <v>141.67144031720733</v>
      </c>
      <c r="BE10" s="29">
        <f>IF(('Activity data'!BE11*EF!$H10)*kgtoGg=0,"NO",('Activity data'!BE11*EF!$H10)*kgtoGg)</f>
        <v>141.6146457703679</v>
      </c>
      <c r="BF10" s="29">
        <f>IF(('Activity data'!BF11*EF!$H10)*kgtoGg=0,"NO",('Activity data'!BF11*EF!$H10)*kgtoGg)</f>
        <v>141.5931891545423</v>
      </c>
      <c r="BG10" s="29">
        <f>IF(('Activity data'!BG11*EF!$H10)*kgtoGg=0,"NO",('Activity data'!BG11*EF!$H10)*kgtoGg)</f>
        <v>141.5072997658076</v>
      </c>
      <c r="BH10" s="29">
        <f>IF(('Activity data'!BH11*EF!$H10)*kgtoGg=0,"NO",('Activity data'!BH11*EF!$H10)*kgtoGg)</f>
        <v>141.44853818079284</v>
      </c>
      <c r="BI10" s="29">
        <f>IF(('Activity data'!BI11*EF!$H10)*kgtoGg=0,"NO",('Activity data'!BI11*EF!$H10)*kgtoGg)</f>
        <v>141.41535794501797</v>
      </c>
      <c r="BJ10" s="29">
        <f>IF(('Activity data'!BJ11*EF!$H10)*kgtoGg=0,"NO",('Activity data'!BJ11*EF!$H10)*kgtoGg)</f>
        <v>141.41157618752959</v>
      </c>
      <c r="BK10" s="29">
        <f>IF(('Activity data'!BK11*EF!$H10)*kgtoGg=0,"NO",('Activity data'!BK11*EF!$H10)*kgtoGg)</f>
        <v>141.45232678222803</v>
      </c>
      <c r="BL10" s="29">
        <f>IF(('Activity data'!BL11*EF!$H10)*kgtoGg=0,"NO",('Activity data'!BL11*EF!$H10)*kgtoGg)</f>
        <v>141.55637904662152</v>
      </c>
      <c r="BM10" s="29">
        <f>IF(('Activity data'!BM11*EF!$H10)*kgtoGg=0,"NO",('Activity data'!BM11*EF!$H10)*kgtoGg)</f>
        <v>141.69882835396839</v>
      </c>
      <c r="BN10" s="29">
        <f>IF(('Activity data'!BN11*EF!$H10)*kgtoGg=0,"NO",('Activity data'!BN11*EF!$H10)*kgtoGg)</f>
        <v>141.85090628977269</v>
      </c>
      <c r="BO10" s="29">
        <f>IF(('Activity data'!BO11*EF!$H10)*kgtoGg=0,"NO",('Activity data'!BO11*EF!$H10)*kgtoGg)</f>
        <v>142.04486127435661</v>
      </c>
      <c r="BP10" s="29">
        <f>IF(('Activity data'!BP11*EF!$H10)*kgtoGg=0,"NO",('Activity data'!BP11*EF!$H10)*kgtoGg)</f>
        <v>142.28418787709194</v>
      </c>
    </row>
    <row r="11" spans="1:74" x14ac:dyDescent="0.25">
      <c r="A11" t="str">
        <f t="shared" si="1"/>
        <v>3A Livestock</v>
      </c>
      <c r="B11" t="str">
        <f t="shared" si="2"/>
        <v>3A1 Enteric fermentation (CH4)</v>
      </c>
      <c r="C11" t="str">
        <f>EF!C11</f>
        <v>3A1c Sheep</v>
      </c>
      <c r="D11" t="str">
        <f>EF!D11</f>
        <v>Subsistence</v>
      </c>
      <c r="E11" t="str">
        <f t="shared" si="3"/>
        <v>Enteric fermentation Emissions</v>
      </c>
      <c r="F11" t="str">
        <f t="shared" si="4"/>
        <v>CH4</v>
      </c>
      <c r="G11" t="str">
        <f t="shared" si="5"/>
        <v>Gg CH4</v>
      </c>
      <c r="H11" s="29">
        <f>IF(('Activity data'!H12*EF!$H11)*kgtoGg=0,"NO",('Activity data'!H12*EF!$H11)*kgtoGg)</f>
        <v>21.154764000453479</v>
      </c>
      <c r="I11" s="29">
        <f>IF(('Activity data'!I12*EF!$H11)*kgtoGg=0,"NO",('Activity data'!I12*EF!$H11)*kgtoGg)</f>
        <v>20.20354408409165</v>
      </c>
      <c r="J11" s="29">
        <f>IF(('Activity data'!J12*EF!$H11)*kgtoGg=0,"NO",('Activity data'!J12*EF!$H11)*kgtoGg)</f>
        <v>19.368756872625738</v>
      </c>
      <c r="K11" s="29">
        <f>IF(('Activity data'!K12*EF!$H11)*kgtoGg=0,"NO",('Activity data'!K12*EF!$H11)*kgtoGg)</f>
        <v>18.114106270777572</v>
      </c>
      <c r="L11" s="29">
        <f>IF(('Activity data'!L12*EF!$H11)*kgtoGg=0,"NO",('Activity data'!L12*EF!$H11)*kgtoGg)</f>
        <v>18.241829419784612</v>
      </c>
      <c r="M11" s="29">
        <f>IF(('Activity data'!M12*EF!$H11)*kgtoGg=0,"NO",('Activity data'!M12*EF!$H11)*kgtoGg)</f>
        <v>17.98073789971497</v>
      </c>
      <c r="N11" s="29">
        <f>IF(('Activity data'!N12*EF!$H11)*kgtoGg=0,"NO",('Activity data'!N12*EF!$H11)*kgtoGg)</f>
        <v>18.040718384055292</v>
      </c>
      <c r="O11" s="29">
        <f>IF(('Activity data'!O12*EF!$H11)*kgtoGg=0,"NO",('Activity data'!O12*EF!$H11)*kgtoGg)</f>
        <v>17.648375451193886</v>
      </c>
      <c r="P11" s="29">
        <f>IF(('Activity data'!P12*EF!$H11)*kgtoGg=0,"NO",('Activity data'!P12*EF!$H11)*kgtoGg)</f>
        <v>17.697065491423142</v>
      </c>
      <c r="Q11" s="29">
        <f>IF(('Activity data'!Q12*EF!$H11)*kgtoGg=0,"NO",('Activity data'!Q12*EF!$H11)*kgtoGg)</f>
        <v>17.26238339314504</v>
      </c>
      <c r="R11" s="29">
        <f>IF(('Activity data'!R12*EF!$H11)*kgtoGg=0,"NO",('Activity data'!R12*EF!$H11)*kgtoGg)</f>
        <v>16.643525925304292</v>
      </c>
      <c r="S11" s="29">
        <f>IF(('Activity data'!S12*EF!$H11)*kgtoGg=0,"NO",('Activity data'!S12*EF!$H11)*kgtoGg)</f>
        <v>16.228602104220641</v>
      </c>
      <c r="T11" s="29">
        <f>IF(('Activity data'!T12*EF!$H11)*kgtoGg=0,"NO",('Activity data'!T12*EF!$H11)*kgtoGg)</f>
        <v>15.957631445553769</v>
      </c>
      <c r="U11" s="29">
        <f>IF(('Activity data'!U12*EF!$H11)*kgtoGg=0,"NO",('Activity data'!U12*EF!$H11)*kgtoGg)</f>
        <v>16.013378013352426</v>
      </c>
      <c r="V11" s="29">
        <f>IF(('Activity data'!V12*EF!$H11)*kgtoGg=0,"NO",('Activity data'!V12*EF!$H11)*kgtoGg)</f>
        <v>15.728294299546651</v>
      </c>
      <c r="W11" s="29">
        <f>IF(('Activity data'!W12*EF!$H11)*kgtoGg=0,"NO",('Activity data'!W12*EF!$H11)*kgtoGg)</f>
        <v>15.690894703428569</v>
      </c>
      <c r="X11" s="29">
        <f>IF(('Activity data'!X12*EF!$H11)*kgtoGg=0,"NO",('Activity data'!X12*EF!$H11)*kgtoGg)</f>
        <v>15.485549751157579</v>
      </c>
      <c r="Y11" s="29">
        <f>IF(('Activity data'!Y12*EF!$H11)*kgtoGg=0,"NO",('Activity data'!Y12*EF!$H11)*kgtoGg)</f>
        <v>15.470731043261734</v>
      </c>
      <c r="Z11" s="29">
        <f>IF(('Activity data'!Z12*EF!$H11)*kgtoGg=0,"NO",('Activity data'!Z12*EF!$H11)*kgtoGg)</f>
        <v>15.520832389004827</v>
      </c>
      <c r="AA11" s="29">
        <f>IF(('Activity data'!AA12*EF!$H11)*kgtoGg=0,"NO",('Activity data'!AA12*EF!$H11)*kgtoGg)</f>
        <v>15.465791473963119</v>
      </c>
      <c r="AB11" s="29">
        <f>IF(('Activity data'!AB12*EF!$H11)*kgtoGg=0,"NO",('Activity data'!AB12*EF!$H11)*kgtoGg)</f>
        <v>15.166594705018449</v>
      </c>
      <c r="AC11" s="29">
        <f>IF(('Activity data'!AC12*EF!$H11)*kgtoGg=0,"NO",('Activity data'!AC12*EF!$H11)*kgtoGg)</f>
        <v>15.048045041851694</v>
      </c>
      <c r="AD11" s="29">
        <f>IF(('Activity data'!AD12*EF!$H11)*kgtoGg=0,"NO",('Activity data'!AD12*EF!$H11)*kgtoGg)</f>
        <v>15.120021623060081</v>
      </c>
      <c r="AE11" s="29">
        <f>IF(('Activity data'!AE12*EF!$H11)*kgtoGg=0,"NO",('Activity data'!AE12*EF!$H11)*kgtoGg)</f>
        <v>15.234337369685166</v>
      </c>
      <c r="AF11" s="29">
        <f>IF(('Activity data'!AF12*EF!$H11)*kgtoGg=0,"NO",('Activity data'!AF12*EF!$H11)*kgtoGg)</f>
        <v>14.961249752747461</v>
      </c>
      <c r="AG11" s="29">
        <f>IF(('Activity data'!AG12*EF!$H11)*kgtoGg=0,"NO",('Activity data'!AG12*EF!$H11)*kgtoGg)</f>
        <v>14.841994436823759</v>
      </c>
      <c r="AH11" s="29">
        <f>IF(('Activity data'!AH12*EF!$H11)*kgtoGg=0,"NO",('Activity data'!AH12*EF!$H11)*kgtoGg)</f>
        <v>14.422131046441494</v>
      </c>
      <c r="AI11" s="29">
        <f>IF(('Activity data'!AI12*EF!$H11)*kgtoGg=0,"NO",('Activity data'!AI12*EF!$H11)*kgtoGg)</f>
        <v>14.072127278996787</v>
      </c>
      <c r="AJ11" s="29">
        <f>IF(('Activity data'!AJ12*EF!$H11)*kgtoGg=0,"NO",('Activity data'!AJ12*EF!$H11)*kgtoGg)</f>
        <v>15.012535989734461</v>
      </c>
      <c r="AK11" s="29">
        <f>IF(('Activity data'!AK12*EF!$H11)*kgtoGg=0,"NO",('Activity data'!AK12*EF!$H11)*kgtoGg)</f>
        <v>14.965610207353786</v>
      </c>
      <c r="AL11" s="29">
        <f>IF(('Activity data'!AL12*EF!$H11)*kgtoGg=0,"NO",('Activity data'!AL12*EF!$H11)*kgtoGg)</f>
        <v>14.809761066259819</v>
      </c>
      <c r="AM11" s="29">
        <f>IF(('Activity data'!AM12*EF!$H11)*kgtoGg=0,"NO",('Activity data'!AM12*EF!$H11)*kgtoGg)</f>
        <v>14.778279825597483</v>
      </c>
      <c r="AN11" s="29">
        <f>IF(('Activity data'!AN12*EF!$H11)*kgtoGg=0,"NO",('Activity data'!AN12*EF!$H11)*kgtoGg)</f>
        <v>14.745691353135749</v>
      </c>
      <c r="AO11" s="29">
        <f>IF(('Activity data'!AO12*EF!$H11)*kgtoGg=0,"NO",('Activity data'!AO12*EF!$H11)*kgtoGg)</f>
        <v>14.71335142416245</v>
      </c>
      <c r="AP11" s="29">
        <f>IF(('Activity data'!AP12*EF!$H11)*kgtoGg=0,"NO",('Activity data'!AP12*EF!$H11)*kgtoGg)</f>
        <v>14.680058322025385</v>
      </c>
      <c r="AQ11" s="29">
        <f>IF(('Activity data'!AQ12*EF!$H11)*kgtoGg=0,"NO",('Activity data'!AQ12*EF!$H11)*kgtoGg)</f>
        <v>14.647870801501124</v>
      </c>
      <c r="AR11" s="29">
        <f>IF(('Activity data'!AR12*EF!$H11)*kgtoGg=0,"NO",('Activity data'!AR12*EF!$H11)*kgtoGg)</f>
        <v>14.615804529843436</v>
      </c>
      <c r="AS11" s="29">
        <f>IF(('Activity data'!AS12*EF!$H11)*kgtoGg=0,"NO",('Activity data'!AS12*EF!$H11)*kgtoGg)</f>
        <v>14.583445117346818</v>
      </c>
      <c r="AT11" s="29">
        <f>IF(('Activity data'!AT12*EF!$H11)*kgtoGg=0,"NO",('Activity data'!AT12*EF!$H11)*kgtoGg)</f>
        <v>14.552582212527929</v>
      </c>
      <c r="AU11" s="29">
        <f>IF(('Activity data'!AU12*EF!$H11)*kgtoGg=0,"NO",('Activity data'!AU12*EF!$H11)*kgtoGg)</f>
        <v>14.522830517973468</v>
      </c>
      <c r="AV11" s="29">
        <f>IF(('Activity data'!AV12*EF!$H11)*kgtoGg=0,"NO",('Activity data'!AV12*EF!$H11)*kgtoGg)</f>
        <v>14.49429145669021</v>
      </c>
      <c r="AW11" s="29">
        <f>IF(('Activity data'!AW12*EF!$H11)*kgtoGg=0,"NO",('Activity data'!AW12*EF!$H11)*kgtoGg)</f>
        <v>14.475049961791624</v>
      </c>
      <c r="AX11" s="29">
        <f>IF(('Activity data'!AX12*EF!$H11)*kgtoGg=0,"NO",('Activity data'!AX12*EF!$H11)*kgtoGg)</f>
        <v>14.453814873330661</v>
      </c>
      <c r="AY11" s="29">
        <f>IF(('Activity data'!AY12*EF!$H11)*kgtoGg=0,"NO",('Activity data'!AY12*EF!$H11)*kgtoGg)</f>
        <v>14.437076330681798</v>
      </c>
      <c r="AZ11" s="29">
        <f>IF(('Activity data'!AZ12*EF!$H11)*kgtoGg=0,"NO",('Activity data'!AZ12*EF!$H11)*kgtoGg)</f>
        <v>14.423481267647929</v>
      </c>
      <c r="BA11" s="29">
        <f>IF(('Activity data'!BA12*EF!$H11)*kgtoGg=0,"NO",('Activity data'!BA12*EF!$H11)*kgtoGg)</f>
        <v>14.413199821605863</v>
      </c>
      <c r="BB11" s="29">
        <f>IF(('Activity data'!BB12*EF!$H11)*kgtoGg=0,"NO",('Activity data'!BB12*EF!$H11)*kgtoGg)</f>
        <v>14.402006403468368</v>
      </c>
      <c r="BC11" s="29">
        <f>IF(('Activity data'!BC12*EF!$H11)*kgtoGg=0,"NO",('Activity data'!BC12*EF!$H11)*kgtoGg)</f>
        <v>14.393092189203543</v>
      </c>
      <c r="BD11" s="29">
        <f>IF(('Activity data'!BD12*EF!$H11)*kgtoGg=0,"NO",('Activity data'!BD12*EF!$H11)*kgtoGg)</f>
        <v>14.385024691003199</v>
      </c>
      <c r="BE11" s="29">
        <f>IF(('Activity data'!BE12*EF!$H11)*kgtoGg=0,"NO",('Activity data'!BE12*EF!$H11)*kgtoGg)</f>
        <v>14.37925789032149</v>
      </c>
      <c r="BF11" s="29">
        <f>IF(('Activity data'!BF12*EF!$H11)*kgtoGg=0,"NO",('Activity data'!BF12*EF!$H11)*kgtoGg)</f>
        <v>14.377079229980737</v>
      </c>
      <c r="BG11" s="29">
        <f>IF(('Activity data'!BG12*EF!$H11)*kgtoGg=0,"NO",('Activity data'!BG12*EF!$H11)*kgtoGg)</f>
        <v>14.368358199299625</v>
      </c>
      <c r="BH11" s="29">
        <f>IF(('Activity data'!BH12*EF!$H11)*kgtoGg=0,"NO",('Activity data'!BH12*EF!$H11)*kgtoGg)</f>
        <v>14.362391669634736</v>
      </c>
      <c r="BI11" s="29">
        <f>IF(('Activity data'!BI12*EF!$H11)*kgtoGg=0,"NO",('Activity data'!BI12*EF!$H11)*kgtoGg)</f>
        <v>14.359022617200417</v>
      </c>
      <c r="BJ11" s="29">
        <f>IF(('Activity data'!BJ12*EF!$H11)*kgtoGg=0,"NO",('Activity data'!BJ12*EF!$H11)*kgtoGg)</f>
        <v>14.358638625375923</v>
      </c>
      <c r="BK11" s="29">
        <f>IF(('Activity data'!BK12*EF!$H11)*kgtoGg=0,"NO",('Activity data'!BK12*EF!$H11)*kgtoGg)</f>
        <v>14.362776356379417</v>
      </c>
      <c r="BL11" s="29">
        <f>IF(('Activity data'!BL12*EF!$H11)*kgtoGg=0,"NO",('Activity data'!BL12*EF!$H11)*kgtoGg)</f>
        <v>14.37334160784509</v>
      </c>
      <c r="BM11" s="29">
        <f>IF(('Activity data'!BM12*EF!$H11)*kgtoGg=0,"NO",('Activity data'!BM12*EF!$H11)*kgtoGg)</f>
        <v>14.387805615543559</v>
      </c>
      <c r="BN11" s="29">
        <f>IF(('Activity data'!BN12*EF!$H11)*kgtoGg=0,"NO",('Activity data'!BN12*EF!$H11)*kgtoGg)</f>
        <v>14.403247294237604</v>
      </c>
      <c r="BO11" s="29">
        <f>IF(('Activity data'!BO12*EF!$H11)*kgtoGg=0,"NO",('Activity data'!BO12*EF!$H11)*kgtoGg)</f>
        <v>14.422941081750006</v>
      </c>
      <c r="BP11" s="29">
        <f>IF(('Activity data'!BP12*EF!$H11)*kgtoGg=0,"NO",('Activity data'!BP12*EF!$H11)*kgtoGg)</f>
        <v>14.44724180941857</v>
      </c>
    </row>
    <row r="12" spans="1:74" x14ac:dyDescent="0.25">
      <c r="A12" t="str">
        <f t="shared" si="1"/>
        <v>3A Livestock</v>
      </c>
      <c r="B12" t="str">
        <f t="shared" si="2"/>
        <v>3A1 Enteric fermentation (CH4)</v>
      </c>
      <c r="C12" t="str">
        <f>EF!C12</f>
        <v>3A1d Goats</v>
      </c>
      <c r="D12" t="str">
        <f>EF!D12</f>
        <v>Commercial</v>
      </c>
      <c r="E12" t="str">
        <f t="shared" si="3"/>
        <v>Enteric fermentation Emissions</v>
      </c>
      <c r="F12" t="str">
        <f t="shared" si="4"/>
        <v>CH4</v>
      </c>
      <c r="G12" t="str">
        <f t="shared" si="5"/>
        <v>Gg CH4</v>
      </c>
      <c r="H12" s="29">
        <f>IF(('Activity data'!H13*EF!$H12)*kgtoGg=0,"NO",('Activity data'!H13*EF!$H12)*kgtoGg)</f>
        <v>20.285563221215835</v>
      </c>
      <c r="I12" s="29">
        <f>IF(('Activity data'!I13*EF!$H12)*kgtoGg=0,"NO",('Activity data'!I13*EF!$H12)*kgtoGg)</f>
        <v>17.938171082062887</v>
      </c>
      <c r="J12" s="29">
        <f>IF(('Activity data'!J13*EF!$H12)*kgtoGg=0,"NO",('Activity data'!J13*EF!$H12)*kgtoGg)</f>
        <v>16.709629401758534</v>
      </c>
      <c r="K12" s="29">
        <f>IF(('Activity data'!K13*EF!$H12)*kgtoGg=0,"NO",('Activity data'!K13*EF!$H12)*kgtoGg)</f>
        <v>15.788223141530271</v>
      </c>
      <c r="L12" s="29">
        <f>IF(('Activity data'!L13*EF!$H12)*kgtoGg=0,"NO",('Activity data'!L13*EF!$H12)*kgtoGg)</f>
        <v>17.089892302805115</v>
      </c>
      <c r="M12" s="29">
        <f>IF(('Activity data'!M13*EF!$H12)*kgtoGg=0,"NO",('Activity data'!M13*EF!$H12)*kgtoGg)</f>
        <v>17.32390024191071</v>
      </c>
      <c r="N12" s="29">
        <f>IF(('Activity data'!N13*EF!$H12)*kgtoGg=0,"NO",('Activity data'!N13*EF!$H12)*kgtoGg)</f>
        <v>17.594471921501544</v>
      </c>
      <c r="O12" s="29">
        <f>IF(('Activity data'!O13*EF!$H12)*kgtoGg=0,"NO",('Activity data'!O13*EF!$H12)*kgtoGg)</f>
        <v>17.506718944336949</v>
      </c>
      <c r="P12" s="29">
        <f>IF(('Activity data'!P13*EF!$H12)*kgtoGg=0,"NO",('Activity data'!P13*EF!$H12)*kgtoGg)</f>
        <v>17.258085509037262</v>
      </c>
      <c r="Q12" s="29">
        <f>IF(('Activity data'!Q13*EF!$H12)*kgtoGg=0,"NO",('Activity data'!Q13*EF!$H12)*kgtoGg)</f>
        <v>17.002139325640524</v>
      </c>
      <c r="R12" s="29">
        <f>IF(('Activity data'!R13*EF!$H12)*kgtoGg=0,"NO",('Activity data'!R13*EF!$H12)*kgtoGg)</f>
        <v>17.221521768552012</v>
      </c>
      <c r="S12" s="29">
        <f>IF(('Activity data'!S13*EF!$H12)*kgtoGg=0,"NO",('Activity data'!S13*EF!$H12)*kgtoGg)</f>
        <v>17.748039631539594</v>
      </c>
      <c r="T12" s="29">
        <f>IF(('Activity data'!T13*EF!$H12)*kgtoGg=0,"NO",('Activity data'!T13*EF!$H12)*kgtoGg)</f>
        <v>16.205049783062112</v>
      </c>
      <c r="U12" s="29">
        <f>IF(('Activity data'!U13*EF!$H12)*kgtoGg=0,"NO",('Activity data'!U13*EF!$H12)*kgtoGg)</f>
        <v>15.795535889627324</v>
      </c>
      <c r="V12" s="29">
        <f>IF(('Activity data'!V13*EF!$H12)*kgtoGg=0,"NO",('Activity data'!V13*EF!$H12)*kgtoGg)</f>
        <v>15.824786882015525</v>
      </c>
      <c r="W12" s="29">
        <f>IF(('Activity data'!W13*EF!$H12)*kgtoGg=0,"NO",('Activity data'!W13*EF!$H12)*kgtoGg)</f>
        <v>15.620029935298131</v>
      </c>
      <c r="X12" s="29">
        <f>IF(('Activity data'!X13*EF!$H12)*kgtoGg=0,"NO",('Activity data'!X13*EF!$H12)*kgtoGg)</f>
        <v>15.949103599665367</v>
      </c>
      <c r="Y12" s="29">
        <f>IF(('Activity data'!Y13*EF!$H12)*kgtoGg=0,"NO",('Activity data'!Y13*EF!$H12)*kgtoGg)</f>
        <v>15.473774973357138</v>
      </c>
      <c r="Z12" s="29">
        <f>IF(('Activity data'!Z13*EF!$H12)*kgtoGg=0,"NO",('Activity data'!Z13*EF!$H12)*kgtoGg)</f>
        <v>15.459149477163042</v>
      </c>
      <c r="AA12" s="29">
        <f>IF(('Activity data'!AA13*EF!$H12)*kgtoGg=0,"NO",('Activity data'!AA13*EF!$H12)*kgtoGg)</f>
        <v>15.188577797572201</v>
      </c>
      <c r="AB12" s="29">
        <f>IF(('Activity data'!AB13*EF!$H12)*kgtoGg=0,"NO",('Activity data'!AB13*EF!$H12)*kgtoGg)</f>
        <v>15.005759095145958</v>
      </c>
      <c r="AC12" s="29">
        <f>IF(('Activity data'!AC13*EF!$H12)*kgtoGg=0,"NO",('Activity data'!AC13*EF!$H12)*kgtoGg)</f>
        <v>14.866816881302015</v>
      </c>
      <c r="AD12" s="29">
        <f>IF(('Activity data'!AD13*EF!$H12)*kgtoGg=0,"NO",('Activity data'!AD13*EF!$H12)*kgtoGg)</f>
        <v>14.830253140816769</v>
      </c>
      <c r="AE12" s="29">
        <f>IF(('Activity data'!AE13*EF!$H12)*kgtoGg=0,"NO",('Activity data'!AE13*EF!$H12)*kgtoGg)</f>
        <v>14.662059934584622</v>
      </c>
      <c r="AF12" s="29">
        <f>IF(('Activity data'!AF13*EF!$H12)*kgtoGg=0,"NO",('Activity data'!AF13*EF!$H12)*kgtoGg)</f>
        <v>14.53043046883773</v>
      </c>
      <c r="AG12" s="29">
        <f>IF(('Activity data'!AG13*EF!$H12)*kgtoGg=0,"NO",('Activity data'!AG13*EF!$H12)*kgtoGg)</f>
        <v>14.332986270217388</v>
      </c>
      <c r="AH12" s="29">
        <f>IF(('Activity data'!AH13*EF!$H12)*kgtoGg=0,"NO",('Activity data'!AH13*EF!$H12)*kgtoGg)</f>
        <v>13.901534132491454</v>
      </c>
      <c r="AI12" s="29">
        <f>IF(('Activity data'!AI13*EF!$H12)*kgtoGg=0,"NO",('Activity data'!AI13*EF!$H12)*kgtoGg)</f>
        <v>13.477394742862574</v>
      </c>
      <c r="AJ12" s="29">
        <f>IF(('Activity data'!AJ13*EF!$H12)*kgtoGg=0,"NO",('Activity data'!AJ13*EF!$H12)*kgtoGg)</f>
        <v>15.398963552661579</v>
      </c>
      <c r="AK12" s="29">
        <f>IF(('Activity data'!AK13*EF!$H12)*kgtoGg=0,"NO",('Activity data'!AK13*EF!$H12)*kgtoGg)</f>
        <v>15.354570168209355</v>
      </c>
      <c r="AL12" s="29">
        <f>IF(('Activity data'!AL13*EF!$H12)*kgtoGg=0,"NO",('Activity data'!AL13*EF!$H12)*kgtoGg)</f>
        <v>15.311684073499439</v>
      </c>
      <c r="AM12" s="29">
        <f>IF(('Activity data'!AM13*EF!$H12)*kgtoGg=0,"NO",('Activity data'!AM13*EF!$H12)*kgtoGg)</f>
        <v>15.266464029041041</v>
      </c>
      <c r="AN12" s="29">
        <f>IF(('Activity data'!AN13*EF!$H12)*kgtoGg=0,"NO",('Activity data'!AN13*EF!$H12)*kgtoGg)</f>
        <v>15.221259307383431</v>
      </c>
      <c r="AO12" s="29">
        <f>IF(('Activity data'!AO13*EF!$H12)*kgtoGg=0,"NO",('Activity data'!AO13*EF!$H12)*kgtoGg)</f>
        <v>15.176051146362081</v>
      </c>
      <c r="AP12" s="29">
        <f>IF(('Activity data'!AP13*EF!$H12)*kgtoGg=0,"NO",('Activity data'!AP13*EF!$H12)*kgtoGg)</f>
        <v>15.130856175423638</v>
      </c>
      <c r="AQ12" s="29">
        <f>IF(('Activity data'!AQ13*EF!$H12)*kgtoGg=0,"NO",('Activity data'!AQ13*EF!$H12)*kgtoGg)</f>
        <v>15.085645904519819</v>
      </c>
      <c r="AR12" s="29">
        <f>IF(('Activity data'!AR13*EF!$H12)*kgtoGg=0,"NO",('Activity data'!AR13*EF!$H12)*kgtoGg)</f>
        <v>15.036626604622597</v>
      </c>
      <c r="AS12" s="29">
        <f>IF(('Activity data'!AS13*EF!$H12)*kgtoGg=0,"NO",('Activity data'!AS13*EF!$H12)*kgtoGg)</f>
        <v>14.987611361230657</v>
      </c>
      <c r="AT12" s="29">
        <f>IF(('Activity data'!AT13*EF!$H12)*kgtoGg=0,"NO",('Activity data'!AT13*EF!$H12)*kgtoGg)</f>
        <v>14.938575409051376</v>
      </c>
      <c r="AU12" s="29">
        <f>IF(('Activity data'!AU13*EF!$H12)*kgtoGg=0,"NO",('Activity data'!AU13*EF!$H12)*kgtoGg)</f>
        <v>14.889524079859736</v>
      </c>
      <c r="AV12" s="29">
        <f>IF(('Activity data'!AV13*EF!$H12)*kgtoGg=0,"NO",('Activity data'!AV13*EF!$H12)*kgtoGg)</f>
        <v>14.840455970156436</v>
      </c>
      <c r="AW12" s="29">
        <f>IF(('Activity data'!AW13*EF!$H12)*kgtoGg=0,"NO",('Activity data'!AW13*EF!$H12)*kgtoGg)</f>
        <v>14.792938476803563</v>
      </c>
      <c r="AX12" s="29">
        <f>IF(('Activity data'!AX13*EF!$H12)*kgtoGg=0,"NO",('Activity data'!AX13*EF!$H12)*kgtoGg)</f>
        <v>14.745448571793132</v>
      </c>
      <c r="AY12" s="29">
        <f>IF(('Activity data'!AY13*EF!$H12)*kgtoGg=0,"NO",('Activity data'!AY13*EF!$H12)*kgtoGg)</f>
        <v>14.697896442396198</v>
      </c>
      <c r="AZ12" s="29">
        <f>IF(('Activity data'!AZ13*EF!$H12)*kgtoGg=0,"NO",('Activity data'!AZ13*EF!$H12)*kgtoGg)</f>
        <v>14.650300814131421</v>
      </c>
      <c r="BA12" s="29">
        <f>IF(('Activity data'!BA13*EF!$H12)*kgtoGg=0,"NO",('Activity data'!BA13*EF!$H12)*kgtoGg)</f>
        <v>14.602659331782078</v>
      </c>
      <c r="BB12" s="29">
        <f>IF(('Activity data'!BB13*EF!$H12)*kgtoGg=0,"NO",('Activity data'!BB13*EF!$H12)*kgtoGg)</f>
        <v>14.553151865488546</v>
      </c>
      <c r="BC12" s="29">
        <f>IF(('Activity data'!BC13*EF!$H12)*kgtoGg=0,"NO",('Activity data'!BC13*EF!$H12)*kgtoGg)</f>
        <v>14.503612859398055</v>
      </c>
      <c r="BD12" s="29">
        <f>IF(('Activity data'!BD13*EF!$H12)*kgtoGg=0,"NO",('Activity data'!BD13*EF!$H12)*kgtoGg)</f>
        <v>14.454062137228842</v>
      </c>
      <c r="BE12" s="29">
        <f>IF(('Activity data'!BE13*EF!$H12)*kgtoGg=0,"NO",('Activity data'!BE13*EF!$H12)*kgtoGg)</f>
        <v>14.404479576989225</v>
      </c>
      <c r="BF12" s="29">
        <f>IF(('Activity data'!BF13*EF!$H12)*kgtoGg=0,"NO",('Activity data'!BF13*EF!$H12)*kgtoGg)</f>
        <v>14.354847363790009</v>
      </c>
      <c r="BG12" s="29">
        <f>IF(('Activity data'!BG13*EF!$H12)*kgtoGg=0,"NO",('Activity data'!BG13*EF!$H12)*kgtoGg)</f>
        <v>14.298277052258694</v>
      </c>
      <c r="BH12" s="29">
        <f>IF(('Activity data'!BH13*EF!$H12)*kgtoGg=0,"NO",('Activity data'!BH13*EF!$H12)*kgtoGg)</f>
        <v>14.241668624575047</v>
      </c>
      <c r="BI12" s="29">
        <f>IF(('Activity data'!BI13*EF!$H12)*kgtoGg=0,"NO",('Activity data'!BI13*EF!$H12)*kgtoGg)</f>
        <v>14.185024251960712</v>
      </c>
      <c r="BJ12" s="29">
        <f>IF(('Activity data'!BJ13*EF!$H12)*kgtoGg=0,"NO",('Activity data'!BJ13*EF!$H12)*kgtoGg)</f>
        <v>14.128338571850076</v>
      </c>
      <c r="BK12" s="29">
        <f>IF(('Activity data'!BK13*EF!$H12)*kgtoGg=0,"NO",('Activity data'!BK13*EF!$H12)*kgtoGg)</f>
        <v>14.071590319794208</v>
      </c>
      <c r="BL12" s="29">
        <f>IF(('Activity data'!BL13*EF!$H12)*kgtoGg=0,"NO",('Activity data'!BL13*EF!$H12)*kgtoGg)</f>
        <v>14.01675398386789</v>
      </c>
      <c r="BM12" s="29">
        <f>IF(('Activity data'!BM13*EF!$H12)*kgtoGg=0,"NO",('Activity data'!BM13*EF!$H12)*kgtoGg)</f>
        <v>13.961863696655584</v>
      </c>
      <c r="BN12" s="29">
        <f>IF(('Activity data'!BN13*EF!$H12)*kgtoGg=0,"NO",('Activity data'!BN13*EF!$H12)*kgtoGg)</f>
        <v>13.906959879514767</v>
      </c>
      <c r="BO12" s="29">
        <f>IF(('Activity data'!BO13*EF!$H12)*kgtoGg=0,"NO",('Activity data'!BO13*EF!$H12)*kgtoGg)</f>
        <v>13.851997222210674</v>
      </c>
      <c r="BP12" s="29">
        <f>IF(('Activity data'!BP13*EF!$H12)*kgtoGg=0,"NO",('Activity data'!BP13*EF!$H12)*kgtoGg)</f>
        <v>13.796970813717456</v>
      </c>
    </row>
    <row r="13" spans="1:74" x14ac:dyDescent="0.25">
      <c r="A13" t="str">
        <f t="shared" si="1"/>
        <v>3A Livestock</v>
      </c>
      <c r="B13" t="str">
        <f t="shared" si="2"/>
        <v>3A1 Enteric fermentation (CH4)</v>
      </c>
      <c r="C13" t="str">
        <f>EF!C13</f>
        <v>3A1d Goats</v>
      </c>
      <c r="D13" t="str">
        <f>EF!D13</f>
        <v>Subsistence</v>
      </c>
      <c r="E13" t="str">
        <f t="shared" si="3"/>
        <v>Enteric fermentation Emissions</v>
      </c>
      <c r="F13" t="str">
        <f t="shared" si="4"/>
        <v>CH4</v>
      </c>
      <c r="G13" t="str">
        <f t="shared" si="5"/>
        <v>Gg CH4</v>
      </c>
      <c r="H13" s="29">
        <f>IF(('Activity data'!H14*EF!$H13)*kgtoGg=0,"NO",('Activity data'!H14*EF!$H13)*kgtoGg)</f>
        <v>30.547177763222784</v>
      </c>
      <c r="I13" s="29">
        <f>IF(('Activity data'!I14*EF!$H13)*kgtoGg=0,"NO",('Activity data'!I14*EF!$H13)*kgtoGg)</f>
        <v>27.012338519533348</v>
      </c>
      <c r="J13" s="29">
        <f>IF(('Activity data'!J14*EF!$H13)*kgtoGg=0,"NO",('Activity data'!J14*EF!$H13)*kgtoGg)</f>
        <v>25.162329195733268</v>
      </c>
      <c r="K13" s="29">
        <f>IF(('Activity data'!K14*EF!$H13)*kgtoGg=0,"NO",('Activity data'!K14*EF!$H13)*kgtoGg)</f>
        <v>23.774822202883204</v>
      </c>
      <c r="L13" s="29">
        <f>IF(('Activity data'!L14*EF!$H13)*kgtoGg=0,"NO",('Activity data'!L14*EF!$H13)*kgtoGg)</f>
        <v>25.734951129290433</v>
      </c>
      <c r="M13" s="29">
        <f>IF(('Activity data'!M14*EF!$H13)*kgtoGg=0,"NO",('Activity data'!M14*EF!$H13)*kgtoGg)</f>
        <v>26.087333857633308</v>
      </c>
      <c r="N13" s="29">
        <f>IF(('Activity data'!N14*EF!$H13)*kgtoGg=0,"NO",('Activity data'!N14*EF!$H13)*kgtoGg)</f>
        <v>26.494776387279753</v>
      </c>
      <c r="O13" s="29">
        <f>IF(('Activity data'!O14*EF!$H13)*kgtoGg=0,"NO",('Activity data'!O14*EF!$H13)*kgtoGg)</f>
        <v>26.362632864151173</v>
      </c>
      <c r="P13" s="29">
        <f>IF(('Activity data'!P14*EF!$H13)*kgtoGg=0,"NO",('Activity data'!P14*EF!$H13)*kgtoGg)</f>
        <v>25.988226215286872</v>
      </c>
      <c r="Q13" s="29">
        <f>IF(('Activity data'!Q14*EF!$H13)*kgtoGg=0,"NO",('Activity data'!Q14*EF!$H13)*kgtoGg)</f>
        <v>25.602807606161857</v>
      </c>
      <c r="R13" s="29">
        <f>IF(('Activity data'!R14*EF!$H13)*kgtoGg=0,"NO",('Activity data'!R14*EF!$H13)*kgtoGg)</f>
        <v>25.933166413983301</v>
      </c>
      <c r="S13" s="29">
        <f>IF(('Activity data'!S14*EF!$H13)*kgtoGg=0,"NO",('Activity data'!S14*EF!$H13)*kgtoGg)</f>
        <v>26.726027552754761</v>
      </c>
      <c r="T13" s="29">
        <f>IF(('Activity data'!T14*EF!$H13)*kgtoGg=0,"NO",('Activity data'!T14*EF!$H13)*kgtoGg)</f>
        <v>24.402503937743941</v>
      </c>
      <c r="U13" s="29">
        <f>IF(('Activity data'!U14*EF!$H13)*kgtoGg=0,"NO",('Activity data'!U14*EF!$H13)*kgtoGg)</f>
        <v>23.785834163143917</v>
      </c>
      <c r="V13" s="29">
        <f>IF(('Activity data'!V14*EF!$H13)*kgtoGg=0,"NO",('Activity data'!V14*EF!$H13)*kgtoGg)</f>
        <v>23.829882004186778</v>
      </c>
      <c r="W13" s="29">
        <f>IF(('Activity data'!W14*EF!$H13)*kgtoGg=0,"NO",('Activity data'!W14*EF!$H13)*kgtoGg)</f>
        <v>23.521547116886765</v>
      </c>
      <c r="X13" s="29">
        <f>IF(('Activity data'!X14*EF!$H13)*kgtoGg=0,"NO",('Activity data'!X14*EF!$H13)*kgtoGg)</f>
        <v>24.017085328618933</v>
      </c>
      <c r="Y13" s="29">
        <f>IF(('Activity data'!Y14*EF!$H13)*kgtoGg=0,"NO",('Activity data'!Y14*EF!$H13)*kgtoGg)</f>
        <v>23.301307911672467</v>
      </c>
      <c r="Z13" s="29">
        <f>IF(('Activity data'!Z14*EF!$H13)*kgtoGg=0,"NO",('Activity data'!Z14*EF!$H13)*kgtoGg)</f>
        <v>23.279283991151036</v>
      </c>
      <c r="AA13" s="29">
        <f>IF(('Activity data'!AA14*EF!$H13)*kgtoGg=0,"NO",('Activity data'!AA14*EF!$H13)*kgtoGg)</f>
        <v>22.871841461504591</v>
      </c>
      <c r="AB13" s="29">
        <f>IF(('Activity data'!AB14*EF!$H13)*kgtoGg=0,"NO",('Activity data'!AB14*EF!$H13)*kgtoGg)</f>
        <v>22.596542454986725</v>
      </c>
      <c r="AC13" s="29">
        <f>IF(('Activity data'!AC14*EF!$H13)*kgtoGg=0,"NO",('Activity data'!AC14*EF!$H13)*kgtoGg)</f>
        <v>22.38731521003314</v>
      </c>
      <c r="AD13" s="29">
        <f>IF(('Activity data'!AD14*EF!$H13)*kgtoGg=0,"NO",('Activity data'!AD14*EF!$H13)*kgtoGg)</f>
        <v>22.332255408729566</v>
      </c>
      <c r="AE13" s="29">
        <f>IF(('Activity data'!AE14*EF!$H13)*kgtoGg=0,"NO",('Activity data'!AE14*EF!$H13)*kgtoGg)</f>
        <v>22.07898032273313</v>
      </c>
      <c r="AF13" s="29">
        <f>IF(('Activity data'!AF14*EF!$H13)*kgtoGg=0,"NO",('Activity data'!AF14*EF!$H13)*kgtoGg)</f>
        <v>21.880765038040259</v>
      </c>
      <c r="AG13" s="29">
        <f>IF(('Activity data'!AG14*EF!$H13)*kgtoGg=0,"NO",('Activity data'!AG14*EF!$H13)*kgtoGg)</f>
        <v>21.583442111000963</v>
      </c>
      <c r="AH13" s="29">
        <f>IF(('Activity data'!AH14*EF!$H13)*kgtoGg=0,"NO",('Activity data'!AH14*EF!$H13)*kgtoGg)</f>
        <v>20.933736455618789</v>
      </c>
      <c r="AI13" s="29">
        <f>IF(('Activity data'!AI14*EF!$H13)*kgtoGg=0,"NO",('Activity data'!AI14*EF!$H13)*kgtoGg)</f>
        <v>20.295042760497335</v>
      </c>
      <c r="AJ13" s="29">
        <f>IF(('Activity data'!AJ14*EF!$H13)*kgtoGg=0,"NO",('Activity data'!AJ14*EF!$H13)*kgtoGg)</f>
        <v>20.656277912920821</v>
      </c>
      <c r="AK13" s="29">
        <f>IF(('Activity data'!AK14*EF!$H13)*kgtoGg=0,"NO",('Activity data'!AK14*EF!$H13)*kgtoGg)</f>
        <v>20.432672221188355</v>
      </c>
      <c r="AL13" s="29">
        <f>IF(('Activity data'!AL14*EF!$H13)*kgtoGg=0,"NO",('Activity data'!AL14*EF!$H13)*kgtoGg)</f>
        <v>20.209066529455882</v>
      </c>
      <c r="AM13" s="29">
        <f>IF(('Activity data'!AM14*EF!$H13)*kgtoGg=0,"NO",('Activity data'!AM14*EF!$H13)*kgtoGg)</f>
        <v>19.982418033516272</v>
      </c>
      <c r="AN13" s="29">
        <f>IF(('Activity data'!AN14*EF!$H13)*kgtoGg=0,"NO",('Activity data'!AN14*EF!$H13)*kgtoGg)</f>
        <v>19.755769541760227</v>
      </c>
      <c r="AO13" s="29">
        <f>IF(('Activity data'!AO14*EF!$H13)*kgtoGg=0,"NO",('Activity data'!AO14*EF!$H13)*kgtoGg)</f>
        <v>19.529121050004189</v>
      </c>
      <c r="AP13" s="29">
        <f>IF(('Activity data'!AP14*EF!$H13)*kgtoGg=0,"NO",('Activity data'!AP14*EF!$H13)*kgtoGg)</f>
        <v>19.302472558248152</v>
      </c>
      <c r="AQ13" s="29">
        <f>IF(('Activity data'!AQ14*EF!$H13)*kgtoGg=0,"NO",('Activity data'!AQ14*EF!$H13)*kgtoGg)</f>
        <v>19.075824062308541</v>
      </c>
      <c r="AR13" s="29">
        <f>IF(('Activity data'!AR14*EF!$H13)*kgtoGg=0,"NO",('Activity data'!AR14*EF!$H13)*kgtoGg)</f>
        <v>18.830274734549572</v>
      </c>
      <c r="AS13" s="29">
        <f>IF(('Activity data'!AS14*EF!$H13)*kgtoGg=0,"NO",('Activity data'!AS14*EF!$H13)*kgtoGg)</f>
        <v>18.584725406790611</v>
      </c>
      <c r="AT13" s="29">
        <f>IF(('Activity data'!AT14*EF!$H13)*kgtoGg=0,"NO",('Activity data'!AT14*EF!$H13)*kgtoGg)</f>
        <v>18.339176079031642</v>
      </c>
      <c r="AU13" s="29">
        <f>IF(('Activity data'!AU14*EF!$H13)*kgtoGg=0,"NO",('Activity data'!AU14*EF!$H13)*kgtoGg)</f>
        <v>18.093626751272677</v>
      </c>
      <c r="AV13" s="29">
        <f>IF(('Activity data'!AV14*EF!$H13)*kgtoGg=0,"NO",('Activity data'!AV14*EF!$H13)*kgtoGg)</f>
        <v>17.848077423513715</v>
      </c>
      <c r="AW13" s="29">
        <f>IF(('Activity data'!AW14*EF!$H13)*kgtoGg=0,"NO",('Activity data'!AW14*EF!$H13)*kgtoGg)</f>
        <v>17.610864528845728</v>
      </c>
      <c r="AX13" s="29">
        <f>IF(('Activity data'!AX14*EF!$H13)*kgtoGg=0,"NO",('Activity data'!AX14*EF!$H13)*kgtoGg)</f>
        <v>17.37365163836132</v>
      </c>
      <c r="AY13" s="29">
        <f>IF(('Activity data'!AY14*EF!$H13)*kgtoGg=0,"NO",('Activity data'!AY14*EF!$H13)*kgtoGg)</f>
        <v>17.136438743693333</v>
      </c>
      <c r="AZ13" s="29">
        <f>IF(('Activity data'!AZ14*EF!$H13)*kgtoGg=0,"NO",('Activity data'!AZ14*EF!$H13)*kgtoGg)</f>
        <v>16.899225853208922</v>
      </c>
      <c r="BA13" s="29">
        <f>IF(('Activity data'!BA14*EF!$H13)*kgtoGg=0,"NO",('Activity data'!BA14*EF!$H13)*kgtoGg)</f>
        <v>16.662012962724511</v>
      </c>
      <c r="BB13" s="29">
        <f>IF(('Activity data'!BB14*EF!$H13)*kgtoGg=0,"NO",('Activity data'!BB14*EF!$H13)*kgtoGg)</f>
        <v>16.41547411969955</v>
      </c>
      <c r="BC13" s="29">
        <f>IF(('Activity data'!BC14*EF!$H13)*kgtoGg=0,"NO",('Activity data'!BC14*EF!$H13)*kgtoGg)</f>
        <v>16.168935276674599</v>
      </c>
      <c r="BD13" s="29">
        <f>IF(('Activity data'!BD14*EF!$H13)*kgtoGg=0,"NO",('Activity data'!BD14*EF!$H13)*kgtoGg)</f>
        <v>15.922396437833216</v>
      </c>
      <c r="BE13" s="29">
        <f>IF(('Activity data'!BE14*EF!$H13)*kgtoGg=0,"NO",('Activity data'!BE14*EF!$H13)*kgtoGg)</f>
        <v>15.675857594808265</v>
      </c>
      <c r="BF13" s="29">
        <f>IF(('Activity data'!BF14*EF!$H13)*kgtoGg=0,"NO",('Activity data'!BF14*EF!$H13)*kgtoGg)</f>
        <v>15.429318751783311</v>
      </c>
      <c r="BG13" s="29">
        <f>IF(('Activity data'!BG14*EF!$H13)*kgtoGg=0,"NO",('Activity data'!BG14*EF!$H13)*kgtoGg)</f>
        <v>15.147887672856768</v>
      </c>
      <c r="BH13" s="29">
        <f>IF(('Activity data'!BH14*EF!$H13)*kgtoGg=0,"NO",('Activity data'!BH14*EF!$H13)*kgtoGg)</f>
        <v>14.866456598113803</v>
      </c>
      <c r="BI13" s="29">
        <f>IF(('Activity data'!BI14*EF!$H13)*kgtoGg=0,"NO",('Activity data'!BI14*EF!$H13)*kgtoGg)</f>
        <v>14.585025519187262</v>
      </c>
      <c r="BJ13" s="29">
        <f>IF(('Activity data'!BJ14*EF!$H13)*kgtoGg=0,"NO",('Activity data'!BJ14*EF!$H13)*kgtoGg)</f>
        <v>14.303594440260724</v>
      </c>
      <c r="BK13" s="29">
        <f>IF(('Activity data'!BK14*EF!$H13)*kgtoGg=0,"NO",('Activity data'!BK14*EF!$H13)*kgtoGg)</f>
        <v>14.022163361334187</v>
      </c>
      <c r="BL13" s="29">
        <f>IF(('Activity data'!BL14*EF!$H13)*kgtoGg=0,"NO",('Activity data'!BL14*EF!$H13)*kgtoGg)</f>
        <v>13.750665154155824</v>
      </c>
      <c r="BM13" s="29">
        <f>IF(('Activity data'!BM14*EF!$H13)*kgtoGg=0,"NO",('Activity data'!BM14*EF!$H13)*kgtoGg)</f>
        <v>13.479166946977472</v>
      </c>
      <c r="BN13" s="29">
        <f>IF(('Activity data'!BN14*EF!$H13)*kgtoGg=0,"NO",('Activity data'!BN14*EF!$H13)*kgtoGg)</f>
        <v>13.207668735615542</v>
      </c>
      <c r="BO13" s="29">
        <f>IF(('Activity data'!BO14*EF!$H13)*kgtoGg=0,"NO",('Activity data'!BO14*EF!$H13)*kgtoGg)</f>
        <v>12.936170528437188</v>
      </c>
      <c r="BP13" s="29">
        <f>IF(('Activity data'!BP14*EF!$H13)*kgtoGg=0,"NO",('Activity data'!BP14*EF!$H13)*kgtoGg)</f>
        <v>12.664672321258829</v>
      </c>
    </row>
    <row r="14" spans="1:74" x14ac:dyDescent="0.25">
      <c r="A14" t="str">
        <f t="shared" si="1"/>
        <v>3A Livestock</v>
      </c>
      <c r="B14" t="str">
        <f t="shared" si="2"/>
        <v>3A1 Enteric fermentation (CH4)</v>
      </c>
      <c r="C14" t="str">
        <f>EF!C14</f>
        <v>3A1f Horses</v>
      </c>
      <c r="D14" t="str">
        <f>EF!D14</f>
        <v>Horses</v>
      </c>
      <c r="E14" t="str">
        <f t="shared" si="3"/>
        <v>Enteric fermentation Emissions</v>
      </c>
      <c r="F14" t="str">
        <f t="shared" si="4"/>
        <v>CH4</v>
      </c>
      <c r="G14" t="str">
        <f t="shared" si="5"/>
        <v>Gg CH4</v>
      </c>
      <c r="H14" s="29">
        <f>IF(('Activity data'!H15*EF!$H14)*kgtoGg=0,"NO",('Activity data'!H15*EF!$H14)*kgtoGg)</f>
        <v>4.1399999999999997</v>
      </c>
      <c r="I14" s="29">
        <f>IF(('Activity data'!I15*EF!$H14)*kgtoGg=0,"NO",('Activity data'!I15*EF!$H14)*kgtoGg)</f>
        <v>4.1399999999999997</v>
      </c>
      <c r="J14" s="29">
        <f>IF(('Activity data'!J15*EF!$H14)*kgtoGg=0,"NO",('Activity data'!J15*EF!$H14)*kgtoGg)</f>
        <v>4.1399999999999997</v>
      </c>
      <c r="K14" s="29">
        <f>IF(('Activity data'!K15*EF!$H14)*kgtoGg=0,"NO",('Activity data'!K15*EF!$H14)*kgtoGg)</f>
        <v>4.2299999999999995</v>
      </c>
      <c r="L14" s="29">
        <f>IF(('Activity data'!L15*EF!$H14)*kgtoGg=0,"NO",('Activity data'!L15*EF!$H14)*kgtoGg)</f>
        <v>4.3199999999999994</v>
      </c>
      <c r="M14" s="29">
        <f>IF(('Activity data'!M15*EF!$H14)*kgtoGg=0,"NO",('Activity data'!M15*EF!$H14)*kgtoGg)</f>
        <v>4.41</v>
      </c>
      <c r="N14" s="29">
        <f>IF(('Activity data'!N15*EF!$H14)*kgtoGg=0,"NO",('Activity data'!N15*EF!$H14)*kgtoGg)</f>
        <v>4.5</v>
      </c>
      <c r="O14" s="29">
        <f>IF(('Activity data'!O15*EF!$H14)*kgtoGg=0,"NO",('Activity data'!O15*EF!$H14)*kgtoGg)</f>
        <v>4.59</v>
      </c>
      <c r="P14" s="29">
        <f>IF(('Activity data'!P15*EF!$H14)*kgtoGg=0,"NO",('Activity data'!P15*EF!$H14)*kgtoGg)</f>
        <v>4.68</v>
      </c>
      <c r="Q14" s="29">
        <f>IF(('Activity data'!Q15*EF!$H14)*kgtoGg=0,"NO",('Activity data'!Q15*EF!$H14)*kgtoGg)</f>
        <v>4.6440000000000001</v>
      </c>
      <c r="R14" s="29">
        <f>IF(('Activity data'!R15*EF!$H14)*kgtoGg=0,"NO",('Activity data'!R15*EF!$H14)*kgtoGg)</f>
        <v>4.8599999999999994</v>
      </c>
      <c r="S14" s="29">
        <f>IF(('Activity data'!S15*EF!$H14)*kgtoGg=0,"NO",('Activity data'!S15*EF!$H14)*kgtoGg)</f>
        <v>4.8599999999999994</v>
      </c>
      <c r="T14" s="29">
        <f>IF(('Activity data'!T15*EF!$H14)*kgtoGg=0,"NO",('Activity data'!T15*EF!$H14)*kgtoGg)</f>
        <v>4.8599999999999994</v>
      </c>
      <c r="U14" s="29">
        <f>IF(('Activity data'!U15*EF!$H14)*kgtoGg=0,"NO",('Activity data'!U15*EF!$H14)*kgtoGg)</f>
        <v>4.8599999999999994</v>
      </c>
      <c r="V14" s="29">
        <f>IF(('Activity data'!V15*EF!$H14)*kgtoGg=0,"NO",('Activity data'!V15*EF!$H14)*kgtoGg)</f>
        <v>4.8599999999999994</v>
      </c>
      <c r="W14" s="29">
        <f>IF(('Activity data'!W15*EF!$H14)*kgtoGg=0,"NO",('Activity data'!W15*EF!$H14)*kgtoGg)</f>
        <v>4.8599999999999994</v>
      </c>
      <c r="X14" s="29">
        <f>IF(('Activity data'!X15*EF!$H14)*kgtoGg=0,"NO",('Activity data'!X15*EF!$H14)*kgtoGg)</f>
        <v>5.04</v>
      </c>
      <c r="Y14" s="29">
        <f>IF(('Activity data'!Y15*EF!$H14)*kgtoGg=0,"NO",('Activity data'!Y15*EF!$H14)*kgtoGg)</f>
        <v>5.22</v>
      </c>
      <c r="Z14" s="29">
        <f>IF(('Activity data'!Z15*EF!$H14)*kgtoGg=0,"NO",('Activity data'!Z15*EF!$H14)*kgtoGg)</f>
        <v>5.3639999999999999</v>
      </c>
      <c r="AA14" s="29">
        <f>IF(('Activity data'!AA15*EF!$H14)*kgtoGg=0,"NO",('Activity data'!AA15*EF!$H14)*kgtoGg)</f>
        <v>5.3999999999999995</v>
      </c>
      <c r="AB14" s="29">
        <f>IF(('Activity data'!AB15*EF!$H14)*kgtoGg=0,"NO",('Activity data'!AB15*EF!$H14)*kgtoGg)</f>
        <v>5.3999999999999995</v>
      </c>
      <c r="AC14" s="29">
        <f>IF(('Activity data'!AC15*EF!$H14)*kgtoGg=0,"NO",('Activity data'!AC15*EF!$H14)*kgtoGg)</f>
        <v>5.4899999999999993</v>
      </c>
      <c r="AD14" s="29">
        <f>IF(('Activity data'!AD15*EF!$H14)*kgtoGg=0,"NO",('Activity data'!AD15*EF!$H14)*kgtoGg)</f>
        <v>5.5439999999999996</v>
      </c>
      <c r="AE14" s="29">
        <f>IF(('Activity data'!AE15*EF!$H14)*kgtoGg=0,"NO",('Activity data'!AE15*EF!$H14)*kgtoGg)</f>
        <v>5.58</v>
      </c>
      <c r="AF14" s="29">
        <f>IF(('Activity data'!AF15*EF!$H14)*kgtoGg=0,"NO",('Activity data'!AF15*EF!$H14)*kgtoGg)</f>
        <v>5.6159999999999997</v>
      </c>
      <c r="AG14" s="29">
        <f>IF(('Activity data'!AG15*EF!$H14)*kgtoGg=0,"NO",('Activity data'!AG15*EF!$H14)*kgtoGg)</f>
        <v>5.6668500000000002</v>
      </c>
      <c r="AH14" s="29">
        <f>IF(('Activity data'!AH15*EF!$H14)*kgtoGg=0,"NO",('Activity data'!AH15*EF!$H14)*kgtoGg)</f>
        <v>5.7754799999999999</v>
      </c>
      <c r="AI14" s="29">
        <f>IF(('Activity data'!AI15*EF!$H14)*kgtoGg=0,"NO",('Activity data'!AI15*EF!$H14)*kgtoGg)</f>
        <v>5.8098779999999994</v>
      </c>
      <c r="AJ14" s="29">
        <f>IF(('Activity data'!AJ15*EF!$H14)*kgtoGg=0,"NO",('Activity data'!AJ15*EF!$H14)*kgtoGg)</f>
        <v>5.7144275508111617</v>
      </c>
      <c r="AK14" s="29">
        <f>IF(('Activity data'!AK15*EF!$H14)*kgtoGg=0,"NO",('Activity data'!AK15*EF!$H14)*kgtoGg)</f>
        <v>5.7133113498556165</v>
      </c>
      <c r="AL14" s="29">
        <f>IF(('Activity data'!AL15*EF!$H14)*kgtoGg=0,"NO",('Activity data'!AL15*EF!$H14)*kgtoGg)</f>
        <v>5.6164134105577661</v>
      </c>
      <c r="AM14" s="29">
        <f>IF(('Activity data'!AM15*EF!$H14)*kgtoGg=0,"NO",('Activity data'!AM15*EF!$H14)*kgtoGg)</f>
        <v>5.630236274689473</v>
      </c>
      <c r="AN14" s="29">
        <f>IF(('Activity data'!AN15*EF!$H14)*kgtoGg=0,"NO",('Activity data'!AN15*EF!$H14)*kgtoGg)</f>
        <v>5.6428462605652854</v>
      </c>
      <c r="AO14" s="29">
        <f>IF(('Activity data'!AO15*EF!$H14)*kgtoGg=0,"NO",('Activity data'!AO15*EF!$H14)*kgtoGg)</f>
        <v>5.6554363940045036</v>
      </c>
      <c r="AP14" s="29">
        <f>IF(('Activity data'!AP15*EF!$H14)*kgtoGg=0,"NO",('Activity data'!AP15*EF!$H14)*kgtoGg)</f>
        <v>5.666988864828455</v>
      </c>
      <c r="AQ14" s="29">
        <f>IF(('Activity data'!AQ15*EF!$H14)*kgtoGg=0,"NO",('Activity data'!AQ15*EF!$H14)*kgtoGg)</f>
        <v>5.6792606775468277</v>
      </c>
      <c r="AR14" s="29">
        <f>IF(('Activity data'!AR15*EF!$H14)*kgtoGg=0,"NO",('Activity data'!AR15*EF!$H14)*kgtoGg)</f>
        <v>5.6946406663288007</v>
      </c>
      <c r="AS14" s="29">
        <f>IF(('Activity data'!AS15*EF!$H14)*kgtoGg=0,"NO",('Activity data'!AS15*EF!$H14)*kgtoGg)</f>
        <v>5.7094834748833687</v>
      </c>
      <c r="AT14" s="29">
        <f>IF(('Activity data'!AT15*EF!$H14)*kgtoGg=0,"NO",('Activity data'!AT15*EF!$H14)*kgtoGg)</f>
        <v>5.7252643682791646</v>
      </c>
      <c r="AU14" s="29">
        <f>IF(('Activity data'!AU15*EF!$H14)*kgtoGg=0,"NO",('Activity data'!AU15*EF!$H14)*kgtoGg)</f>
        <v>5.7416454546487623</v>
      </c>
      <c r="AV14" s="29">
        <f>IF(('Activity data'!AV15*EF!$H14)*kgtoGg=0,"NO",('Activity data'!AV15*EF!$H14)*kgtoGg)</f>
        <v>5.7586910973747036</v>
      </c>
      <c r="AW14" s="29">
        <f>IF(('Activity data'!AW15*EF!$H14)*kgtoGg=0,"NO",('Activity data'!AW15*EF!$H14)*kgtoGg)</f>
        <v>5.7814657212134977</v>
      </c>
      <c r="AX14" s="29">
        <f>IF(('Activity data'!AX15*EF!$H14)*kgtoGg=0,"NO",('Activity data'!AX15*EF!$H14)*kgtoGg)</f>
        <v>5.8022688349450862</v>
      </c>
      <c r="AY14" s="29">
        <f>IF(('Activity data'!AY15*EF!$H14)*kgtoGg=0,"NO",('Activity data'!AY15*EF!$H14)*kgtoGg)</f>
        <v>5.8262108485598718</v>
      </c>
      <c r="AZ14" s="29">
        <f>IF(('Activity data'!AZ15*EF!$H14)*kgtoGg=0,"NO",('Activity data'!AZ15*EF!$H14)*kgtoGg)</f>
        <v>5.8521643182910097</v>
      </c>
      <c r="BA14" s="29">
        <f>IF(('Activity data'!BA15*EF!$H14)*kgtoGg=0,"NO",('Activity data'!BA15*EF!$H14)*kgtoGg)</f>
        <v>5.8802074342214503</v>
      </c>
      <c r="BB14" s="29">
        <f>IF(('Activity data'!BB15*EF!$H14)*kgtoGg=0,"NO",('Activity data'!BB15*EF!$H14)*kgtoGg)</f>
        <v>5.908458755674884</v>
      </c>
      <c r="BC14" s="29">
        <f>IF(('Activity data'!BC15*EF!$H14)*kgtoGg=0,"NO",('Activity data'!BC15*EF!$H14)*kgtoGg)</f>
        <v>5.9379266983429897</v>
      </c>
      <c r="BD14" s="29">
        <f>IF(('Activity data'!BD15*EF!$H14)*kgtoGg=0,"NO",('Activity data'!BD15*EF!$H14)*kgtoGg)</f>
        <v>5.9675109354728413</v>
      </c>
      <c r="BE14" s="29">
        <f>IF(('Activity data'!BE15*EF!$H14)*kgtoGg=0,"NO",('Activity data'!BE15*EF!$H14)*kgtoGg)</f>
        <v>5.9982834959137117</v>
      </c>
      <c r="BF14" s="29">
        <f>IF(('Activity data'!BF15*EF!$H14)*kgtoGg=0,"NO",('Activity data'!BF15*EF!$H14)*kgtoGg)</f>
        <v>6.0311574854577543</v>
      </c>
      <c r="BG14" s="29">
        <f>IF(('Activity data'!BG15*EF!$H14)*kgtoGg=0,"NO",('Activity data'!BG15*EF!$H14)*kgtoGg)</f>
        <v>6.0634749431971908</v>
      </c>
      <c r="BH14" s="29">
        <f>IF(('Activity data'!BH15*EF!$H14)*kgtoGg=0,"NO",('Activity data'!BH15*EF!$H14)*kgtoGg)</f>
        <v>6.0971509528053733</v>
      </c>
      <c r="BI14" s="29">
        <f>IF(('Activity data'!BI15*EF!$H14)*kgtoGg=0,"NO",('Activity data'!BI15*EF!$H14)*kgtoGg)</f>
        <v>6.1320348707712569</v>
      </c>
      <c r="BJ14" s="29">
        <f>IF(('Activity data'!BJ15*EF!$H14)*kgtoGg=0,"NO",('Activity data'!BJ15*EF!$H14)*kgtoGg)</f>
        <v>6.1683658825036947</v>
      </c>
      <c r="BK14" s="29">
        <f>IF(('Activity data'!BK15*EF!$H14)*kgtoGg=0,"NO",('Activity data'!BK15*EF!$H14)*kgtoGg)</f>
        <v>6.2071771644564677</v>
      </c>
      <c r="BL14" s="29">
        <f>IF(('Activity data'!BL15*EF!$H14)*kgtoGg=0,"NO",('Activity data'!BL15*EF!$H14)*kgtoGg)</f>
        <v>6.2484893339836676</v>
      </c>
      <c r="BM14" s="29">
        <f>IF(('Activity data'!BM15*EF!$H14)*kgtoGg=0,"NO",('Activity data'!BM15*EF!$H14)*kgtoGg)</f>
        <v>6.2917455211835112</v>
      </c>
      <c r="BN14" s="29">
        <f>IF(('Activity data'!BN15*EF!$H14)*kgtoGg=0,"NO",('Activity data'!BN15*EF!$H14)*kgtoGg)</f>
        <v>6.3349071349223331</v>
      </c>
      <c r="BO14" s="29">
        <f>IF(('Activity data'!BO15*EF!$H14)*kgtoGg=0,"NO",('Activity data'!BO15*EF!$H14)*kgtoGg)</f>
        <v>6.3801850311726351</v>
      </c>
      <c r="BP14" s="29">
        <f>IF(('Activity data'!BP15*EF!$H14)*kgtoGg=0,"NO",('Activity data'!BP15*EF!$H14)*kgtoGg)</f>
        <v>6.4277616627002621</v>
      </c>
    </row>
    <row r="15" spans="1:74" x14ac:dyDescent="0.25">
      <c r="A15" t="str">
        <f t="shared" si="1"/>
        <v>3A Livestock</v>
      </c>
      <c r="B15" t="str">
        <f t="shared" si="2"/>
        <v>3A1 Enteric fermentation (CH4)</v>
      </c>
      <c r="C15" t="str">
        <f>EF!C15</f>
        <v>3A1g Mules &amp; asses</v>
      </c>
      <c r="D15" t="str">
        <f>EF!D15</f>
        <v>Mules &amp; Asses</v>
      </c>
      <c r="E15" t="str">
        <f t="shared" si="3"/>
        <v>Enteric fermentation Emissions</v>
      </c>
      <c r="F15" t="str">
        <f t="shared" si="4"/>
        <v>CH4</v>
      </c>
      <c r="G15" t="str">
        <f t="shared" si="5"/>
        <v>Gg CH4</v>
      </c>
      <c r="H15" s="29">
        <f>IF(('Activity data'!H16*EF!$H15)*kgtoGg=0,"NO",('Activity data'!H16*EF!$H15)*kgtoGg)</f>
        <v>2.2399999999999998</v>
      </c>
      <c r="I15" s="29">
        <f>IF(('Activity data'!I16*EF!$H15)*kgtoGg=0,"NO",('Activity data'!I16*EF!$H15)*kgtoGg)</f>
        <v>2.2399999999999998</v>
      </c>
      <c r="J15" s="29">
        <f>IF(('Activity data'!J16*EF!$H15)*kgtoGg=0,"NO",('Activity data'!J16*EF!$H15)*kgtoGg)</f>
        <v>2.2399999999999998</v>
      </c>
      <c r="K15" s="29">
        <f>IF(('Activity data'!K16*EF!$H15)*kgtoGg=0,"NO",('Activity data'!K16*EF!$H15)*kgtoGg)</f>
        <v>2.2399999999999998</v>
      </c>
      <c r="L15" s="29">
        <f>IF(('Activity data'!L16*EF!$H15)*kgtoGg=0,"NO",('Activity data'!L16*EF!$H15)*kgtoGg)</f>
        <v>2.2399999999999998</v>
      </c>
      <c r="M15" s="29">
        <f>IF(('Activity data'!M16*EF!$H15)*kgtoGg=0,"NO",('Activity data'!M16*EF!$H15)*kgtoGg)</f>
        <v>2.2399999999999998</v>
      </c>
      <c r="N15" s="29">
        <f>IF(('Activity data'!N16*EF!$H15)*kgtoGg=0,"NO",('Activity data'!N16*EF!$H15)*kgtoGg)</f>
        <v>2.2399999999999998</v>
      </c>
      <c r="O15" s="29">
        <f>IF(('Activity data'!O16*EF!$H15)*kgtoGg=0,"NO",('Activity data'!O16*EF!$H15)*kgtoGg)</f>
        <v>2.2399999999999998</v>
      </c>
      <c r="P15" s="29">
        <f>IF(('Activity data'!P16*EF!$H15)*kgtoGg=0,"NO",('Activity data'!P16*EF!$H15)*kgtoGg)</f>
        <v>2.2399999999999998</v>
      </c>
      <c r="Q15" s="29">
        <f>IF(('Activity data'!Q16*EF!$H15)*kgtoGg=0,"NO",('Activity data'!Q16*EF!$H15)*kgtoGg)</f>
        <v>2.2399999999999998</v>
      </c>
      <c r="R15" s="29">
        <f>IF(('Activity data'!R16*EF!$H15)*kgtoGg=0,"NO",('Activity data'!R16*EF!$H15)*kgtoGg)</f>
        <v>1.64</v>
      </c>
      <c r="S15" s="29">
        <f>IF(('Activity data'!S16*EF!$H15)*kgtoGg=0,"NO",('Activity data'!S16*EF!$H15)*kgtoGg)</f>
        <v>1.64</v>
      </c>
      <c r="T15" s="29">
        <f>IF(('Activity data'!T16*EF!$H15)*kgtoGg=0,"NO",('Activity data'!T16*EF!$H15)*kgtoGg)</f>
        <v>1.64</v>
      </c>
      <c r="U15" s="29">
        <f>IF(('Activity data'!U16*EF!$H15)*kgtoGg=0,"NO",('Activity data'!U16*EF!$H15)*kgtoGg)</f>
        <v>1.64</v>
      </c>
      <c r="V15" s="29">
        <f>IF(('Activity data'!V16*EF!$H15)*kgtoGg=0,"NO",('Activity data'!V16*EF!$H15)*kgtoGg)</f>
        <v>1.64</v>
      </c>
      <c r="W15" s="29">
        <f>IF(('Activity data'!W16*EF!$H15)*kgtoGg=0,"NO",('Activity data'!W16*EF!$H15)*kgtoGg)</f>
        <v>1.64</v>
      </c>
      <c r="X15" s="29">
        <f>IF(('Activity data'!X16*EF!$H15)*kgtoGg=0,"NO",('Activity data'!X16*EF!$H15)*kgtoGg)</f>
        <v>1.6404999999999998</v>
      </c>
      <c r="Y15" s="29">
        <f>IF(('Activity data'!Y16*EF!$H15)*kgtoGg=0,"NO",('Activity data'!Y16*EF!$H15)*kgtoGg)</f>
        <v>1.6459999999999999</v>
      </c>
      <c r="Z15" s="29">
        <f>IF(('Activity data'!Z16*EF!$H15)*kgtoGg=0,"NO",('Activity data'!Z16*EF!$H15)*kgtoGg)</f>
        <v>1.647</v>
      </c>
      <c r="AA15" s="29">
        <f>IF(('Activity data'!AA16*EF!$H15)*kgtoGg=0,"NO",('Activity data'!AA16*EF!$H15)*kgtoGg)</f>
        <v>1.6479999999999999</v>
      </c>
      <c r="AB15" s="29">
        <f>IF(('Activity data'!AB16*EF!$H15)*kgtoGg=0,"NO",('Activity data'!AB16*EF!$H15)*kgtoGg)</f>
        <v>1.663</v>
      </c>
      <c r="AC15" s="29">
        <f>IF(('Activity data'!AC16*EF!$H15)*kgtoGg=0,"NO",('Activity data'!AC16*EF!$H15)*kgtoGg)</f>
        <v>1.67</v>
      </c>
      <c r="AD15" s="29">
        <f>IF(('Activity data'!AD16*EF!$H15)*kgtoGg=0,"NO",('Activity data'!AD16*EF!$H15)*kgtoGg)</f>
        <v>1.67</v>
      </c>
      <c r="AE15" s="29">
        <f>IF(('Activity data'!AE16*EF!$H15)*kgtoGg=0,"NO",('Activity data'!AE16*EF!$H15)*kgtoGg)</f>
        <v>1.7049999999999998</v>
      </c>
      <c r="AF15" s="29">
        <f>IF(('Activity data'!AF16*EF!$H15)*kgtoGg=0,"NO",('Activity data'!AF16*EF!$H15)*kgtoGg)</f>
        <v>1.71</v>
      </c>
      <c r="AG15" s="29">
        <f>IF(('Activity data'!AG16*EF!$H15)*kgtoGg=0,"NO",('Activity data'!AG16*EF!$H15)*kgtoGg)</f>
        <v>1.6902899999999998</v>
      </c>
      <c r="AH15" s="29">
        <f>IF(('Activity data'!AH16*EF!$H15)*kgtoGg=0,"NO",('Activity data'!AH16*EF!$H15)*kgtoGg)</f>
        <v>1.6186799999999999</v>
      </c>
      <c r="AI15" s="29">
        <f>IF(('Activity data'!AI16*EF!$H15)*kgtoGg=0,"NO",('Activity data'!AI16*EF!$H15)*kgtoGg)</f>
        <v>1.6281999999999999</v>
      </c>
      <c r="AJ15" s="29">
        <f>IF(('Activity data'!AJ16*EF!$H15)*kgtoGg=0,"NO",('Activity data'!AJ16*EF!$H15)*kgtoGg)</f>
        <v>1.5999999999999999</v>
      </c>
      <c r="AK15" s="29">
        <f>IF(('Activity data'!AK16*EF!$H15)*kgtoGg=0,"NO",('Activity data'!AK16*EF!$H15)*kgtoGg)</f>
        <v>1.5999999999999999</v>
      </c>
      <c r="AL15" s="29">
        <f>IF(('Activity data'!AL16*EF!$H15)*kgtoGg=0,"NO",('Activity data'!AL16*EF!$H15)*kgtoGg)</f>
        <v>1.5999999999999999</v>
      </c>
      <c r="AM15" s="29">
        <f>IF(('Activity data'!AM16*EF!$H15)*kgtoGg=0,"NO",('Activity data'!AM16*EF!$H15)*kgtoGg)</f>
        <v>1.5999999999999999</v>
      </c>
      <c r="AN15" s="29">
        <f>IF(('Activity data'!AN16*EF!$H15)*kgtoGg=0,"NO",('Activity data'!AN16*EF!$H15)*kgtoGg)</f>
        <v>1.5999999999999999</v>
      </c>
      <c r="AO15" s="29">
        <f>IF(('Activity data'!AO16*EF!$H15)*kgtoGg=0,"NO",('Activity data'!AO16*EF!$H15)*kgtoGg)</f>
        <v>1.5999999999999999</v>
      </c>
      <c r="AP15" s="29">
        <f>IF(('Activity data'!AP16*EF!$H15)*kgtoGg=0,"NO",('Activity data'!AP16*EF!$H15)*kgtoGg)</f>
        <v>1.5999999999999999</v>
      </c>
      <c r="AQ15" s="29">
        <f>IF(('Activity data'!AQ16*EF!$H15)*kgtoGg=0,"NO",('Activity data'!AQ16*EF!$H15)*kgtoGg)</f>
        <v>1.5999999999999999</v>
      </c>
      <c r="AR15" s="29">
        <f>IF(('Activity data'!AR16*EF!$H15)*kgtoGg=0,"NO",('Activity data'!AR16*EF!$H15)*kgtoGg)</f>
        <v>1.5999999999999999</v>
      </c>
      <c r="AS15" s="29">
        <f>IF(('Activity data'!AS16*EF!$H15)*kgtoGg=0,"NO",('Activity data'!AS16*EF!$H15)*kgtoGg)</f>
        <v>1.5999999999999999</v>
      </c>
      <c r="AT15" s="29">
        <f>IF(('Activity data'!AT16*EF!$H15)*kgtoGg=0,"NO",('Activity data'!AT16*EF!$H15)*kgtoGg)</f>
        <v>1.5999999999999999</v>
      </c>
      <c r="AU15" s="29">
        <f>IF(('Activity data'!AU16*EF!$H15)*kgtoGg=0,"NO",('Activity data'!AU16*EF!$H15)*kgtoGg)</f>
        <v>1.5999999999999999</v>
      </c>
      <c r="AV15" s="29">
        <f>IF(('Activity data'!AV16*EF!$H15)*kgtoGg=0,"NO",('Activity data'!AV16*EF!$H15)*kgtoGg)</f>
        <v>1.5999999999999999</v>
      </c>
      <c r="AW15" s="29">
        <f>IF(('Activity data'!AW16*EF!$H15)*kgtoGg=0,"NO",('Activity data'!AW16*EF!$H15)*kgtoGg)</f>
        <v>1.5999999999999999</v>
      </c>
      <c r="AX15" s="29">
        <f>IF(('Activity data'!AX16*EF!$H15)*kgtoGg=0,"NO",('Activity data'!AX16*EF!$H15)*kgtoGg)</f>
        <v>1.5999999999999999</v>
      </c>
      <c r="AY15" s="29">
        <f>IF(('Activity data'!AY16*EF!$H15)*kgtoGg=0,"NO",('Activity data'!AY16*EF!$H15)*kgtoGg)</f>
        <v>1.5999999999999999</v>
      </c>
      <c r="AZ15" s="29">
        <f>IF(('Activity data'!AZ16*EF!$H15)*kgtoGg=0,"NO",('Activity data'!AZ16*EF!$H15)*kgtoGg)</f>
        <v>1.5999999999999999</v>
      </c>
      <c r="BA15" s="29">
        <f>IF(('Activity data'!BA16*EF!$H15)*kgtoGg=0,"NO",('Activity data'!BA16*EF!$H15)*kgtoGg)</f>
        <v>1.5999999999999999</v>
      </c>
      <c r="BB15" s="29">
        <f>IF(('Activity data'!BB16*EF!$H15)*kgtoGg=0,"NO",('Activity data'!BB16*EF!$H15)*kgtoGg)</f>
        <v>1.5999999999999999</v>
      </c>
      <c r="BC15" s="29">
        <f>IF(('Activity data'!BC16*EF!$H15)*kgtoGg=0,"NO",('Activity data'!BC16*EF!$H15)*kgtoGg)</f>
        <v>1.5999999999999999</v>
      </c>
      <c r="BD15" s="29">
        <f>IF(('Activity data'!BD16*EF!$H15)*kgtoGg=0,"NO",('Activity data'!BD16*EF!$H15)*kgtoGg)</f>
        <v>1.5999999999999999</v>
      </c>
      <c r="BE15" s="29">
        <f>IF(('Activity data'!BE16*EF!$H15)*kgtoGg=0,"NO",('Activity data'!BE16*EF!$H15)*kgtoGg)</f>
        <v>1.5999999999999999</v>
      </c>
      <c r="BF15" s="29">
        <f>IF(('Activity data'!BF16*EF!$H15)*kgtoGg=0,"NO",('Activity data'!BF16*EF!$H15)*kgtoGg)</f>
        <v>1.5999999999999999</v>
      </c>
      <c r="BG15" s="29">
        <f>IF(('Activity data'!BG16*EF!$H15)*kgtoGg=0,"NO",('Activity data'!BG16*EF!$H15)*kgtoGg)</f>
        <v>1.5999999999999999</v>
      </c>
      <c r="BH15" s="29">
        <f>IF(('Activity data'!BH16*EF!$H15)*kgtoGg=0,"NO",('Activity data'!BH16*EF!$H15)*kgtoGg)</f>
        <v>1.5999999999999999</v>
      </c>
      <c r="BI15" s="29">
        <f>IF(('Activity data'!BI16*EF!$H15)*kgtoGg=0,"NO",('Activity data'!BI16*EF!$H15)*kgtoGg)</f>
        <v>1.5999999999999999</v>
      </c>
      <c r="BJ15" s="29">
        <f>IF(('Activity data'!BJ16*EF!$H15)*kgtoGg=0,"NO",('Activity data'!BJ16*EF!$H15)*kgtoGg)</f>
        <v>1.5999999999999999</v>
      </c>
      <c r="BK15" s="29">
        <f>IF(('Activity data'!BK16*EF!$H15)*kgtoGg=0,"NO",('Activity data'!BK16*EF!$H15)*kgtoGg)</f>
        <v>1.5999999999999999</v>
      </c>
      <c r="BL15" s="29">
        <f>IF(('Activity data'!BL16*EF!$H15)*kgtoGg=0,"NO",('Activity data'!BL16*EF!$H15)*kgtoGg)</f>
        <v>1.5999999999999999</v>
      </c>
      <c r="BM15" s="29">
        <f>IF(('Activity data'!BM16*EF!$H15)*kgtoGg=0,"NO",('Activity data'!BM16*EF!$H15)*kgtoGg)</f>
        <v>1.5999999999999999</v>
      </c>
      <c r="BN15" s="29">
        <f>IF(('Activity data'!BN16*EF!$H15)*kgtoGg=0,"NO",('Activity data'!BN16*EF!$H15)*kgtoGg)</f>
        <v>1.5999999999999999</v>
      </c>
      <c r="BO15" s="29">
        <f>IF(('Activity data'!BO16*EF!$H15)*kgtoGg=0,"NO",('Activity data'!BO16*EF!$H15)*kgtoGg)</f>
        <v>1.5999999999999999</v>
      </c>
      <c r="BP15" s="29">
        <f>IF(('Activity data'!BP16*EF!$H15)*kgtoGg=0,"NO",('Activity data'!BP16*EF!$H15)*kgtoGg)</f>
        <v>1.5999999999999999</v>
      </c>
    </row>
    <row r="16" spans="1:74" x14ac:dyDescent="0.25">
      <c r="A16" t="str">
        <f t="shared" si="1"/>
        <v>3A Livestock</v>
      </c>
      <c r="B16" t="str">
        <f t="shared" si="2"/>
        <v>3A1 Enteric fermentation (CH4)</v>
      </c>
      <c r="C16" t="str">
        <f>EF!C16</f>
        <v>3A1h Swine</v>
      </c>
      <c r="D16" t="str">
        <f>EF!D16</f>
        <v>Commercial</v>
      </c>
      <c r="E16" t="str">
        <f t="shared" si="3"/>
        <v>Enteric fermentation Emissions</v>
      </c>
      <c r="F16" t="str">
        <f t="shared" si="4"/>
        <v>CH4</v>
      </c>
      <c r="G16" t="str">
        <f t="shared" si="5"/>
        <v>Gg CH4</v>
      </c>
      <c r="H16" s="29">
        <f>IF(('Activity data'!H17*EF!$H16)*kgtoGg=0,"NO",('Activity data'!H17*EF!$H16)*kgtoGg)</f>
        <v>1.6933773600000002</v>
      </c>
      <c r="I16" s="29">
        <f>IF(('Activity data'!I17*EF!$H16)*kgtoGg=0,"NO",('Activity data'!I17*EF!$H16)*kgtoGg)</f>
        <v>1.8500481000000002</v>
      </c>
      <c r="J16" s="29">
        <f>IF(('Activity data'!J17*EF!$H16)*kgtoGg=0,"NO",('Activity data'!J17*EF!$H16)*kgtoGg)</f>
        <v>1.8378255600000002</v>
      </c>
      <c r="K16" s="29">
        <f>IF(('Activity data'!K17*EF!$H16)*kgtoGg=0,"NO",('Activity data'!K17*EF!$H16)*kgtoGg)</f>
        <v>1.8367144200000003</v>
      </c>
      <c r="L16" s="29">
        <f>IF(('Activity data'!L17*EF!$H16)*kgtoGg=0,"NO",('Activity data'!L17*EF!$H16)*kgtoGg)</f>
        <v>1.7444898000000002</v>
      </c>
      <c r="M16" s="29">
        <f>IF(('Activity data'!M17*EF!$H16)*kgtoGg=0,"NO",('Activity data'!M17*EF!$H16)*kgtoGg)</f>
        <v>1.7611569000000002</v>
      </c>
      <c r="N16" s="29">
        <f>IF(('Activity data'!N17*EF!$H16)*kgtoGg=0,"NO",('Activity data'!N17*EF!$H16)*kgtoGg)</f>
        <v>1.8967159800000004</v>
      </c>
      <c r="O16" s="29">
        <f>IF(('Activity data'!O17*EF!$H16)*kgtoGg=0,"NO",('Activity data'!O17*EF!$H16)*kgtoGg)</f>
        <v>1.8878268600000003</v>
      </c>
      <c r="P16" s="29">
        <f>IF(('Activity data'!P17*EF!$H16)*kgtoGg=0,"NO",('Activity data'!P17*EF!$H16)*kgtoGg)</f>
        <v>1.9289390400000004</v>
      </c>
      <c r="Q16" s="29">
        <f>IF(('Activity data'!Q17*EF!$H16)*kgtoGg=0,"NO",('Activity data'!Q17*EF!$H16)*kgtoGg)</f>
        <v>1.9778292000000004</v>
      </c>
      <c r="R16" s="29">
        <f>IF(('Activity data'!R17*EF!$H16)*kgtoGg=0,"NO",('Activity data'!R17*EF!$H16)*kgtoGg)</f>
        <v>1.8300475800000002</v>
      </c>
      <c r="S16" s="29">
        <f>IF(('Activity data'!S17*EF!$H16)*kgtoGg=0,"NO",('Activity data'!S17*EF!$H16)*kgtoGg)</f>
        <v>1.8644929200000002</v>
      </c>
      <c r="T16" s="29">
        <f>IF(('Activity data'!T17*EF!$H16)*kgtoGg=0,"NO",('Activity data'!T17*EF!$H16)*kgtoGg)</f>
        <v>1.9000494000000003</v>
      </c>
      <c r="U16" s="29">
        <f>IF(('Activity data'!U17*EF!$H16)*kgtoGg=0,"NO",('Activity data'!U17*EF!$H16)*kgtoGg)</f>
        <v>1.8478258200000002</v>
      </c>
      <c r="V16" s="29">
        <f>IF(('Activity data'!V17*EF!$H16)*kgtoGg=0,"NO",('Activity data'!V17*EF!$H16)*kgtoGg)</f>
        <v>1.8478258200000002</v>
      </c>
      <c r="W16" s="29">
        <f>IF(('Activity data'!W17*EF!$H16)*kgtoGg=0,"NO",('Activity data'!W17*EF!$H16)*kgtoGg)</f>
        <v>1.8344921400000003</v>
      </c>
      <c r="X16" s="29">
        <f>IF(('Activity data'!X17*EF!$H16)*kgtoGg=0,"NO",('Activity data'!X17*EF!$H16)*kgtoGg)</f>
        <v>1.8022690800000003</v>
      </c>
      <c r="Y16" s="29">
        <f>IF(('Activity data'!Y17*EF!$H16)*kgtoGg=0,"NO",('Activity data'!Y17*EF!$H16)*kgtoGg)</f>
        <v>1.8344921400000003</v>
      </c>
      <c r="Z16" s="29">
        <f>IF(('Activity data'!Z17*EF!$H16)*kgtoGg=0,"NO",('Activity data'!Z17*EF!$H16)*kgtoGg)</f>
        <v>1.7944911000000003</v>
      </c>
      <c r="AA16" s="29">
        <f>IF(('Activity data'!AA17*EF!$H16)*kgtoGg=0,"NO",('Activity data'!AA17*EF!$H16)*kgtoGg)</f>
        <v>1.7922688200000003</v>
      </c>
      <c r="AB16" s="29">
        <f>IF(('Activity data'!AB17*EF!$H16)*kgtoGg=0,"NO",('Activity data'!AB17*EF!$H16)*kgtoGg)</f>
        <v>1.7711571600000002</v>
      </c>
      <c r="AC16" s="29">
        <f>IF(('Activity data'!AC17*EF!$H16)*kgtoGg=0,"NO",('Activity data'!AC17*EF!$H16)*kgtoGg)</f>
        <v>1.7600457600000003</v>
      </c>
      <c r="AD16" s="29">
        <f>IF(('Activity data'!AD17*EF!$H16)*kgtoGg=0,"NO",('Activity data'!AD17*EF!$H16)*kgtoGg)</f>
        <v>1.7544900600000002</v>
      </c>
      <c r="AE16" s="29">
        <f>IF(('Activity data'!AE17*EF!$H16)*kgtoGg=0,"NO",('Activity data'!AE17*EF!$H16)*kgtoGg)</f>
        <v>1.7489343600000002</v>
      </c>
      <c r="AF16" s="29">
        <f>IF(('Activity data'!AF17*EF!$H16)*kgtoGg=0,"NO",('Activity data'!AF17*EF!$H16)*kgtoGg)</f>
        <v>1.7356006800000003</v>
      </c>
      <c r="AG16" s="29">
        <f>IF(('Activity data'!AG17*EF!$H16)*kgtoGg=0,"NO",('Activity data'!AG17*EF!$H16)*kgtoGg)</f>
        <v>1.6922662200000003</v>
      </c>
      <c r="AH16" s="29">
        <f>IF(('Activity data'!AH17*EF!$H16)*kgtoGg=0,"NO",('Activity data'!AH17*EF!$H16)*kgtoGg)</f>
        <v>1.6800436800000003</v>
      </c>
      <c r="AI16" s="29">
        <f>IF(('Activity data'!AI17*EF!$H16)*kgtoGg=0,"NO",('Activity data'!AI17*EF!$H16)*kgtoGg)</f>
        <v>1.6455983400000003</v>
      </c>
      <c r="AJ16" s="29">
        <f>IF(('Activity data'!AJ17*EF!$H16)*kgtoGg=0,"NO",('Activity data'!AJ17*EF!$H16)*kgtoGg)</f>
        <v>1.7129632454795032</v>
      </c>
      <c r="AK16" s="29">
        <f>IF(('Activity data'!AK17*EF!$H16)*kgtoGg=0,"NO",('Activity data'!AK17*EF!$H16)*kgtoGg)</f>
        <v>1.7104456005627797</v>
      </c>
      <c r="AL16" s="29">
        <f>IF(('Activity data'!AL17*EF!$H16)*kgtoGg=0,"NO",('Activity data'!AL17*EF!$H16)*kgtoGg)</f>
        <v>1.7172154197887035</v>
      </c>
      <c r="AM16" s="29">
        <f>IF(('Activity data'!AM17*EF!$H16)*kgtoGg=0,"NO",('Activity data'!AM17*EF!$H16)*kgtoGg)</f>
        <v>1.7132921723919994</v>
      </c>
      <c r="AN16" s="29">
        <f>IF(('Activity data'!AN17*EF!$H16)*kgtoGg=0,"NO",('Activity data'!AN17*EF!$H16)*kgtoGg)</f>
        <v>1.7094633343950856</v>
      </c>
      <c r="AO16" s="29">
        <f>IF(('Activity data'!AO17*EF!$H16)*kgtoGg=0,"NO",('Activity data'!AO17*EF!$H16)*kgtoGg)</f>
        <v>1.70561330407759</v>
      </c>
      <c r="AP16" s="29">
        <f>IF(('Activity data'!AP17*EF!$H16)*kgtoGg=0,"NO",('Activity data'!AP17*EF!$H16)*kgtoGg)</f>
        <v>1.7018445470671679</v>
      </c>
      <c r="AQ16" s="29">
        <f>IF(('Activity data'!AQ17*EF!$H16)*kgtoGg=0,"NO",('Activity data'!AQ17*EF!$H16)*kgtoGg)</f>
        <v>1.6979815213618419</v>
      </c>
      <c r="AR16" s="29">
        <f>IF(('Activity data'!AR17*EF!$H16)*kgtoGg=0,"NO",('Activity data'!AR17*EF!$H16)*kgtoGg)</f>
        <v>1.6935571375659355</v>
      </c>
      <c r="AS16" s="29">
        <f>IF(('Activity data'!AS17*EF!$H16)*kgtoGg=0,"NO",('Activity data'!AS17*EF!$H16)*kgtoGg)</f>
        <v>1.6891577487303608</v>
      </c>
      <c r="AT16" s="29">
        <f>IF(('Activity data'!AT17*EF!$H16)*kgtoGg=0,"NO",('Activity data'!AT17*EF!$H16)*kgtoGg)</f>
        <v>1.6846307586019125</v>
      </c>
      <c r="AU16" s="29">
        <f>IF(('Activity data'!AU17*EF!$H16)*kgtoGg=0,"NO",('Activity data'!AU17*EF!$H16)*kgtoGg)</f>
        <v>1.6800090199676536</v>
      </c>
      <c r="AV16" s="29">
        <f>IF(('Activity data'!AV17*EF!$H16)*kgtoGg=0,"NO",('Activity data'!AV17*EF!$H16)*kgtoGg)</f>
        <v>1.6752838848887981</v>
      </c>
      <c r="AW16" s="29">
        <f>IF(('Activity data'!AW17*EF!$H16)*kgtoGg=0,"NO",('Activity data'!AW17*EF!$H16)*kgtoGg)</f>
        <v>1.6700090167631569</v>
      </c>
      <c r="AX16" s="29">
        <f>IF(('Activity data'!AX17*EF!$H16)*kgtoGg=0,"NO",('Activity data'!AX17*EF!$H16)*kgtoGg)</f>
        <v>1.6649041346003894</v>
      </c>
      <c r="AY16" s="29">
        <f>IF(('Activity data'!AY17*EF!$H16)*kgtoGg=0,"NO",('Activity data'!AY17*EF!$H16)*kgtoGg)</f>
        <v>1.6594158496324414</v>
      </c>
      <c r="AZ16" s="29">
        <f>IF(('Activity data'!AZ17*EF!$H16)*kgtoGg=0,"NO",('Activity data'!AZ17*EF!$H16)*kgtoGg)</f>
        <v>1.6536595327081931</v>
      </c>
      <c r="BA16" s="29">
        <f>IF(('Activity data'!BA17*EF!$H16)*kgtoGg=0,"NO",('Activity data'!BA17*EF!$H16)*kgtoGg)</f>
        <v>1.647620676764241</v>
      </c>
      <c r="BB16" s="29">
        <f>IF(('Activity data'!BB17*EF!$H16)*kgtoGg=0,"NO",('Activity data'!BB17*EF!$H16)*kgtoGg)</f>
        <v>1.6413876997407622</v>
      </c>
      <c r="BC16" s="29">
        <f>IF(('Activity data'!BC17*EF!$H16)*kgtoGg=0,"NO",('Activity data'!BC17*EF!$H16)*kgtoGg)</f>
        <v>1.6349603840144449</v>
      </c>
      <c r="BD16" s="29">
        <f>IF(('Activity data'!BD17*EF!$H16)*kgtoGg=0,"NO",('Activity data'!BD17*EF!$H16)*kgtoGg)</f>
        <v>1.6284608722789704</v>
      </c>
      <c r="BE16" s="29">
        <f>IF(('Activity data'!BE17*EF!$H16)*kgtoGg=0,"NO",('Activity data'!BE17*EF!$H16)*kgtoGg)</f>
        <v>1.6217651890404812</v>
      </c>
      <c r="BF16" s="29">
        <f>IF(('Activity data'!BF17*EF!$H16)*kgtoGg=0,"NO",('Activity data'!BF17*EF!$H16)*kgtoGg)</f>
        <v>1.6147635592616993</v>
      </c>
      <c r="BG16" s="29">
        <f>IF(('Activity data'!BG17*EF!$H16)*kgtoGg=0,"NO",('Activity data'!BG17*EF!$H16)*kgtoGg)</f>
        <v>1.6073025512976111</v>
      </c>
      <c r="BH16" s="29">
        <f>IF(('Activity data'!BH17*EF!$H16)*kgtoGg=0,"NO",('Activity data'!BH17*EF!$H16)*kgtoGg)</f>
        <v>1.5996066780444191</v>
      </c>
      <c r="BI16" s="29">
        <f>IF(('Activity data'!BI17*EF!$H16)*kgtoGg=0,"NO",('Activity data'!BI17*EF!$H16)*kgtoGg)</f>
        <v>1.5916893280555666</v>
      </c>
      <c r="BJ16" s="29">
        <f>IF(('Activity data'!BJ17*EF!$H16)*kgtoGg=0,"NO",('Activity data'!BJ17*EF!$H16)*kgtoGg)</f>
        <v>1.5835174537506729</v>
      </c>
      <c r="BK16" s="29">
        <f>IF(('Activity data'!BK17*EF!$H16)*kgtoGg=0,"NO",('Activity data'!BK17*EF!$H16)*kgtoGg)</f>
        <v>1.5749600300179616</v>
      </c>
      <c r="BL16" s="29">
        <f>IF(('Activity data'!BL17*EF!$H16)*kgtoGg=0,"NO",('Activity data'!BL17*EF!$H16)*kgtoGg)</f>
        <v>1.5661441319980001</v>
      </c>
      <c r="BM16" s="29">
        <f>IF(('Activity data'!BM17*EF!$H16)*kgtoGg=0,"NO",('Activity data'!BM17*EF!$H16)*kgtoGg)</f>
        <v>1.5569958024487449</v>
      </c>
      <c r="BN16" s="29">
        <f>IF(('Activity data'!BN17*EF!$H16)*kgtoGg=0,"NO",('Activity data'!BN17*EF!$H16)*kgtoGg)</f>
        <v>1.5477641106371898</v>
      </c>
      <c r="BO16" s="29">
        <f>IF(('Activity data'!BO17*EF!$H16)*kgtoGg=0,"NO",('Activity data'!BO17*EF!$H16)*kgtoGg)</f>
        <v>1.5381698584403991</v>
      </c>
      <c r="BP16" s="29">
        <f>IF(('Activity data'!BP17*EF!$H16)*kgtoGg=0,"NO",('Activity data'!BP17*EF!$H16)*kgtoGg)</f>
        <v>1.5281827906711438</v>
      </c>
    </row>
    <row r="17" spans="1:68" x14ac:dyDescent="0.25">
      <c r="A17" t="str">
        <f t="shared" si="1"/>
        <v>3A Livestock</v>
      </c>
      <c r="B17" t="str">
        <f t="shared" si="2"/>
        <v>3A1 Enteric fermentation (CH4)</v>
      </c>
      <c r="C17" t="str">
        <f>EF!C17</f>
        <v>3A1h Swine</v>
      </c>
      <c r="D17" t="str">
        <f>EF!D17</f>
        <v>Subsistence</v>
      </c>
      <c r="E17" t="str">
        <f t="shared" si="3"/>
        <v>Enteric fermentation Emissions</v>
      </c>
      <c r="F17" t="str">
        <f t="shared" si="4"/>
        <v>CH4</v>
      </c>
      <c r="G17" t="str">
        <f t="shared" si="5"/>
        <v>Gg CH4</v>
      </c>
      <c r="H17" s="29">
        <f>IF(('Activity data'!H18*EF!$H17)*kgtoGg=0,"NO",('Activity data'!H18*EF!$H17)*kgtoGg)</f>
        <v>0.22469223109375691</v>
      </c>
      <c r="I17" s="29">
        <f>IF(('Activity data'!I18*EF!$H17)*kgtoGg=0,"NO",('Activity data'!I18*EF!$H17)*kgtoGg)</f>
        <v>0.24548068554534469</v>
      </c>
      <c r="J17" s="29">
        <f>IF(('Activity data'!J18*EF!$H17)*kgtoGg=0,"NO",('Activity data'!J18*EF!$H17)*kgtoGg)</f>
        <v>0.24385889122642646</v>
      </c>
      <c r="K17" s="29">
        <f>IF(('Activity data'!K18*EF!$H17)*kgtoGg=0,"NO",('Activity data'!K18*EF!$H17)*kgtoGg)</f>
        <v>0.2437114553792521</v>
      </c>
      <c r="L17" s="29">
        <f>IF(('Activity data'!L18*EF!$H17)*kgtoGg=0,"NO",('Activity data'!L18*EF!$H17)*kgtoGg)</f>
        <v>0.23147428006377843</v>
      </c>
      <c r="M17" s="29">
        <f>IF(('Activity data'!M18*EF!$H17)*kgtoGg=0,"NO",('Activity data'!M18*EF!$H17)*kgtoGg)</f>
        <v>0.23368581777139416</v>
      </c>
      <c r="N17" s="29">
        <f>IF(('Activity data'!N18*EF!$H17)*kgtoGg=0,"NO",('Activity data'!N18*EF!$H17)*kgtoGg)</f>
        <v>0.25167299112666869</v>
      </c>
      <c r="O17" s="29">
        <f>IF(('Activity data'!O18*EF!$H17)*kgtoGg=0,"NO",('Activity data'!O18*EF!$H17)*kgtoGg)</f>
        <v>0.25049350434927364</v>
      </c>
      <c r="P17" s="29">
        <f>IF(('Activity data'!P18*EF!$H17)*kgtoGg=0,"NO",('Activity data'!P18*EF!$H17)*kgtoGg)</f>
        <v>0.25594863069472573</v>
      </c>
      <c r="Q17" s="29">
        <f>IF(('Activity data'!Q18*EF!$H17)*kgtoGg=0,"NO",('Activity data'!Q18*EF!$H17)*kgtoGg)</f>
        <v>0.2624358079703985</v>
      </c>
      <c r="R17" s="29">
        <f>IF(('Activity data'!R18*EF!$H17)*kgtoGg=0,"NO",('Activity data'!R18*EF!$H17)*kgtoGg)</f>
        <v>0.24282684029620583</v>
      </c>
      <c r="S17" s="29">
        <f>IF(('Activity data'!S18*EF!$H17)*kgtoGg=0,"NO",('Activity data'!S18*EF!$H17)*kgtoGg)</f>
        <v>0.24739735155861162</v>
      </c>
      <c r="T17" s="29">
        <f>IF(('Activity data'!T18*EF!$H17)*kgtoGg=0,"NO",('Activity data'!T18*EF!$H17)*kgtoGg)</f>
        <v>0.25211529866819182</v>
      </c>
      <c r="U17" s="29">
        <f>IF(('Activity data'!U18*EF!$H17)*kgtoGg=0,"NO",('Activity data'!U18*EF!$H17)*kgtoGg)</f>
        <v>0.24518581385099592</v>
      </c>
      <c r="V17" s="29">
        <f>IF(('Activity data'!V18*EF!$H17)*kgtoGg=0,"NO",('Activity data'!V18*EF!$H17)*kgtoGg)</f>
        <v>0.24518581385099592</v>
      </c>
      <c r="W17" s="29">
        <f>IF(('Activity data'!W18*EF!$H17)*kgtoGg=0,"NO",('Activity data'!W18*EF!$H17)*kgtoGg)</f>
        <v>0.24341658368490332</v>
      </c>
      <c r="X17" s="29">
        <f>IF(('Activity data'!X18*EF!$H17)*kgtoGg=0,"NO",('Activity data'!X18*EF!$H17)*kgtoGg)</f>
        <v>0.23914094411684628</v>
      </c>
      <c r="Y17" s="29">
        <f>IF(('Activity data'!Y18*EF!$H17)*kgtoGg=0,"NO",('Activity data'!Y18*EF!$H17)*kgtoGg)</f>
        <v>0.24341658368490332</v>
      </c>
      <c r="Z17" s="29">
        <f>IF(('Activity data'!Z18*EF!$H17)*kgtoGg=0,"NO",('Activity data'!Z18*EF!$H17)*kgtoGg)</f>
        <v>0.23810889318662562</v>
      </c>
      <c r="AA17" s="29">
        <f>IF(('Activity data'!AA18*EF!$H17)*kgtoGg=0,"NO",('Activity data'!AA18*EF!$H17)*kgtoGg)</f>
        <v>0.23781402149227684</v>
      </c>
      <c r="AB17" s="29">
        <f>IF(('Activity data'!AB18*EF!$H17)*kgtoGg=0,"NO",('Activity data'!AB18*EF!$H17)*kgtoGg)</f>
        <v>0.23501274039596362</v>
      </c>
      <c r="AC17" s="29">
        <f>IF(('Activity data'!AC18*EF!$H17)*kgtoGg=0,"NO",('Activity data'!AC18*EF!$H17)*kgtoGg)</f>
        <v>0.2335383819242198</v>
      </c>
      <c r="AD17" s="29">
        <f>IF(('Activity data'!AD18*EF!$H17)*kgtoGg=0,"NO",('Activity data'!AD18*EF!$H17)*kgtoGg)</f>
        <v>0.23280120268834792</v>
      </c>
      <c r="AE17" s="29">
        <f>IF(('Activity data'!AE18*EF!$H17)*kgtoGg=0,"NO",('Activity data'!AE18*EF!$H17)*kgtoGg)</f>
        <v>0.23206402345247598</v>
      </c>
      <c r="AF17" s="29">
        <f>IF(('Activity data'!AF18*EF!$H17)*kgtoGg=0,"NO",('Activity data'!AF18*EF!$H17)*kgtoGg)</f>
        <v>0.23029479328638344</v>
      </c>
      <c r="AG17" s="29">
        <f>IF(('Activity data'!AG18*EF!$H17)*kgtoGg=0,"NO",('Activity data'!AG18*EF!$H17)*kgtoGg)</f>
        <v>0.22454479524658255</v>
      </c>
      <c r="AH17" s="29">
        <f>IF(('Activity data'!AH18*EF!$H17)*kgtoGg=0,"NO",('Activity data'!AH18*EF!$H17)*kgtoGg)</f>
        <v>0.22292300092766437</v>
      </c>
      <c r="AI17" s="29">
        <f>IF(('Activity data'!AI18*EF!$H17)*kgtoGg=0,"NO",('Activity data'!AI18*EF!$H17)*kgtoGg)</f>
        <v>0.21835248966525855</v>
      </c>
      <c r="AJ17" s="29">
        <f>IF(('Activity data'!AJ18*EF!$H17)*kgtoGg=0,"NO",('Activity data'!AJ18*EF!$H17)*kgtoGg)</f>
        <v>0.22801516546288575</v>
      </c>
      <c r="AK17" s="29">
        <f>IF(('Activity data'!AK18*EF!$H17)*kgtoGg=0,"NO",('Activity data'!AK18*EF!$H17)*kgtoGg)</f>
        <v>0.22768003788570135</v>
      </c>
      <c r="AL17" s="29">
        <f>IF(('Activity data'!AL18*EF!$H17)*kgtoGg=0,"NO",('Activity data'!AL18*EF!$H17)*kgtoGg)</f>
        <v>0.22858117890844451</v>
      </c>
      <c r="AM17" s="29">
        <f>IF(('Activity data'!AM18*EF!$H17)*kgtoGg=0,"NO",('Activity data'!AM18*EF!$H17)*kgtoGg)</f>
        <v>0.22805894942881494</v>
      </c>
      <c r="AN17" s="29">
        <f>IF(('Activity data'!AN18*EF!$H17)*kgtoGg=0,"NO",('Activity data'!AN18*EF!$H17)*kgtoGg)</f>
        <v>0.22754928692922496</v>
      </c>
      <c r="AO17" s="29">
        <f>IF(('Activity data'!AO18*EF!$H17)*kgtoGg=0,"NO",('Activity data'!AO18*EF!$H17)*kgtoGg)</f>
        <v>0.22703680348733118</v>
      </c>
      <c r="AP17" s="29">
        <f>IF(('Activity data'!AP18*EF!$H17)*kgtoGg=0,"NO",('Activity data'!AP18*EF!$H17)*kgtoGg)</f>
        <v>0.22653513846002335</v>
      </c>
      <c r="AQ17" s="29">
        <f>IF(('Activity data'!AQ18*EF!$H17)*kgtoGg=0,"NO",('Activity data'!AQ18*EF!$H17)*kgtoGg)</f>
        <v>0.22602092518211925</v>
      </c>
      <c r="AR17" s="29">
        <f>IF(('Activity data'!AR18*EF!$H17)*kgtoGg=0,"NO",('Activity data'!AR18*EF!$H17)*kgtoGg)</f>
        <v>0.22543198866759842</v>
      </c>
      <c r="AS17" s="29">
        <f>IF(('Activity data'!AS18*EF!$H17)*kgtoGg=0,"NO",('Activity data'!AS18*EF!$H17)*kgtoGg)</f>
        <v>0.2248463792705922</v>
      </c>
      <c r="AT17" s="29">
        <f>IF(('Activity data'!AT18*EF!$H17)*kgtoGg=0,"NO",('Activity data'!AT18*EF!$H17)*kgtoGg)</f>
        <v>0.22424378466973835</v>
      </c>
      <c r="AU17" s="29">
        <f>IF(('Activity data'!AU18*EF!$H17)*kgtoGg=0,"NO",('Activity data'!AU18*EF!$H17)*kgtoGg)</f>
        <v>0.22362857794992241</v>
      </c>
      <c r="AV17" s="29">
        <f>IF(('Activity data'!AV18*EF!$H17)*kgtoGg=0,"NO",('Activity data'!AV18*EF!$H17)*kgtoGg)</f>
        <v>0.22299960797074569</v>
      </c>
      <c r="AW17" s="29">
        <f>IF(('Activity data'!AW18*EF!$H17)*kgtoGg=0,"NO",('Activity data'!AW18*EF!$H17)*kgtoGg)</f>
        <v>0.22229746218236576</v>
      </c>
      <c r="AX17" s="29">
        <f>IF(('Activity data'!AX18*EF!$H17)*kgtoGg=0,"NO",('Activity data'!AX18*EF!$H17)*kgtoGg)</f>
        <v>0.22161794348627953</v>
      </c>
      <c r="AY17" s="29">
        <f>IF(('Activity data'!AY18*EF!$H17)*kgtoGg=0,"NO",('Activity data'!AY18*EF!$H17)*kgtoGg)</f>
        <v>0.22088738945461736</v>
      </c>
      <c r="AZ17" s="29">
        <f>IF(('Activity data'!AZ18*EF!$H17)*kgtoGg=0,"NO",('Activity data'!AZ18*EF!$H17)*kgtoGg)</f>
        <v>0.22012115727806422</v>
      </c>
      <c r="BA17" s="29">
        <f>IF(('Activity data'!BA18*EF!$H17)*kgtoGg=0,"NO",('Activity data'!BA18*EF!$H17)*kgtoGg)</f>
        <v>0.21931731589915515</v>
      </c>
      <c r="BB17" s="29">
        <f>IF(('Activity data'!BB18*EF!$H17)*kgtoGg=0,"NO",('Activity data'!BB18*EF!$H17)*kgtoGg)</f>
        <v>0.21848763476554911</v>
      </c>
      <c r="BC17" s="29">
        <f>IF(('Activity data'!BC18*EF!$H17)*kgtoGg=0,"NO",('Activity data'!BC18*EF!$H17)*kgtoGg)</f>
        <v>0.21763208490907324</v>
      </c>
      <c r="BD17" s="29">
        <f>IF(('Activity data'!BD18*EF!$H17)*kgtoGg=0,"NO",('Activity data'!BD18*EF!$H17)*kgtoGg)</f>
        <v>0.21676692493106253</v>
      </c>
      <c r="BE17" s="29">
        <f>IF(('Activity data'!BE18*EF!$H17)*kgtoGg=0,"NO",('Activity data'!BE18*EF!$H17)*kgtoGg)</f>
        <v>0.21587565226333888</v>
      </c>
      <c r="BF17" s="29">
        <f>IF(('Activity data'!BF18*EF!$H17)*kgtoGg=0,"NO",('Activity data'!BF18*EF!$H17)*kgtoGg)</f>
        <v>0.21494365458228415</v>
      </c>
      <c r="BG17" s="29">
        <f>IF(('Activity data'!BG18*EF!$H17)*kgtoGg=0,"NO",('Activity data'!BG18*EF!$H17)*kgtoGg)</f>
        <v>0.21395050836625118</v>
      </c>
      <c r="BH17" s="29">
        <f>IF(('Activity data'!BH18*EF!$H17)*kgtoGg=0,"NO",('Activity data'!BH18*EF!$H17)*kgtoGg)</f>
        <v>0.21292609887127881</v>
      </c>
      <c r="BI17" s="29">
        <f>IF(('Activity data'!BI18*EF!$H17)*kgtoGg=0,"NO",('Activity data'!BI18*EF!$H17)*kgtoGg)</f>
        <v>0.21187220826825509</v>
      </c>
      <c r="BJ17" s="29">
        <f>IF(('Activity data'!BJ18*EF!$H17)*kgtoGg=0,"NO",('Activity data'!BJ18*EF!$H17)*kgtoGg)</f>
        <v>0.21078443754305742</v>
      </c>
      <c r="BK17" s="29">
        <f>IF(('Activity data'!BK18*EF!$H17)*kgtoGg=0,"NO",('Activity data'!BK18*EF!$H17)*kgtoGg)</f>
        <v>0.20964534574205151</v>
      </c>
      <c r="BL17" s="29">
        <f>IF(('Activity data'!BL18*EF!$H17)*kgtoGg=0,"NO",('Activity data'!BL18*EF!$H17)*kgtoGg)</f>
        <v>0.2084718480321443</v>
      </c>
      <c r="BM17" s="29">
        <f>IF(('Activity data'!BM18*EF!$H17)*kgtoGg=0,"NO",('Activity data'!BM18*EF!$H17)*kgtoGg)</f>
        <v>0.20725409985138951</v>
      </c>
      <c r="BN17" s="29">
        <f>IF(('Activity data'!BN18*EF!$H17)*kgtoGg=0,"NO",('Activity data'!BN18*EF!$H17)*kgtoGg)</f>
        <v>0.20602525519201398</v>
      </c>
      <c r="BO17" s="29">
        <f>IF(('Activity data'!BO18*EF!$H17)*kgtoGg=0,"NO",('Activity data'!BO18*EF!$H17)*kgtoGg)</f>
        <v>0.20474814956355578</v>
      </c>
      <c r="BP17" s="29">
        <f>IF(('Activity data'!BP18*EF!$H17)*kgtoGg=0,"NO",('Activity data'!BP18*EF!$H17)*kgtoGg)</f>
        <v>0.20341875565162842</v>
      </c>
    </row>
    <row r="18" spans="1:68" x14ac:dyDescent="0.25">
      <c r="A18" t="str">
        <f t="shared" si="1"/>
        <v>3A Livestock</v>
      </c>
      <c r="B18" t="str">
        <f>'IPCC Categories'!B12</f>
        <v>3A2 Manure management (CH4)</v>
      </c>
      <c r="C18" t="str">
        <f>EF!C18</f>
        <v>3A1ai Dairy cattle</v>
      </c>
      <c r="D18" t="str">
        <f>EF!D18</f>
        <v>TMR</v>
      </c>
      <c r="E18" t="str">
        <f>'IPCC Categories'!F6&amp;" Emissions"</f>
        <v>Manure management Emissions</v>
      </c>
      <c r="F18" t="str">
        <f t="shared" si="4"/>
        <v>CH4</v>
      </c>
      <c r="G18" t="str">
        <f t="shared" si="5"/>
        <v>Gg CH4</v>
      </c>
      <c r="H18" s="29">
        <f>IF(('Activity data'!H5*EF!$H18)*kgtoGg=0,"NO",('Activity data'!H5*EF!$H18)*kgtoGg)</f>
        <v>6.0766424349879422</v>
      </c>
      <c r="I18" s="29">
        <f>IF(('Activity data'!I5*EF!$H18)*kgtoGg=0,"NO",('Activity data'!I5*EF!$H18)*kgtoGg)</f>
        <v>6.9957938304816798</v>
      </c>
      <c r="J18" s="29">
        <f>IF(('Activity data'!J5*EF!$H18)*kgtoGg=0,"NO",('Activity data'!J5*EF!$H18)*kgtoGg)</f>
        <v>6.0522668467284246</v>
      </c>
      <c r="K18" s="29">
        <f>IF(('Activity data'!K5*EF!$H18)*kgtoGg=0,"NO",('Activity data'!K5*EF!$H18)*kgtoGg)</f>
        <v>6.4189962026778016</v>
      </c>
      <c r="L18" s="29">
        <f>IF(('Activity data'!L5*EF!$H18)*kgtoGg=0,"NO",('Activity data'!L5*EF!$H18)*kgtoGg)</f>
        <v>5.9547644936903517</v>
      </c>
      <c r="M18" s="29">
        <f>IF(('Activity data'!M5*EF!$H18)*kgtoGg=0,"NO",('Activity data'!M5*EF!$H18)*kgtoGg)</f>
        <v>6.3702450261587664</v>
      </c>
      <c r="N18" s="29">
        <f>IF(('Activity data'!N5*EF!$H18)*kgtoGg=0,"NO",('Activity data'!N5*EF!$H18)*kgtoGg)</f>
        <v>6.3946206144182849</v>
      </c>
      <c r="O18" s="29">
        <f>IF(('Activity data'!O5*EF!$H18)*kgtoGg=0,"NO",('Activity data'!O5*EF!$H18)*kgtoGg)</f>
        <v>6.1648327655448512</v>
      </c>
      <c r="P18" s="29">
        <f>IF(('Activity data'!P5*EF!$H18)*kgtoGg=0,"NO",('Activity data'!P5*EF!$H18)*kgtoGg)</f>
        <v>6.0917060007662966</v>
      </c>
      <c r="Q18" s="29">
        <f>IF(('Activity data'!Q5*EF!$H18)*kgtoGg=0,"NO",('Activity data'!Q5*EF!$H18)*kgtoGg)</f>
        <v>5.9837960931904526</v>
      </c>
      <c r="R18" s="29">
        <f>IF(('Activity data'!R5*EF!$H18)*kgtoGg=0,"NO",('Activity data'!R5*EF!$H18)*kgtoGg)</f>
        <v>7.7048769541209179</v>
      </c>
      <c r="S18" s="29">
        <f>IF(('Activity data'!S5*EF!$H18)*kgtoGg=0,"NO",('Activity data'!S5*EF!$H18)*kgtoGg)</f>
        <v>7.6805013658613994</v>
      </c>
      <c r="T18" s="29">
        <f>IF(('Activity data'!T5*EF!$H18)*kgtoGg=0,"NO",('Activity data'!T5*EF!$H18)*kgtoGg)</f>
        <v>6.697535228070274</v>
      </c>
      <c r="U18" s="29">
        <f>IF(('Activity data'!U5*EF!$H18)*kgtoGg=0,"NO",('Activity data'!U5*EF!$H18)*kgtoGg)</f>
        <v>6.0917060007662966</v>
      </c>
      <c r="V18" s="29">
        <f>IF(('Activity data'!V5*EF!$H18)*kgtoGg=0,"NO",('Activity data'!V5*EF!$H18)*kgtoGg)</f>
        <v>5.881637728911798</v>
      </c>
      <c r="W18" s="29">
        <f>IF(('Activity data'!W5*EF!$H18)*kgtoGg=0,"NO",('Activity data'!W5*EF!$H18)*kgtoGg)</f>
        <v>6.2971182613802119</v>
      </c>
      <c r="X18" s="29">
        <f>IF(('Activity data'!X5*EF!$H18)*kgtoGg=0,"NO",('Activity data'!X5*EF!$H18)*kgtoGg)</f>
        <v>6.1601767543042687</v>
      </c>
      <c r="Y18" s="29">
        <f>IF(('Activity data'!Y5*EF!$H18)*kgtoGg=0,"NO",('Activity data'!Y5*EF!$H18)*kgtoGg)</f>
        <v>6.1160815890258151</v>
      </c>
      <c r="Z18" s="29">
        <f>IF(('Activity data'!Z5*EF!$H18)*kgtoGg=0,"NO",('Activity data'!Z5*EF!$H18)*kgtoGg)</f>
        <v>7.4901526710258377</v>
      </c>
      <c r="AA18" s="29">
        <f>IF(('Activity data'!AA5*EF!$H18)*kgtoGg=0,"NO",('Activity data'!AA5*EF!$H18)*kgtoGg)</f>
        <v>7.6758453546208179</v>
      </c>
      <c r="AB18" s="29">
        <f>IF(('Activity data'!AB5*EF!$H18)*kgtoGg=0,"NO",('Activity data'!AB5*EF!$H18)*kgtoGg)</f>
        <v>7.6758453546208179</v>
      </c>
      <c r="AC18" s="29">
        <f>IF(('Activity data'!AC5*EF!$H18)*kgtoGg=0,"NO",('Activity data'!AC5*EF!$H18)*kgtoGg)</f>
        <v>7.3973063292283463</v>
      </c>
      <c r="AD18" s="29">
        <f>IF(('Activity data'!AD5*EF!$H18)*kgtoGg=0,"NO",('Activity data'!AD5*EF!$H18)*kgtoGg)</f>
        <v>7.123423315076459</v>
      </c>
      <c r="AE18" s="29">
        <f>IF(('Activity data'!AE5*EF!$H18)*kgtoGg=0,"NO",('Activity data'!AE5*EF!$H18)*kgtoGg)</f>
        <v>7.6805013658613994</v>
      </c>
      <c r="AF18" s="29">
        <f>IF(('Activity data'!AF5*EF!$H18)*kgtoGg=0,"NO",('Activity data'!AF5*EF!$H18)*kgtoGg)</f>
        <v>7.2603648221524031</v>
      </c>
      <c r="AG18" s="29">
        <f>IF(('Activity data'!AG5*EF!$H18)*kgtoGg=0,"NO",('Activity data'!AG5*EF!$H18)*kgtoGg)</f>
        <v>7.3485551527093111</v>
      </c>
      <c r="AH18" s="29">
        <f>IF(('Activity data'!AH5*EF!$H18)*kgtoGg=0,"NO",('Activity data'!AH5*EF!$H18)*kgtoGg)</f>
        <v>7.6224381668612002</v>
      </c>
      <c r="AI18" s="29">
        <f>IF(('Activity data'!AI5*EF!$H18)*kgtoGg=0,"NO",('Activity data'!AI5*EF!$H18)*kgtoGg)</f>
        <v>8.1992357946650767</v>
      </c>
      <c r="AJ18" s="29">
        <f>IF(('Activity data'!AJ5*EF!$H18)*kgtoGg=0,"NO",('Activity data'!AJ5*EF!$H18)*kgtoGg)</f>
        <v>7.4842301550068564</v>
      </c>
      <c r="AK18" s="29">
        <f>IF(('Activity data'!AK5*EF!$H18)*kgtoGg=0,"NO",('Activity data'!AK5*EF!$H18)*kgtoGg)</f>
        <v>7.5107478597412491</v>
      </c>
      <c r="AL18" s="29">
        <f>IF(('Activity data'!AL5*EF!$H18)*kgtoGg=0,"NO",('Activity data'!AL5*EF!$H18)*kgtoGg)</f>
        <v>7.4958931074578743</v>
      </c>
      <c r="AM18" s="29">
        <f>IF(('Activity data'!AM5*EF!$H18)*kgtoGg=0,"NO",('Activity data'!AM5*EF!$H18)*kgtoGg)</f>
        <v>7.528880521991522</v>
      </c>
      <c r="AN18" s="29">
        <f>IF(('Activity data'!AN5*EF!$H18)*kgtoGg=0,"NO",('Activity data'!AN5*EF!$H18)*kgtoGg)</f>
        <v>7.5614473748482762</v>
      </c>
      <c r="AO18" s="29">
        <f>IF(('Activity data'!AO5*EF!$H18)*kgtoGg=0,"NO",('Activity data'!AO5*EF!$H18)*kgtoGg)</f>
        <v>7.5941086322011238</v>
      </c>
      <c r="AP18" s="29">
        <f>IF(('Activity data'!AP5*EF!$H18)*kgtoGg=0,"NO",('Activity data'!AP5*EF!$H18)*kgtoGg)</f>
        <v>7.6264078449364145</v>
      </c>
      <c r="AQ18" s="29">
        <f>IF(('Activity data'!AQ5*EF!$H18)*kgtoGg=0,"NO",('Activity data'!AQ5*EF!$H18)*kgtoGg)</f>
        <v>7.6591269925567458</v>
      </c>
      <c r="AR18" s="29">
        <f>IF(('Activity data'!AR5*EF!$H18)*kgtoGg=0,"NO",('Activity data'!AR5*EF!$H18)*kgtoGg)</f>
        <v>7.6956402763645473</v>
      </c>
      <c r="AS18" s="29">
        <f>IF(('Activity data'!AS5*EF!$H18)*kgtoGg=0,"NO",('Activity data'!AS5*EF!$H18)*kgtoGg)</f>
        <v>7.7320422162246203</v>
      </c>
      <c r="AT18" s="29">
        <f>IF(('Activity data'!AT5*EF!$H18)*kgtoGg=0,"NO",('Activity data'!AT5*EF!$H18)*kgtoGg)</f>
        <v>7.7690125759379285</v>
      </c>
      <c r="AU18" s="29">
        <f>IF(('Activity data'!AU5*EF!$H18)*kgtoGg=0,"NO",('Activity data'!AU5*EF!$H18)*kgtoGg)</f>
        <v>7.806405007642458</v>
      </c>
      <c r="AV18" s="29">
        <f>IF(('Activity data'!AV5*EF!$H18)*kgtoGg=0,"NO",('Activity data'!AV5*EF!$H18)*kgtoGg)</f>
        <v>7.8442580349298288</v>
      </c>
      <c r="AW18" s="29">
        <f>IF(('Activity data'!AW5*EF!$H18)*kgtoGg=0,"NO",('Activity data'!AW5*EF!$H18)*kgtoGg)</f>
        <v>7.8839894297070465</v>
      </c>
      <c r="AX18" s="29">
        <f>IF(('Activity data'!AX5*EF!$H18)*kgtoGg=0,"NO",('Activity data'!AX5*EF!$H18)*kgtoGg)</f>
        <v>7.9229635952240827</v>
      </c>
      <c r="AY18" s="29">
        <f>IF(('Activity data'!AY5*EF!$H18)*kgtoGg=0,"NO",('Activity data'!AY5*EF!$H18)*kgtoGg)</f>
        <v>7.9636456885988531</v>
      </c>
      <c r="AZ18" s="29">
        <f>IF(('Activity data'!AZ5*EF!$H18)*kgtoGg=0,"NO",('Activity data'!AZ5*EF!$H18)*kgtoGg)</f>
        <v>8.005521771825105</v>
      </c>
      <c r="BA18" s="29">
        <f>IF(('Activity data'!BA5*EF!$H18)*kgtoGg=0,"NO",('Activity data'!BA5*EF!$H18)*kgtoGg)</f>
        <v>8.048656469164861</v>
      </c>
      <c r="BB18" s="29">
        <f>IF(('Activity data'!BB5*EF!$H18)*kgtoGg=0,"NO",('Activity data'!BB5*EF!$H18)*kgtoGg)</f>
        <v>8.0932941309899391</v>
      </c>
      <c r="BC18" s="29">
        <f>IF(('Activity data'!BC5*EF!$H18)*kgtoGg=0,"NO",('Activity data'!BC5*EF!$H18)*kgtoGg)</f>
        <v>8.1387975048658632</v>
      </c>
      <c r="BD18" s="29">
        <f>IF(('Activity data'!BD5*EF!$H18)*kgtoGg=0,"NO",('Activity data'!BD5*EF!$H18)*kgtoGg)</f>
        <v>8.1846224868342414</v>
      </c>
      <c r="BE18" s="29">
        <f>IF(('Activity data'!BE5*EF!$H18)*kgtoGg=0,"NO",('Activity data'!BE5*EF!$H18)*kgtoGg)</f>
        <v>8.2313213456338996</v>
      </c>
      <c r="BF18" s="29">
        <f>IF(('Activity data'!BF5*EF!$H18)*kgtoGg=0,"NO",('Activity data'!BF5*EF!$H18)*kgtoGg)</f>
        <v>8.2793830909969532</v>
      </c>
      <c r="BG18" s="29">
        <f>IF(('Activity data'!BG5*EF!$H18)*kgtoGg=0,"NO",('Activity data'!BG5*EF!$H18)*kgtoGg)</f>
        <v>8.3318790594286991</v>
      </c>
      <c r="BH18" s="29">
        <f>IF(('Activity data'!BH5*EF!$H18)*kgtoGg=0,"NO",('Activity data'!BH5*EF!$H18)*kgtoGg)</f>
        <v>8.3854212716219436</v>
      </c>
      <c r="BI18" s="29">
        <f>IF(('Activity data'!BI5*EF!$H18)*kgtoGg=0,"NO",('Activity data'!BI5*EF!$H18)*kgtoGg)</f>
        <v>8.4399500867505886</v>
      </c>
      <c r="BJ18" s="29">
        <f>IF(('Activity data'!BJ5*EF!$H18)*kgtoGg=0,"NO",('Activity data'!BJ5*EF!$H18)*kgtoGg)</f>
        <v>8.4956127201275375</v>
      </c>
      <c r="BK18" s="29">
        <f>IF(('Activity data'!BK5*EF!$H18)*kgtoGg=0,"NO",('Activity data'!BK5*EF!$H18)*kgtoGg)</f>
        <v>8.5529928435411193</v>
      </c>
      <c r="BL18" s="29">
        <f>IF(('Activity data'!BL5*EF!$H18)*kgtoGg=0,"NO",('Activity data'!BL5*EF!$H18)*kgtoGg)</f>
        <v>8.6108446245580339</v>
      </c>
      <c r="BM18" s="29">
        <f>IF(('Activity data'!BM5*EF!$H18)*kgtoGg=0,"NO",('Activity data'!BM5*EF!$H18)*kgtoGg)</f>
        <v>8.6701772736510776</v>
      </c>
      <c r="BN18" s="29">
        <f>IF(('Activity data'!BN5*EF!$H18)*kgtoGg=0,"NO",('Activity data'!BN5*EF!$H18)*kgtoGg)</f>
        <v>8.7298812732247235</v>
      </c>
      <c r="BO18" s="29">
        <f>IF(('Activity data'!BO5*EF!$H18)*kgtoGg=0,"NO",('Activity data'!BO5*EF!$H18)*kgtoGg)</f>
        <v>8.7912003542743324</v>
      </c>
      <c r="BP18" s="29">
        <f>IF(('Activity data'!BP5*EF!$H18)*kgtoGg=0,"NO",('Activity data'!BP5*EF!$H18)*kgtoGg)</f>
        <v>8.8542692935347613</v>
      </c>
    </row>
    <row r="19" spans="1:68" x14ac:dyDescent="0.25">
      <c r="A19" t="str">
        <f t="shared" si="1"/>
        <v>3A Livestock</v>
      </c>
      <c r="B19" t="str">
        <f>B18</f>
        <v>3A2 Manure management (CH4)</v>
      </c>
      <c r="C19" t="str">
        <f>EF!C19</f>
        <v>3A1ai Dairy cattle</v>
      </c>
      <c r="D19" t="str">
        <f>EF!D19</f>
        <v>Pasture</v>
      </c>
      <c r="E19" t="str">
        <f>E18</f>
        <v>Manure management Emissions</v>
      </c>
      <c r="F19" t="str">
        <f t="shared" ref="F19:F35" si="6">F18</f>
        <v>CH4</v>
      </c>
      <c r="G19" t="str">
        <f t="shared" ref="G19:G35" si="7">G18</f>
        <v>Gg CH4</v>
      </c>
      <c r="H19" s="29">
        <f>IF(('Activity data'!H6*EF!$H19)*kgtoGg=0,"NO",('Activity data'!H6*EF!$H19)*kgtoGg)</f>
        <v>1.7124372347402925</v>
      </c>
      <c r="I19" s="29">
        <f>IF(('Activity data'!I6*EF!$H19)*kgtoGg=0,"NO",('Activity data'!I6*EF!$H19)*kgtoGg)</f>
        <v>1.9714600571042187</v>
      </c>
      <c r="J19" s="29">
        <f>IF(('Activity data'!J6*EF!$H19)*kgtoGg=0,"NO",('Activity data'!J6*EF!$H19)*kgtoGg)</f>
        <v>1.7055680359350514</v>
      </c>
      <c r="K19" s="29">
        <f>IF(('Activity data'!K6*EF!$H19)*kgtoGg=0,"NO",('Activity data'!K6*EF!$H19)*kgtoGg)</f>
        <v>1.8089147460498598</v>
      </c>
      <c r="L19" s="29">
        <f>IF(('Activity data'!L6*EF!$H19)*kgtoGg=0,"NO",('Activity data'!L6*EF!$H19)*kgtoGg)</f>
        <v>1.6780912407140869</v>
      </c>
      <c r="M19" s="29">
        <f>IF(('Activity data'!M6*EF!$H19)*kgtoGg=0,"NO",('Activity data'!M6*EF!$H19)*kgtoGg)</f>
        <v>1.7951763484393775</v>
      </c>
      <c r="N19" s="29">
        <f>IF(('Activity data'!N6*EF!$H19)*kgtoGg=0,"NO",('Activity data'!N6*EF!$H19)*kgtoGg)</f>
        <v>1.8020455472446186</v>
      </c>
      <c r="O19" s="29">
        <f>IF(('Activity data'!O6*EF!$H19)*kgtoGg=0,"NO",('Activity data'!O6*EF!$H19)*kgtoGg)</f>
        <v>1.7372898416536373</v>
      </c>
      <c r="P19" s="29">
        <f>IF(('Activity data'!P6*EF!$H19)*kgtoGg=0,"NO",('Activity data'!P6*EF!$H19)*kgtoGg)</f>
        <v>1.7166822452379138</v>
      </c>
      <c r="Q19" s="29">
        <f>IF(('Activity data'!Q6*EF!$H19)*kgtoGg=0,"NO",('Activity data'!Q6*EF!$H19)*kgtoGg)</f>
        <v>1.6862725336731379</v>
      </c>
      <c r="R19" s="29">
        <f>IF(('Activity data'!R6*EF!$H19)*kgtoGg=0,"NO",('Activity data'!R6*EF!$H19)*kgtoGg)</f>
        <v>2.1712842785285944</v>
      </c>
      <c r="S19" s="29">
        <f>IF(('Activity data'!S6*EF!$H19)*kgtoGg=0,"NO",('Activity data'!S6*EF!$H19)*kgtoGg)</f>
        <v>2.1644150797233528</v>
      </c>
      <c r="T19" s="29">
        <f>IF(('Activity data'!T6*EF!$H19)*kgtoGg=0,"NO",('Activity data'!T6*EF!$H19)*kgtoGg)</f>
        <v>1.8874088492513235</v>
      </c>
      <c r="U19" s="29">
        <f>IF(('Activity data'!U6*EF!$H19)*kgtoGg=0,"NO",('Activity data'!U6*EF!$H19)*kgtoGg)</f>
        <v>1.7166822452379138</v>
      </c>
      <c r="V19" s="29">
        <f>IF(('Activity data'!V6*EF!$H19)*kgtoGg=0,"NO",('Activity data'!V6*EF!$H19)*kgtoGg)</f>
        <v>1.6574836442983631</v>
      </c>
      <c r="W19" s="29">
        <f>IF(('Activity data'!W6*EF!$H19)*kgtoGg=0,"NO",('Activity data'!W6*EF!$H19)*kgtoGg)</f>
        <v>1.7745687520236539</v>
      </c>
      <c r="X19" s="29">
        <f>IF(('Activity data'!X6*EF!$H19)*kgtoGg=0,"NO",('Activity data'!X6*EF!$H19)*kgtoGg)</f>
        <v>1.735977747499827</v>
      </c>
      <c r="Y19" s="29">
        <f>IF(('Activity data'!Y6*EF!$H19)*kgtoGg=0,"NO",('Activity data'!Y6*EF!$H19)*kgtoGg)</f>
        <v>1.723551444043155</v>
      </c>
      <c r="Z19" s="29">
        <f>IF(('Activity data'!Z6*EF!$H19)*kgtoGg=0,"NO",('Activity data'!Z6*EF!$H19)*kgtoGg)</f>
        <v>2.1107735834352335</v>
      </c>
      <c r="AA19" s="29">
        <f>IF(('Activity data'!AA6*EF!$H19)*kgtoGg=0,"NO",('Activity data'!AA6*EF!$H19)*kgtoGg)</f>
        <v>2.1631029855695427</v>
      </c>
      <c r="AB19" s="29">
        <f>IF(('Activity data'!AB6*EF!$H19)*kgtoGg=0,"NO",('Activity data'!AB6*EF!$H19)*kgtoGg)</f>
        <v>2.1631029855695427</v>
      </c>
      <c r="AC19" s="29">
        <f>IF(('Activity data'!AC6*EF!$H19)*kgtoGg=0,"NO",('Activity data'!AC6*EF!$H19)*kgtoGg)</f>
        <v>2.0846088823680784</v>
      </c>
      <c r="AD19" s="29">
        <f>IF(('Activity data'!AD6*EF!$H19)*kgtoGg=0,"NO",('Activity data'!AD6*EF!$H19)*kgtoGg)</f>
        <v>2.0074268733204255</v>
      </c>
      <c r="AE19" s="29">
        <f>IF(('Activity data'!AE6*EF!$H19)*kgtoGg=0,"NO",('Activity data'!AE6*EF!$H19)*kgtoGg)</f>
        <v>2.1644150797233528</v>
      </c>
      <c r="AF19" s="29">
        <f>IF(('Activity data'!AF6*EF!$H19)*kgtoGg=0,"NO",('Activity data'!AF6*EF!$H19)*kgtoGg)</f>
        <v>2.0460178778442519</v>
      </c>
      <c r="AG19" s="29">
        <f>IF(('Activity data'!AG6*EF!$H19)*kgtoGg=0,"NO",('Activity data'!AG6*EF!$H19)*kgtoGg)</f>
        <v>2.0708704847575965</v>
      </c>
      <c r="AH19" s="29">
        <f>IF(('Activity data'!AH6*EF!$H19)*kgtoGg=0,"NO",('Activity data'!AH6*EF!$H19)*kgtoGg)</f>
        <v>2.1480524938052499</v>
      </c>
      <c r="AI19" s="29">
        <f>IF(('Activity data'!AI6*EF!$H19)*kgtoGg=0,"NO",('Activity data'!AI6*EF!$H19)*kgtoGg)</f>
        <v>2.3105978048596088</v>
      </c>
      <c r="AJ19" s="29">
        <f>IF(('Activity data'!AJ6*EF!$H19)*kgtoGg=0,"NO",('Activity data'!AJ6*EF!$H19)*kgtoGg)</f>
        <v>2.1055756822323168</v>
      </c>
      <c r="AK19" s="29">
        <f>IF(('Activity data'!AK6*EF!$H19)*kgtoGg=0,"NO",('Activity data'!AK6*EF!$H19)*kgtoGg)</f>
        <v>2.1130360399552823</v>
      </c>
      <c r="AL19" s="29">
        <f>IF(('Activity data'!AL6*EF!$H19)*kgtoGg=0,"NO",('Activity data'!AL6*EF!$H19)*kgtoGg)</f>
        <v>2.1088568786353252</v>
      </c>
      <c r="AM19" s="29">
        <f>IF(('Activity data'!AM6*EF!$H19)*kgtoGg=0,"NO",('Activity data'!AM6*EF!$H19)*kgtoGg)</f>
        <v>2.118137391984491</v>
      </c>
      <c r="AN19" s="29">
        <f>IF(('Activity data'!AN6*EF!$H19)*kgtoGg=0,"NO",('Activity data'!AN6*EF!$H19)*kgtoGg)</f>
        <v>2.1272995866259987</v>
      </c>
      <c r="AO19" s="29">
        <f>IF(('Activity data'!AO6*EF!$H19)*kgtoGg=0,"NO",('Activity data'!AO6*EF!$H19)*kgtoGg)</f>
        <v>2.1364883405537869</v>
      </c>
      <c r="AP19" s="29">
        <f>IF(('Activity data'!AP6*EF!$H19)*kgtoGg=0,"NO",('Activity data'!AP6*EF!$H19)*kgtoGg)</f>
        <v>2.1455752386691764</v>
      </c>
      <c r="AQ19" s="29">
        <f>IF(('Activity data'!AQ6*EF!$H19)*kgtoGg=0,"NO",('Activity data'!AQ6*EF!$H19)*kgtoGg)</f>
        <v>2.1547802791537549</v>
      </c>
      <c r="AR19" s="29">
        <f>IF(('Activity data'!AR6*EF!$H19)*kgtoGg=0,"NO",('Activity data'!AR6*EF!$H19)*kgtoGg)</f>
        <v>2.165052742836973</v>
      </c>
      <c r="AS19" s="29">
        <f>IF(('Activity data'!AS6*EF!$H19)*kgtoGg=0,"NO",('Activity data'!AS6*EF!$H19)*kgtoGg)</f>
        <v>2.1752938815737584</v>
      </c>
      <c r="AT19" s="29">
        <f>IF(('Activity data'!AT6*EF!$H19)*kgtoGg=0,"NO",('Activity data'!AT6*EF!$H19)*kgtoGg)</f>
        <v>2.185694936694123</v>
      </c>
      <c r="AU19" s="29">
        <f>IF(('Activity data'!AU6*EF!$H19)*kgtoGg=0,"NO",('Activity data'!AU6*EF!$H19)*kgtoGg)</f>
        <v>2.1962147354263841</v>
      </c>
      <c r="AV19" s="29">
        <f>IF(('Activity data'!AV6*EF!$H19)*kgtoGg=0,"NO",('Activity data'!AV6*EF!$H19)*kgtoGg)</f>
        <v>2.206864115804116</v>
      </c>
      <c r="AW19" s="29">
        <f>IF(('Activity data'!AW6*EF!$H19)*kgtoGg=0,"NO",('Activity data'!AW6*EF!$H19)*kgtoGg)</f>
        <v>2.2180419466472943</v>
      </c>
      <c r="AX19" s="29">
        <f>IF(('Activity data'!AX6*EF!$H19)*kgtoGg=0,"NO",('Activity data'!AX6*EF!$H19)*kgtoGg)</f>
        <v>2.2290067424176483</v>
      </c>
      <c r="AY19" s="29">
        <f>IF(('Activity data'!AY6*EF!$H19)*kgtoGg=0,"NO",('Activity data'!AY6*EF!$H19)*kgtoGg)</f>
        <v>2.2404520380242925</v>
      </c>
      <c r="AZ19" s="29">
        <f>IF(('Activity data'!AZ6*EF!$H19)*kgtoGg=0,"NO",('Activity data'!AZ6*EF!$H19)*kgtoGg)</f>
        <v>2.2522332447325542</v>
      </c>
      <c r="BA19" s="29">
        <f>IF(('Activity data'!BA6*EF!$H19)*kgtoGg=0,"NO",('Activity data'!BA6*EF!$H19)*kgtoGg)</f>
        <v>2.2643685436073859</v>
      </c>
      <c r="BB19" s="29">
        <f>IF(('Activity data'!BB6*EF!$H19)*kgtoGg=0,"NO",('Activity data'!BB6*EF!$H19)*kgtoGg)</f>
        <v>2.2769266789538407</v>
      </c>
      <c r="BC19" s="29">
        <f>IF(('Activity data'!BC6*EF!$H19)*kgtoGg=0,"NO",('Activity data'!BC6*EF!$H19)*kgtoGg)</f>
        <v>2.2897283693760104</v>
      </c>
      <c r="BD19" s="29">
        <f>IF(('Activity data'!BD6*EF!$H19)*kgtoGg=0,"NO",('Activity data'!BD6*EF!$H19)*kgtoGg)</f>
        <v>2.3026205394019157</v>
      </c>
      <c r="BE19" s="29">
        <f>IF(('Activity data'!BE6*EF!$H19)*kgtoGg=0,"NO",('Activity data'!BE6*EF!$H19)*kgtoGg)</f>
        <v>2.3157585615418128</v>
      </c>
      <c r="BF19" s="29">
        <f>IF(('Activity data'!BF6*EF!$H19)*kgtoGg=0,"NO",('Activity data'!BF6*EF!$H19)*kgtoGg)</f>
        <v>2.3292800113350669</v>
      </c>
      <c r="BG19" s="29">
        <f>IF(('Activity data'!BG6*EF!$H19)*kgtoGg=0,"NO",('Activity data'!BG6*EF!$H19)*kgtoGg)</f>
        <v>2.3440489631518644</v>
      </c>
      <c r="BH19" s="29">
        <f>IF(('Activity data'!BH6*EF!$H19)*kgtoGg=0,"NO",('Activity data'!BH6*EF!$H19)*kgtoGg)</f>
        <v>2.3591122599281666</v>
      </c>
      <c r="BI19" s="29">
        <f>IF(('Activity data'!BI6*EF!$H19)*kgtoGg=0,"NO",('Activity data'!BI6*EF!$H19)*kgtoGg)</f>
        <v>2.3744531226138244</v>
      </c>
      <c r="BJ19" s="29">
        <f>IF(('Activity data'!BJ6*EF!$H19)*kgtoGg=0,"NO",('Activity data'!BJ6*EF!$H19)*kgtoGg)</f>
        <v>2.390112968024793</v>
      </c>
      <c r="BK19" s="29">
        <f>IF(('Activity data'!BK6*EF!$H19)*kgtoGg=0,"NO",('Activity data'!BK6*EF!$H19)*kgtoGg)</f>
        <v>2.4062560034473877</v>
      </c>
      <c r="BL19" s="29">
        <f>IF(('Activity data'!BL6*EF!$H19)*kgtoGg=0,"NO",('Activity data'!BL6*EF!$H19)*kgtoGg)</f>
        <v>2.4225317326486802</v>
      </c>
      <c r="BM19" s="29">
        <f>IF(('Activity data'!BM6*EF!$H19)*kgtoGg=0,"NO",('Activity data'!BM6*EF!$H19)*kgtoGg)</f>
        <v>2.4392240818289319</v>
      </c>
      <c r="BN19" s="29">
        <f>IF(('Activity data'!BN6*EF!$H19)*kgtoGg=0,"NO",('Activity data'!BN6*EF!$H19)*kgtoGg)</f>
        <v>2.4560209048863011</v>
      </c>
      <c r="BO19" s="29">
        <f>IF(('Activity data'!BO6*EF!$H19)*kgtoGg=0,"NO",('Activity data'!BO6*EF!$H19)*kgtoGg)</f>
        <v>2.4732721068457324</v>
      </c>
      <c r="BP19" s="29">
        <f>IF(('Activity data'!BP6*EF!$H19)*kgtoGg=0,"NO",('Activity data'!BP6*EF!$H19)*kgtoGg)</f>
        <v>2.4910156051161731</v>
      </c>
    </row>
    <row r="20" spans="1:68" x14ac:dyDescent="0.25">
      <c r="A20" t="str">
        <f t="shared" si="1"/>
        <v>3A Livestock</v>
      </c>
      <c r="B20" t="str">
        <f t="shared" ref="B20:B35" si="8">B19</f>
        <v>3A2 Manure management (CH4)</v>
      </c>
      <c r="C20" t="str">
        <f>EF!C20</f>
        <v>3A1aii Other cattle</v>
      </c>
      <c r="D20" t="str">
        <f>EF!D20</f>
        <v>Non-lactating</v>
      </c>
      <c r="E20" t="str">
        <f>E19</f>
        <v>Manure management Emissions</v>
      </c>
      <c r="F20" t="str">
        <f t="shared" si="6"/>
        <v>CH4</v>
      </c>
      <c r="G20" t="str">
        <f t="shared" si="7"/>
        <v>Gg CH4</v>
      </c>
      <c r="H20" s="29">
        <f>IF(('Activity data'!H7*EF!$H20)*kgtoGg=0,"NO",('Activity data'!H7*EF!$H20)*kgtoGg)</f>
        <v>0.41752621472755574</v>
      </c>
      <c r="I20" s="29">
        <f>IF(('Activity data'!I7*EF!$H20)*kgtoGg=0,"NO",('Activity data'!I7*EF!$H20)*kgtoGg)</f>
        <v>0.47458519205570593</v>
      </c>
      <c r="J20" s="29">
        <f>IF(('Activity data'!J7*EF!$H20)*kgtoGg=0,"NO",('Activity data'!J7*EF!$H20)*kgtoGg)</f>
        <v>0.41051742697229299</v>
      </c>
      <c r="K20" s="29">
        <f>IF(('Activity data'!K7*EF!$H20)*kgtoGg=0,"NO",('Activity data'!K7*EF!$H20)*kgtoGg)</f>
        <v>0.42961947568884723</v>
      </c>
      <c r="L20" s="29">
        <f>IF(('Activity data'!L7*EF!$H20)*kgtoGg=0,"NO",('Activity data'!L7*EF!$H20)*kgtoGg)</f>
        <v>0.38248227595124251</v>
      </c>
      <c r="M20" s="29">
        <f>IF(('Activity data'!M7*EF!$H20)*kgtoGg=0,"NO",('Activity data'!M7*EF!$H20)*kgtoGg)</f>
        <v>0.41560190017832183</v>
      </c>
      <c r="N20" s="29">
        <f>IF(('Activity data'!N7*EF!$H20)*kgtoGg=0,"NO",('Activity data'!N7*EF!$H20)*kgtoGg)</f>
        <v>0.42261068793358447</v>
      </c>
      <c r="O20" s="29">
        <f>IF(('Activity data'!O7*EF!$H20)*kgtoGg=0,"NO",('Activity data'!O7*EF!$H20)*kgtoGg)</f>
        <v>0.40834594360154697</v>
      </c>
      <c r="P20" s="29">
        <f>IF(('Activity data'!P7*EF!$H20)*kgtoGg=0,"NO",('Activity data'!P7*EF!$H20)*kgtoGg)</f>
        <v>0.38731958033575903</v>
      </c>
      <c r="Q20" s="29">
        <f>IF(('Activity data'!Q7*EF!$H20)*kgtoGg=0,"NO",('Activity data'!Q7*EF!$H20)*kgtoGg)</f>
        <v>0.40809877478003481</v>
      </c>
      <c r="R20" s="29">
        <f>IF(('Activity data'!R7*EF!$H20)*kgtoGg=0,"NO",('Activity data'!R7*EF!$H20)*kgtoGg)</f>
        <v>0.50578050173355138</v>
      </c>
      <c r="S20" s="29">
        <f>IF(('Activity data'!S7*EF!$H20)*kgtoGg=0,"NO",('Activity data'!S7*EF!$H20)*kgtoGg)</f>
        <v>0.49877171397828873</v>
      </c>
      <c r="T20" s="29">
        <f>IF(('Activity data'!T7*EF!$H20)*kgtoGg=0,"NO",('Activity data'!T7*EF!$H20)*kgtoGg)</f>
        <v>0.45790179553141008</v>
      </c>
      <c r="U20" s="29">
        <f>IF(('Activity data'!U7*EF!$H20)*kgtoGg=0,"NO",('Activity data'!U7*EF!$H20)*kgtoGg)</f>
        <v>0.38731958033575903</v>
      </c>
      <c r="V20" s="29">
        <f>IF(('Activity data'!V7*EF!$H20)*kgtoGg=0,"NO",('Activity data'!V7*EF!$H20)*kgtoGg)</f>
        <v>0.36145591268545452</v>
      </c>
      <c r="W20" s="29">
        <f>IF(('Activity data'!W7*EF!$H20)*kgtoGg=0,"NO",('Activity data'!W7*EF!$H20)*kgtoGg)</f>
        <v>0.39457553691253394</v>
      </c>
      <c r="X20" s="29">
        <f>IF(('Activity data'!X7*EF!$H20)*kgtoGg=0,"NO",('Activity data'!X7*EF!$H20)*kgtoGg)</f>
        <v>0.38973823252801737</v>
      </c>
      <c r="Y20" s="29">
        <f>IF(('Activity data'!Y7*EF!$H20)*kgtoGg=0,"NO",('Activity data'!Y7*EF!$H20)*kgtoGg)</f>
        <v>0.39432836809102173</v>
      </c>
      <c r="Z20" s="29">
        <f>IF(('Activity data'!Z7*EF!$H20)*kgtoGg=0,"NO",('Activity data'!Z7*EF!$H20)*kgtoGg)</f>
        <v>0.46130912300971733</v>
      </c>
      <c r="AA20" s="29">
        <f>IF(('Activity data'!AA7*EF!$H20)*kgtoGg=0,"NO",('Activity data'!AA7*EF!$H20)*kgtoGg)</f>
        <v>0.48016400290475908</v>
      </c>
      <c r="AB20" s="29">
        <f>IF(('Activity data'!AB7*EF!$H20)*kgtoGg=0,"NO",('Activity data'!AB7*EF!$H20)*kgtoGg)</f>
        <v>0.48016400290475908</v>
      </c>
      <c r="AC20" s="29">
        <f>IF(('Activity data'!AC7*EF!$H20)*kgtoGg=0,"NO",('Activity data'!AC7*EF!$H20)*kgtoGg)</f>
        <v>0.45188168306219634</v>
      </c>
      <c r="AD20" s="29">
        <f>IF(('Activity data'!AD7*EF!$H20)*kgtoGg=0,"NO",('Activity data'!AD7*EF!$H20)*kgtoGg)</f>
        <v>0.44220707429316308</v>
      </c>
      <c r="AE20" s="29">
        <f>IF(('Activity data'!AE7*EF!$H20)*kgtoGg=0,"NO",('Activity data'!AE7*EF!$H20)*kgtoGg)</f>
        <v>0.49877171397828873</v>
      </c>
      <c r="AF20" s="29">
        <f>IF(('Activity data'!AF7*EF!$H20)*kgtoGg=0,"NO",('Activity data'!AF7*EF!$H20)*kgtoGg)</f>
        <v>0.4470443786776796</v>
      </c>
      <c r="AG20" s="29">
        <f>IF(('Activity data'!AG7*EF!$H20)*kgtoGg=0,"NO",('Activity data'!AG7*EF!$H20)*kgtoGg)</f>
        <v>0.43786410755167088</v>
      </c>
      <c r="AH20" s="29">
        <f>IF(('Activity data'!AH7*EF!$H20)*kgtoGg=0,"NO",('Activity data'!AH7*EF!$H20)*kgtoGg)</f>
        <v>0.44753871632070413</v>
      </c>
      <c r="AI20" s="29">
        <f>IF(('Activity data'!AI7*EF!$H20)*kgtoGg=0,"NO",('Activity data'!AI7*EF!$H20)*kgtoGg)</f>
        <v>0.49250443268756272</v>
      </c>
      <c r="AJ20" s="29">
        <f>IF(('Activity data'!AJ7*EF!$H20)*kgtoGg=0,"NO",('Activity data'!AJ7*EF!$H20)*kgtoGg)</f>
        <v>0.4693567395291543</v>
      </c>
      <c r="AK20" s="29">
        <f>IF(('Activity data'!AK7*EF!$H20)*kgtoGg=0,"NO",('Activity data'!AK7*EF!$H20)*kgtoGg)</f>
        <v>0.47070458334815218</v>
      </c>
      <c r="AL20" s="29">
        <f>IF(('Activity data'!AL7*EF!$H20)*kgtoGg=0,"NO",('Activity data'!AL7*EF!$H20)*kgtoGg)</f>
        <v>0.46994954492199748</v>
      </c>
      <c r="AM20" s="29">
        <f>IF(('Activity data'!AM7*EF!$H20)*kgtoGg=0,"NO",('Activity data'!AM7*EF!$H20)*kgtoGg)</f>
        <v>0.47162623161978073</v>
      </c>
      <c r="AN20" s="29">
        <f>IF(('Activity data'!AN7*EF!$H20)*kgtoGg=0,"NO",('Activity data'!AN7*EF!$H20)*kgtoGg)</f>
        <v>0.47328154197815636</v>
      </c>
      <c r="AO20" s="29">
        <f>IF(('Activity data'!AO7*EF!$H20)*kgtoGg=0,"NO",('Activity data'!AO7*EF!$H20)*kgtoGg)</f>
        <v>0.47494165073510469</v>
      </c>
      <c r="AP20" s="29">
        <f>IF(('Activity data'!AP7*EF!$H20)*kgtoGg=0,"NO",('Activity data'!AP7*EF!$H20)*kgtoGg)</f>
        <v>0.47658335746198055</v>
      </c>
      <c r="AQ20" s="29">
        <f>IF(('Activity data'!AQ7*EF!$H20)*kgtoGg=0,"NO",('Activity data'!AQ7*EF!$H20)*kgtoGg)</f>
        <v>0.47824640866964196</v>
      </c>
      <c r="AR20" s="29">
        <f>IF(('Activity data'!AR7*EF!$H20)*kgtoGg=0,"NO",('Activity data'!AR7*EF!$H20)*kgtoGg)</f>
        <v>0.48010230850654717</v>
      </c>
      <c r="AS20" s="29">
        <f>IF(('Activity data'!AS7*EF!$H20)*kgtoGg=0,"NO",('Activity data'!AS7*EF!$H20)*kgtoGg)</f>
        <v>0.48195254894520395</v>
      </c>
      <c r="AT20" s="29">
        <f>IF(('Activity data'!AT7*EF!$H20)*kgtoGg=0,"NO",('Activity data'!AT7*EF!$H20)*kgtoGg)</f>
        <v>0.48383168106937607</v>
      </c>
      <c r="AU20" s="29">
        <f>IF(('Activity data'!AU7*EF!$H20)*kgtoGg=0,"NO",('Activity data'!AU7*EF!$H20)*kgtoGg)</f>
        <v>0.48573226629932192</v>
      </c>
      <c r="AV20" s="29">
        <f>IF(('Activity data'!AV7*EF!$H20)*kgtoGg=0,"NO",('Activity data'!AV7*EF!$H20)*kgtoGg)</f>
        <v>0.48765626271494944</v>
      </c>
      <c r="AW20" s="29">
        <f>IF(('Activity data'!AW7*EF!$H20)*kgtoGg=0,"NO",('Activity data'!AW7*EF!$H20)*kgtoGg)</f>
        <v>0.48967573292954841</v>
      </c>
      <c r="AX20" s="29">
        <f>IF(('Activity data'!AX7*EF!$H20)*kgtoGg=0,"NO",('Activity data'!AX7*EF!$H20)*kgtoGg)</f>
        <v>0.49165671464040539</v>
      </c>
      <c r="AY20" s="29">
        <f>IF(('Activity data'!AY7*EF!$H20)*kgtoGg=0,"NO",('Activity data'!AY7*EF!$H20)*kgtoGg)</f>
        <v>0.4937245070322544</v>
      </c>
      <c r="AZ20" s="29">
        <f>IF(('Activity data'!AZ7*EF!$H20)*kgtoGg=0,"NO",('Activity data'!AZ7*EF!$H20)*kgtoGg)</f>
        <v>0.4958529876268491</v>
      </c>
      <c r="BA20" s="29">
        <f>IF(('Activity data'!BA7*EF!$H20)*kgtoGg=0,"NO",('Activity data'!BA7*EF!$H20)*kgtoGg)</f>
        <v>0.49804544115086496</v>
      </c>
      <c r="BB20" s="29">
        <f>IF(('Activity data'!BB7*EF!$H20)*kgtoGg=0,"NO",('Activity data'!BB7*EF!$H20)*kgtoGg)</f>
        <v>0.50031428746271855</v>
      </c>
      <c r="BC20" s="29">
        <f>IF(('Activity data'!BC7*EF!$H20)*kgtoGg=0,"NO",('Activity data'!BC7*EF!$H20)*kgtoGg)</f>
        <v>0.50262713624946409</v>
      </c>
      <c r="BD20" s="29">
        <f>IF(('Activity data'!BD7*EF!$H20)*kgtoGg=0,"NO",('Activity data'!BD7*EF!$H20)*kgtoGg)</f>
        <v>0.50495633175565202</v>
      </c>
      <c r="BE20" s="29">
        <f>IF(('Activity data'!BE7*EF!$H20)*kgtoGg=0,"NO",('Activity data'!BE7*EF!$H20)*kgtoGg)</f>
        <v>0.50732994473678372</v>
      </c>
      <c r="BF20" s="29">
        <f>IF(('Activity data'!BF7*EF!$H20)*kgtoGg=0,"NO",('Activity data'!BF7*EF!$H20)*kgtoGg)</f>
        <v>0.50977283061498058</v>
      </c>
      <c r="BG20" s="29">
        <f>IF(('Activity data'!BG7*EF!$H20)*kgtoGg=0,"NO",('Activity data'!BG7*EF!$H20)*kgtoGg)</f>
        <v>0.51244109950483152</v>
      </c>
      <c r="BH20" s="29">
        <f>IF(('Activity data'!BH7*EF!$H20)*kgtoGg=0,"NO",('Activity data'!BH7*EF!$H20)*kgtoGg)</f>
        <v>0.51516254694845376</v>
      </c>
      <c r="BI20" s="29">
        <f>IF(('Activity data'!BI7*EF!$H20)*kgtoGg=0,"NO",('Activity data'!BI7*EF!$H20)*kgtoGg)</f>
        <v>0.51793414151761341</v>
      </c>
      <c r="BJ20" s="29">
        <f>IF(('Activity data'!BJ7*EF!$H20)*kgtoGg=0,"NO",('Activity data'!BJ7*EF!$H20)*kgtoGg)</f>
        <v>0.52076336588290928</v>
      </c>
      <c r="BK20" s="29">
        <f>IF(('Activity data'!BK7*EF!$H20)*kgtoGg=0,"NO",('Activity data'!BK7*EF!$H20)*kgtoGg)</f>
        <v>0.52367988695631951</v>
      </c>
      <c r="BL20" s="29">
        <f>IF(('Activity data'!BL7*EF!$H20)*kgtoGg=0,"NO",('Activity data'!BL7*EF!$H20)*kgtoGg)</f>
        <v>0.5266203814765914</v>
      </c>
      <c r="BM20" s="29">
        <f>IF(('Activity data'!BM7*EF!$H20)*kgtoGg=0,"NO",('Activity data'!BM7*EF!$H20)*kgtoGg)</f>
        <v>0.52963614566681205</v>
      </c>
      <c r="BN20" s="29">
        <f>IF(('Activity data'!BN7*EF!$H20)*kgtoGg=0,"NO",('Activity data'!BN7*EF!$H20)*kgtoGg)</f>
        <v>0.53267078488618691</v>
      </c>
      <c r="BO20" s="29">
        <f>IF(('Activity data'!BO7*EF!$H20)*kgtoGg=0,"NO",('Activity data'!BO7*EF!$H20)*kgtoGg)</f>
        <v>0.53578751558392912</v>
      </c>
      <c r="BP20" s="29">
        <f>IF(('Activity data'!BP7*EF!$H20)*kgtoGg=0,"NO",('Activity data'!BP7*EF!$H20)*kgtoGg)</f>
        <v>0.5389931882016904</v>
      </c>
    </row>
    <row r="21" spans="1:68" x14ac:dyDescent="0.25">
      <c r="A21" t="str">
        <f t="shared" si="1"/>
        <v>3A Livestock</v>
      </c>
      <c r="B21" t="str">
        <f t="shared" si="8"/>
        <v>3A2 Manure management (CH4)</v>
      </c>
      <c r="C21" t="str">
        <f>EF!C21</f>
        <v>3A1aii Other cattle</v>
      </c>
      <c r="D21" t="str">
        <f>EF!D21</f>
        <v>Commercial</v>
      </c>
      <c r="E21" t="str">
        <f>E19</f>
        <v>Manure management Emissions</v>
      </c>
      <c r="F21" t="str">
        <f>F19</f>
        <v>CH4</v>
      </c>
      <c r="G21" t="str">
        <f>G19</f>
        <v>Gg CH4</v>
      </c>
      <c r="H21" s="29">
        <f>IF(('Activity data'!H8*EF!$H21)*kgtoGg=0,"NO",('Activity data'!H8*EF!$H21)*kgtoGg)</f>
        <v>0.10860830449259461</v>
      </c>
      <c r="I21" s="29">
        <f>IF(('Activity data'!I8*EF!$H21)*kgtoGg=0,"NO",('Activity data'!I8*EF!$H21)*kgtoGg)</f>
        <v>0.10392054759979548</v>
      </c>
      <c r="J21" s="29">
        <f>IF(('Activity data'!J8*EF!$H21)*kgtoGg=0,"NO",('Activity data'!J8*EF!$H21)*kgtoGg)</f>
        <v>0.10388278936218015</v>
      </c>
      <c r="K21" s="29">
        <f>IF(('Activity data'!K8*EF!$H21)*kgtoGg=0,"NO",('Activity data'!K8*EF!$H21)*kgtoGg)</f>
        <v>9.7186039320312306E-2</v>
      </c>
      <c r="L21" s="29">
        <f>IF(('Activity data'!L8*EF!$H21)*kgtoGg=0,"NO",('Activity data'!L8*EF!$H21)*kgtoGg)</f>
        <v>0.10011588737831177</v>
      </c>
      <c r="M21" s="29">
        <f>IF(('Activity data'!M8*EF!$H21)*kgtoGg=0,"NO",('Activity data'!M8*EF!$H21)*kgtoGg)</f>
        <v>0.10239221522239531</v>
      </c>
      <c r="N21" s="29">
        <f>IF(('Activity data'!N8*EF!$H21)*kgtoGg=0,"NO",('Activity data'!N8*EF!$H21)*kgtoGg)</f>
        <v>0.10663977797793223</v>
      </c>
      <c r="O21" s="29">
        <f>IF(('Activity data'!O8*EF!$H21)*kgtoGg=0,"NO",('Activity data'!O8*EF!$H21)*kgtoGg)</f>
        <v>0.11067943145039739</v>
      </c>
      <c r="P21" s="29">
        <f>IF(('Activity data'!P8*EF!$H21)*kgtoGg=0,"NO",('Activity data'!P8*EF!$H21)*kgtoGg)</f>
        <v>0.11163804459694349</v>
      </c>
      <c r="Q21" s="29">
        <f>IF(('Activity data'!Q8*EF!$H21)*kgtoGg=0,"NO",('Activity data'!Q8*EF!$H21)*kgtoGg)</f>
        <v>0.10983154393736459</v>
      </c>
      <c r="R21" s="29">
        <f>IF(('Activity data'!R8*EF!$H21)*kgtoGg=0,"NO",('Activity data'!R8*EF!$H21)*kgtoGg)</f>
        <v>0.10237054804806753</v>
      </c>
      <c r="S21" s="29">
        <f>IF(('Activity data'!S8*EF!$H21)*kgtoGg=0,"NO",('Activity data'!S8*EF!$H21)*kgtoGg)</f>
        <v>0.10290250904130627</v>
      </c>
      <c r="T21" s="29">
        <f>IF(('Activity data'!T8*EF!$H21)*kgtoGg=0,"NO",('Activity data'!T8*EF!$H21)*kgtoGg)</f>
        <v>9.5906082860390207E-2</v>
      </c>
      <c r="U21" s="29">
        <f>IF(('Activity data'!U8*EF!$H21)*kgtoGg=0,"NO",('Activity data'!U8*EF!$H21)*kgtoGg)</f>
        <v>9.8414695558664236E-2</v>
      </c>
      <c r="V21" s="29">
        <f>IF(('Activity data'!V8*EF!$H21)*kgtoGg=0,"NO",('Activity data'!V8*EF!$H21)*kgtoGg)</f>
        <v>9.9322008483640145E-2</v>
      </c>
      <c r="W21" s="29">
        <f>IF(('Activity data'!W8*EF!$H21)*kgtoGg=0,"NO",('Activity data'!W8*EF!$H21)*kgtoGg)</f>
        <v>0.100164479203091</v>
      </c>
      <c r="X21" s="29">
        <f>IF(('Activity data'!X8*EF!$H21)*kgtoGg=0,"NO",('Activity data'!X8*EF!$H21)*kgtoGg)</f>
        <v>9.7882734565425497E-2</v>
      </c>
      <c r="Y21" s="29">
        <f>IF(('Activity data'!Y8*EF!$H21)*kgtoGg=0,"NO",('Activity data'!Y8*EF!$H21)*kgtoGg)</f>
        <v>0.10075044881469088</v>
      </c>
      <c r="Z21" s="29">
        <f>IF(('Activity data'!Z8*EF!$H21)*kgtoGg=0,"NO",('Activity data'!Z8*EF!$H21)*kgtoGg)</f>
        <v>9.7950798966544531E-2</v>
      </c>
      <c r="AA21" s="29">
        <f>IF(('Activity data'!AA8*EF!$H21)*kgtoGg=0,"NO",('Activity data'!AA8*EF!$H21)*kgtoGg)</f>
        <v>9.6306138291681109E-2</v>
      </c>
      <c r="AB21" s="29">
        <f>IF(('Activity data'!AB8*EF!$H21)*kgtoGg=0,"NO",('Activity data'!AB8*EF!$H21)*kgtoGg)</f>
        <v>9.6003388653333327E-2</v>
      </c>
      <c r="AC21" s="29">
        <f>IF(('Activity data'!AC8*EF!$H21)*kgtoGg=0,"NO",('Activity data'!AC8*EF!$H21)*kgtoGg)</f>
        <v>9.5658660192370931E-2</v>
      </c>
      <c r="AD21" s="29">
        <f>IF(('Activity data'!AD8*EF!$H21)*kgtoGg=0,"NO",('Activity data'!AD8*EF!$H21)*kgtoGg)</f>
        <v>0.11320089044639177</v>
      </c>
      <c r="AE21" s="29">
        <f>IF(('Activity data'!AE8*EF!$H21)*kgtoGg=0,"NO",('Activity data'!AE8*EF!$H21)*kgtoGg)</f>
        <v>9.3938528182223396E-2</v>
      </c>
      <c r="AF21" s="29">
        <f>IF(('Activity data'!AF8*EF!$H21)*kgtoGg=0,"NO",('Activity data'!AF8*EF!$H21)*kgtoGg)</f>
        <v>9.6097662103986944E-2</v>
      </c>
      <c r="AG21" s="29">
        <f>IF(('Activity data'!AG8*EF!$H21)*kgtoGg=0,"NO",('Activity data'!AG8*EF!$H21)*kgtoGg)</f>
        <v>9.3893106774864191E-2</v>
      </c>
      <c r="AH21" s="29">
        <f>IF(('Activity data'!AH8*EF!$H21)*kgtoGg=0,"NO",('Activity data'!AH8*EF!$H21)*kgtoGg)</f>
        <v>8.9395638654249626E-2</v>
      </c>
      <c r="AI21" s="29">
        <f>IF(('Activity data'!AI8*EF!$H21)*kgtoGg=0,"NO",('Activity data'!AI8*EF!$H21)*kgtoGg)</f>
        <v>8.3170484220673482E-2</v>
      </c>
      <c r="AJ21" s="29">
        <f>IF(('Activity data'!AJ8*EF!$H21)*kgtoGg=0,"NO",('Activity data'!AJ8*EF!$H21)*kgtoGg)</f>
        <v>9.3188687538848181E-2</v>
      </c>
      <c r="AK21" s="29">
        <f>IF(('Activity data'!AK8*EF!$H21)*kgtoGg=0,"NO",('Activity data'!AK8*EF!$H21)*kgtoGg)</f>
        <v>9.2905695600840388E-2</v>
      </c>
      <c r="AL21" s="29">
        <f>IF(('Activity data'!AL8*EF!$H21)*kgtoGg=0,"NO",('Activity data'!AL8*EF!$H21)*kgtoGg)</f>
        <v>9.303372221792576E-2</v>
      </c>
      <c r="AM21" s="29">
        <f>IF(('Activity data'!AM8*EF!$H21)*kgtoGg=0,"NO",('Activity data'!AM8*EF!$H21)*kgtoGg)</f>
        <v>9.2686190315918321E-2</v>
      </c>
      <c r="AN21" s="29">
        <f>IF(('Activity data'!AN8*EF!$H21)*kgtoGg=0,"NO",('Activity data'!AN8*EF!$H21)*kgtoGg)</f>
        <v>9.234283652370559E-2</v>
      </c>
      <c r="AO21" s="29">
        <f>IF(('Activity data'!AO8*EF!$H21)*kgtoGg=0,"NO",('Activity data'!AO8*EF!$H21)*kgtoGg)</f>
        <v>9.1998544861171039E-2</v>
      </c>
      <c r="AP21" s="29">
        <f>IF(('Activity data'!AP8*EF!$H21)*kgtoGg=0,"NO",('Activity data'!AP8*EF!$H21)*kgtoGg)</f>
        <v>9.1657849964850394E-2</v>
      </c>
      <c r="AQ21" s="29">
        <f>IF(('Activity data'!AQ8*EF!$H21)*kgtoGg=0,"NO",('Activity data'!AQ8*EF!$H21)*kgtoGg)</f>
        <v>9.1312983185657462E-2</v>
      </c>
      <c r="AR21" s="29">
        <f>IF(('Activity data'!AR8*EF!$H21)*kgtoGg=0,"NO",('Activity data'!AR8*EF!$H21)*kgtoGg)</f>
        <v>9.0928770749914761E-2</v>
      </c>
      <c r="AS21" s="29">
        <f>IF(('Activity data'!AS8*EF!$H21)*kgtoGg=0,"NO",('Activity data'!AS8*EF!$H21)*kgtoGg)</f>
        <v>9.0545664471065143E-2</v>
      </c>
      <c r="AT21" s="29">
        <f>IF(('Activity data'!AT8*EF!$H21)*kgtoGg=0,"NO",('Activity data'!AT8*EF!$H21)*kgtoGg)</f>
        <v>9.0156911171864224E-2</v>
      </c>
      <c r="AU21" s="29">
        <f>IF(('Activity data'!AU8*EF!$H21)*kgtoGg=0,"NO",('Activity data'!AU8*EF!$H21)*kgtoGg)</f>
        <v>8.9763964758874965E-2</v>
      </c>
      <c r="AV21" s="29">
        <f>IF(('Activity data'!AV8*EF!$H21)*kgtoGg=0,"NO",('Activity data'!AV8*EF!$H21)*kgtoGg)</f>
        <v>8.9366442515862884E-2</v>
      </c>
      <c r="AW21" s="29">
        <f>IF(('Activity data'!AW8*EF!$H21)*kgtoGg=0,"NO",('Activity data'!AW8*EF!$H21)*kgtoGg)</f>
        <v>8.895098828931057E-2</v>
      </c>
      <c r="AX21" s="29">
        <f>IF(('Activity data'!AX8*EF!$H21)*kgtoGg=0,"NO",('Activity data'!AX8*EF!$H21)*kgtoGg)</f>
        <v>8.854305682823943E-2</v>
      </c>
      <c r="AY21" s="29">
        <f>IF(('Activity data'!AY8*EF!$H21)*kgtoGg=0,"NO",('Activity data'!AY8*EF!$H21)*kgtoGg)</f>
        <v>8.811815779729161E-2</v>
      </c>
      <c r="AZ21" s="29">
        <f>IF(('Activity data'!AZ8*EF!$H21)*kgtoGg=0,"NO",('Activity data'!AZ8*EF!$H21)*kgtoGg)</f>
        <v>8.7681396962530411E-2</v>
      </c>
      <c r="BA21" s="29">
        <f>IF(('Activity data'!BA8*EF!$H21)*kgtoGg=0,"NO",('Activity data'!BA8*EF!$H21)*kgtoGg)</f>
        <v>8.7232132307797222E-2</v>
      </c>
      <c r="BB21" s="29">
        <f>IF(('Activity data'!BB8*EF!$H21)*kgtoGg=0,"NO",('Activity data'!BB8*EF!$H21)*kgtoGg)</f>
        <v>8.6767120965590694E-2</v>
      </c>
      <c r="BC21" s="29">
        <f>IF(('Activity data'!BC8*EF!$H21)*kgtoGg=0,"NO",('Activity data'!BC8*EF!$H21)*kgtoGg)</f>
        <v>8.6293509125808909E-2</v>
      </c>
      <c r="BD21" s="29">
        <f>IF(('Activity data'!BD8*EF!$H21)*kgtoGg=0,"NO",('Activity data'!BD8*EF!$H21)*kgtoGg)</f>
        <v>8.5816702240630635E-2</v>
      </c>
      <c r="BE21" s="29">
        <f>IF(('Activity data'!BE8*EF!$H21)*kgtoGg=0,"NO",('Activity data'!BE8*EF!$H21)*kgtoGg)</f>
        <v>8.5331213743734188E-2</v>
      </c>
      <c r="BF21" s="29">
        <f>IF(('Activity data'!BF8*EF!$H21)*kgtoGg=0,"NO",('Activity data'!BF8*EF!$H21)*kgtoGg)</f>
        <v>8.4832185522431242E-2</v>
      </c>
      <c r="BG21" s="29">
        <f>IF(('Activity data'!BG8*EF!$H21)*kgtoGg=0,"NO",('Activity data'!BG8*EF!$H21)*kgtoGg)</f>
        <v>8.428605455105545E-2</v>
      </c>
      <c r="BH21" s="29">
        <f>IF(('Activity data'!BH8*EF!$H21)*kgtoGg=0,"NO",('Activity data'!BH8*EF!$H21)*kgtoGg)</f>
        <v>8.3729529573256314E-2</v>
      </c>
      <c r="BI21" s="29">
        <f>IF(('Activity data'!BI8*EF!$H21)*kgtoGg=0,"NO",('Activity data'!BI8*EF!$H21)*kgtoGg)</f>
        <v>8.3163203095683591E-2</v>
      </c>
      <c r="BJ21" s="29">
        <f>IF(('Activity data'!BJ8*EF!$H21)*kgtoGg=0,"NO",('Activity data'!BJ8*EF!$H21)*kgtoGg)</f>
        <v>8.2585612594367849E-2</v>
      </c>
      <c r="BK21" s="29">
        <f>IF(('Activity data'!BK8*EF!$H21)*kgtoGg=0,"NO",('Activity data'!BK8*EF!$H21)*kgtoGg)</f>
        <v>8.1990959527177859E-2</v>
      </c>
      <c r="BL21" s="29">
        <f>IF(('Activity data'!BL8*EF!$H21)*kgtoGg=0,"NO",('Activity data'!BL8*EF!$H21)*kgtoGg)</f>
        <v>8.1392489140596838E-2</v>
      </c>
      <c r="BM21" s="29">
        <f>IF(('Activity data'!BM8*EF!$H21)*kgtoGg=0,"NO",('Activity data'!BM8*EF!$H21)*kgtoGg)</f>
        <v>8.077930693120397E-2</v>
      </c>
      <c r="BN21" s="29">
        <f>IF(('Activity data'!BN8*EF!$H21)*kgtoGg=0,"NO",('Activity data'!BN8*EF!$H21)*kgtoGg)</f>
        <v>8.0162435505262128E-2</v>
      </c>
      <c r="BO21" s="29">
        <f>IF(('Activity data'!BO8*EF!$H21)*kgtoGg=0,"NO",('Activity data'!BO8*EF!$H21)*kgtoGg)</f>
        <v>7.9529518901263987E-2</v>
      </c>
      <c r="BP21" s="29">
        <f>IF(('Activity data'!BP8*EF!$H21)*kgtoGg=0,"NO",('Activity data'!BP8*EF!$H21)*kgtoGg)</f>
        <v>7.8879218166728965E-2</v>
      </c>
    </row>
    <row r="22" spans="1:68" x14ac:dyDescent="0.25">
      <c r="A22" t="str">
        <f t="shared" si="1"/>
        <v>3A Livestock</v>
      </c>
      <c r="B22" t="str">
        <f t="shared" si="8"/>
        <v>3A2 Manure management (CH4)</v>
      </c>
      <c r="C22" t="str">
        <f>EF!C22</f>
        <v>3A1aii Other cattle</v>
      </c>
      <c r="D22" t="str">
        <f>EF!D22</f>
        <v>Subsistence</v>
      </c>
      <c r="E22" t="str">
        <f t="shared" ref="E22:E53" si="9">E21</f>
        <v>Manure management Emissions</v>
      </c>
      <c r="F22" t="str">
        <f t="shared" si="6"/>
        <v>CH4</v>
      </c>
      <c r="G22" t="str">
        <f t="shared" si="7"/>
        <v>Gg CH4</v>
      </c>
      <c r="H22" s="29">
        <f>IF(('Activity data'!H9*EF!$H22)*kgtoGg=0,"NO",('Activity data'!H9*EF!$H22)*kgtoGg)</f>
        <v>7.5090377447119647E-2</v>
      </c>
      <c r="I22" s="29">
        <f>IF(('Activity data'!I9*EF!$H22)*kgtoGg=0,"NO",('Activity data'!I9*EF!$H22)*kgtoGg)</f>
        <v>8.0897014718953164E-2</v>
      </c>
      <c r="J22" s="29">
        <f>IF(('Activity data'!J9*EF!$H22)*kgtoGg=0,"NO",('Activity data'!J9*EF!$H22)*kgtoGg)</f>
        <v>8.1688828892385018E-2</v>
      </c>
      <c r="K22" s="29">
        <f>IF(('Activity data'!K9*EF!$H22)*kgtoGg=0,"NO",('Activity data'!K9*EF!$H22)*kgtoGg)</f>
        <v>8.1688828892385004E-2</v>
      </c>
      <c r="L22" s="29">
        <f>IF(('Activity data'!L9*EF!$H22)*kgtoGg=0,"NO",('Activity data'!L9*EF!$H22)*kgtoGg)</f>
        <v>7.1791151724486982E-2</v>
      </c>
      <c r="M22" s="29">
        <f>IF(('Activity data'!M9*EF!$H22)*kgtoGg=0,"NO",('Activity data'!M9*EF!$H22)*kgtoGg)</f>
        <v>7.0867368522149823E-2</v>
      </c>
      <c r="N22" s="29">
        <f>IF(('Activity data'!N9*EF!$H22)*kgtoGg=0,"NO",('Activity data'!N9*EF!$H22)*kgtoGg)</f>
        <v>7.2582965897918836E-2</v>
      </c>
      <c r="O22" s="29">
        <f>IF(('Activity data'!O9*EF!$H22)*kgtoGg=0,"NO",('Activity data'!O9*EF!$H22)*kgtoGg)</f>
        <v>7.4694470360403734E-2</v>
      </c>
      <c r="P22" s="29">
        <f>IF(('Activity data'!P9*EF!$H22)*kgtoGg=0,"NO",('Activity data'!P9*EF!$H22)*kgtoGg)</f>
        <v>7.799369608303644E-2</v>
      </c>
      <c r="Q22" s="29">
        <f>IF(('Activity data'!Q9*EF!$H22)*kgtoGg=0,"NO",('Activity data'!Q9*EF!$H22)*kgtoGg)</f>
        <v>8.076504569004786E-2</v>
      </c>
      <c r="R22" s="29">
        <f>IF(('Activity data'!R9*EF!$H22)*kgtoGg=0,"NO",('Activity data'!R9*EF!$H22)*kgtoGg)</f>
        <v>8.300851918143809E-2</v>
      </c>
      <c r="S22" s="29">
        <f>IF(('Activity data'!S9*EF!$H22)*kgtoGg=0,"NO",('Activity data'!S9*EF!$H22)*kgtoGg)</f>
        <v>8.1292921805669105E-2</v>
      </c>
      <c r="T22" s="29">
        <f>IF(('Activity data'!T9*EF!$H22)*kgtoGg=0,"NO",('Activity data'!T9*EF!$H22)*kgtoGg)</f>
        <v>8.7759404222029144E-2</v>
      </c>
      <c r="U22" s="29">
        <f>IF(('Activity data'!U9*EF!$H22)*kgtoGg=0,"NO",('Activity data'!U9*EF!$H22)*kgtoGg)</f>
        <v>8.762743519312384E-2</v>
      </c>
      <c r="V22" s="29">
        <f>IF(('Activity data'!V9*EF!$H22)*kgtoGg=0,"NO",('Activity data'!V9*EF!$H22)*kgtoGg)</f>
        <v>8.5779868788449537E-2</v>
      </c>
      <c r="W22" s="29">
        <f>IF(('Activity data'!W9*EF!$H22)*kgtoGg=0,"NO",('Activity data'!W9*EF!$H22)*kgtoGg)</f>
        <v>8.472411655720706E-2</v>
      </c>
      <c r="X22" s="29">
        <f>IF(('Activity data'!X9*EF!$H22)*kgtoGg=0,"NO",('Activity data'!X9*EF!$H22)*kgtoGg)</f>
        <v>8.6703651990786682E-2</v>
      </c>
      <c r="Y22" s="29">
        <f>IF(('Activity data'!Y9*EF!$H22)*kgtoGg=0,"NO",('Activity data'!Y9*EF!$H22)*kgtoGg)</f>
        <v>8.9606970626703419E-2</v>
      </c>
      <c r="Z22" s="29">
        <f>IF(('Activity data'!Z9*EF!$H22)*kgtoGg=0,"NO",('Activity data'!Z9*EF!$H22)*kgtoGg)</f>
        <v>9.1322568002472418E-2</v>
      </c>
      <c r="AA22" s="29">
        <f>IF(('Activity data'!AA9*EF!$H22)*kgtoGg=0,"NO",('Activity data'!AA9*EF!$H22)*kgtoGg)</f>
        <v>9.1058629944661823E-2</v>
      </c>
      <c r="AB22" s="29">
        <f>IF(('Activity data'!AB9*EF!$H22)*kgtoGg=0,"NO",('Activity data'!AB9*EF!$H22)*kgtoGg)</f>
        <v>9.0002877713419346E-2</v>
      </c>
      <c r="AC22" s="29">
        <f>IF(('Activity data'!AC9*EF!$H22)*kgtoGg=0,"NO",('Activity data'!AC9*EF!$H22)*kgtoGg)</f>
        <v>8.9738939655608738E-2</v>
      </c>
      <c r="AD22" s="29">
        <f>IF(('Activity data'!AD9*EF!$H22)*kgtoGg=0,"NO",('Activity data'!AD9*EF!$H22)*kgtoGg)</f>
        <v>7.7729758025225804E-2</v>
      </c>
      <c r="AE22" s="29">
        <f>IF(('Activity data'!AE9*EF!$H22)*kgtoGg=0,"NO",('Activity data'!AE9*EF!$H22)*kgtoGg)</f>
        <v>9.2906196349336112E-2</v>
      </c>
      <c r="AF22" s="29">
        <f>IF(('Activity data'!AF9*EF!$H22)*kgtoGg=0,"NO",('Activity data'!AF9*EF!$H22)*kgtoGg)</f>
        <v>9.1322568002472404E-2</v>
      </c>
      <c r="AG22" s="29">
        <f>IF(('Activity data'!AG9*EF!$H22)*kgtoGg=0,"NO",('Activity data'!AG9*EF!$H22)*kgtoGg)</f>
        <v>9.0266815771229969E-2</v>
      </c>
      <c r="AH22" s="29">
        <f>IF(('Activity data'!AH9*EF!$H22)*kgtoGg=0,"NO",('Activity data'!AH9*EF!$H22)*kgtoGg)</f>
        <v>8.9475001597798129E-2</v>
      </c>
      <c r="AI22" s="29">
        <f>IF(('Activity data'!AI9*EF!$H22)*kgtoGg=0,"NO",('Activity data'!AI9*EF!$H22)*kgtoGg)</f>
        <v>8.8551218395460971E-2</v>
      </c>
      <c r="AJ22" s="29">
        <f>IF(('Activity data'!AJ9*EF!$H22)*kgtoGg=0,"NO",('Activity data'!AJ9*EF!$H22)*kgtoGg)</f>
        <v>9.1967263506729707E-2</v>
      </c>
      <c r="AK22" s="29">
        <f>IF(('Activity data'!AK9*EF!$H22)*kgtoGg=0,"NO",('Activity data'!AK9*EF!$H22)*kgtoGg)</f>
        <v>0.10105095252050625</v>
      </c>
      <c r="AL22" s="29">
        <f>IF(('Activity data'!AL9*EF!$H22)*kgtoGg=0,"NO",('Activity data'!AL9*EF!$H22)*kgtoGg)</f>
        <v>0.10175560190908886</v>
      </c>
      <c r="AM22" s="29">
        <f>IF(('Activity data'!AM9*EF!$H22)*kgtoGg=0,"NO",('Activity data'!AM9*EF!$H22)*kgtoGg)</f>
        <v>0.10246984009707782</v>
      </c>
      <c r="AN22" s="29">
        <f>IF(('Activity data'!AN9*EF!$H22)*kgtoGg=0,"NO",('Activity data'!AN9*EF!$H22)*kgtoGg)</f>
        <v>0.10318407827188308</v>
      </c>
      <c r="AO22" s="29">
        <f>IF(('Activity data'!AO9*EF!$H22)*kgtoGg=0,"NO",('Activity data'!AO9*EF!$H22)*kgtoGg)</f>
        <v>0.10389831644668834</v>
      </c>
      <c r="AP22" s="29">
        <f>IF(('Activity data'!AP9*EF!$H22)*kgtoGg=0,"NO",('Activity data'!AP9*EF!$H22)*kgtoGg)</f>
        <v>0.10461255462149362</v>
      </c>
      <c r="AQ22" s="29">
        <f>IF(('Activity data'!AQ9*EF!$H22)*kgtoGg=0,"NO",('Activity data'!AQ9*EF!$H22)*kgtoGg)</f>
        <v>0.10532679280948255</v>
      </c>
      <c r="AR22" s="29">
        <f>IF(('Activity data'!AR9*EF!$H22)*kgtoGg=0,"NO",('Activity data'!AR9*EF!$H22)*kgtoGg)</f>
        <v>0.10610059325405821</v>
      </c>
      <c r="AS22" s="29">
        <f>IF(('Activity data'!AS9*EF!$H22)*kgtoGg=0,"NO",('Activity data'!AS9*EF!$H22)*kgtoGg)</f>
        <v>0.10687439369863384</v>
      </c>
      <c r="AT22" s="29">
        <f>IF(('Activity data'!AT9*EF!$H22)*kgtoGg=0,"NO",('Activity data'!AT9*EF!$H22)*kgtoGg)</f>
        <v>0.10764819414320949</v>
      </c>
      <c r="AU22" s="29">
        <f>IF(('Activity data'!AU9*EF!$H22)*kgtoGg=0,"NO",('Activity data'!AU9*EF!$H22)*kgtoGg)</f>
        <v>0.10842199458778511</v>
      </c>
      <c r="AV22" s="29">
        <f>IF(('Activity data'!AV9*EF!$H22)*kgtoGg=0,"NO",('Activity data'!AV9*EF!$H22)*kgtoGg)</f>
        <v>0.10919579503236077</v>
      </c>
      <c r="AW22" s="29">
        <f>IF(('Activity data'!AW9*EF!$H22)*kgtoGg=0,"NO",('Activity data'!AW9*EF!$H22)*kgtoGg)</f>
        <v>0.10994332484654677</v>
      </c>
      <c r="AX22" s="29">
        <f>IF(('Activity data'!AX9*EF!$H22)*kgtoGg=0,"NO",('Activity data'!AX9*EF!$H22)*kgtoGg)</f>
        <v>0.11069085464754906</v>
      </c>
      <c r="AY22" s="29">
        <f>IF(('Activity data'!AY9*EF!$H22)*kgtoGg=0,"NO",('Activity data'!AY9*EF!$H22)*kgtoGg)</f>
        <v>0.11143838446173508</v>
      </c>
      <c r="AZ22" s="29">
        <f>IF(('Activity data'!AZ9*EF!$H22)*kgtoGg=0,"NO",('Activity data'!AZ9*EF!$H22)*kgtoGg)</f>
        <v>0.11218591426273741</v>
      </c>
      <c r="BA22" s="29">
        <f>IF(('Activity data'!BA9*EF!$H22)*kgtoGg=0,"NO",('Activity data'!BA9*EF!$H22)*kgtoGg)</f>
        <v>0.11293344406373972</v>
      </c>
      <c r="BB22" s="29">
        <f>IF(('Activity data'!BB9*EF!$H22)*kgtoGg=0,"NO",('Activity data'!BB9*EF!$H22)*kgtoGg)</f>
        <v>0.11371036277119037</v>
      </c>
      <c r="BC22" s="29">
        <f>IF(('Activity data'!BC9*EF!$H22)*kgtoGg=0,"NO",('Activity data'!BC9*EF!$H22)*kgtoGg)</f>
        <v>0.11448728147864104</v>
      </c>
      <c r="BD22" s="29">
        <f>IF(('Activity data'!BD9*EF!$H22)*kgtoGg=0,"NO",('Activity data'!BD9*EF!$H22)*kgtoGg)</f>
        <v>0.11526420017290796</v>
      </c>
      <c r="BE22" s="29">
        <f>IF(('Activity data'!BE9*EF!$H22)*kgtoGg=0,"NO",('Activity data'!BE9*EF!$H22)*kgtoGg)</f>
        <v>0.11604111888035862</v>
      </c>
      <c r="BF22" s="29">
        <f>IF(('Activity data'!BF9*EF!$H22)*kgtoGg=0,"NO",('Activity data'!BF9*EF!$H22)*kgtoGg)</f>
        <v>0.11681803758780929</v>
      </c>
      <c r="BG22" s="29">
        <f>IF(('Activity data'!BG9*EF!$H22)*kgtoGg=0,"NO",('Activity data'!BG9*EF!$H22)*kgtoGg)</f>
        <v>0.11770491231875754</v>
      </c>
      <c r="BH22" s="29">
        <f>IF(('Activity data'!BH9*EF!$H22)*kgtoGg=0,"NO",('Activity data'!BH9*EF!$H22)*kgtoGg)</f>
        <v>0.11859178703652208</v>
      </c>
      <c r="BI22" s="29">
        <f>IF(('Activity data'!BI9*EF!$H22)*kgtoGg=0,"NO",('Activity data'!BI9*EF!$H22)*kgtoGg)</f>
        <v>0.11947866176747036</v>
      </c>
      <c r="BJ22" s="29">
        <f>IF(('Activity data'!BJ9*EF!$H22)*kgtoGg=0,"NO",('Activity data'!BJ9*EF!$H22)*kgtoGg)</f>
        <v>0.12036553649841859</v>
      </c>
      <c r="BK22" s="29">
        <f>IF(('Activity data'!BK9*EF!$H22)*kgtoGg=0,"NO",('Activity data'!BK9*EF!$H22)*kgtoGg)</f>
        <v>0.12125241122936685</v>
      </c>
      <c r="BL22" s="29">
        <f>IF(('Activity data'!BL9*EF!$H22)*kgtoGg=0,"NO",('Activity data'!BL9*EF!$H22)*kgtoGg)</f>
        <v>0.12210798446727175</v>
      </c>
      <c r="BM22" s="29">
        <f>IF(('Activity data'!BM9*EF!$H22)*kgtoGg=0,"NO",('Activity data'!BM9*EF!$H22)*kgtoGg)</f>
        <v>0.12296355770517658</v>
      </c>
      <c r="BN22" s="29">
        <f>IF(('Activity data'!BN9*EF!$H22)*kgtoGg=0,"NO",('Activity data'!BN9*EF!$H22)*kgtoGg)</f>
        <v>0.12381913095626518</v>
      </c>
      <c r="BO22" s="29">
        <f>IF(('Activity data'!BO9*EF!$H22)*kgtoGg=0,"NO",('Activity data'!BO9*EF!$H22)*kgtoGg)</f>
        <v>0.12467470419417002</v>
      </c>
      <c r="BP22" s="29">
        <f>IF(('Activity data'!BP9*EF!$H22)*kgtoGg=0,"NO",('Activity data'!BP9*EF!$H22)*kgtoGg)</f>
        <v>0.1255302774320749</v>
      </c>
    </row>
    <row r="23" spans="1:68" x14ac:dyDescent="0.25">
      <c r="A23" t="str">
        <f t="shared" si="1"/>
        <v>3A Livestock</v>
      </c>
      <c r="B23" t="str">
        <f t="shared" si="8"/>
        <v>3A2 Manure management (CH4)</v>
      </c>
      <c r="C23" t="str">
        <f>EF!C23</f>
        <v>3A1aii Other cattle</v>
      </c>
      <c r="D23" t="str">
        <f>EF!D23</f>
        <v>Feedlot</v>
      </c>
      <c r="E23" t="str">
        <f t="shared" si="9"/>
        <v>Manure management Emissions</v>
      </c>
      <c r="F23" t="str">
        <f t="shared" si="6"/>
        <v>CH4</v>
      </c>
      <c r="G23" t="str">
        <f t="shared" si="7"/>
        <v>Gg CH4</v>
      </c>
      <c r="H23" s="29">
        <f>IF(('Activity data'!H10*EF!$H23)*kgtoGg=0,"NO",('Activity data'!H10*EF!$H23)*kgtoGg)</f>
        <v>0.3654</v>
      </c>
      <c r="I23" s="29">
        <f>IF(('Activity data'!I10*EF!$H23)*kgtoGg=0,"NO",('Activity data'!I10*EF!$H23)*kgtoGg)</f>
        <v>0.3654</v>
      </c>
      <c r="J23" s="29">
        <f>IF(('Activity data'!J10*EF!$H23)*kgtoGg=0,"NO",('Activity data'!J10*EF!$H23)*kgtoGg)</f>
        <v>0.3654</v>
      </c>
      <c r="K23" s="29">
        <f>IF(('Activity data'!K10*EF!$H23)*kgtoGg=0,"NO",('Activity data'!K10*EF!$H23)*kgtoGg)</f>
        <v>0.3654</v>
      </c>
      <c r="L23" s="29">
        <f>IF(('Activity data'!L10*EF!$H23)*kgtoGg=0,"NO",('Activity data'!L10*EF!$H23)*kgtoGg)</f>
        <v>0.3654</v>
      </c>
      <c r="M23" s="29">
        <f>IF(('Activity data'!M10*EF!$H23)*kgtoGg=0,"NO",('Activity data'!M10*EF!$H23)*kgtoGg)</f>
        <v>0.3654</v>
      </c>
      <c r="N23" s="29">
        <f>IF(('Activity data'!N10*EF!$H23)*kgtoGg=0,"NO",('Activity data'!N10*EF!$H23)*kgtoGg)</f>
        <v>0.3654</v>
      </c>
      <c r="O23" s="29">
        <f>IF(('Activity data'!O10*EF!$H23)*kgtoGg=0,"NO",('Activity data'!O10*EF!$H23)*kgtoGg)</f>
        <v>0.3654</v>
      </c>
      <c r="P23" s="29">
        <f>IF(('Activity data'!P10*EF!$H23)*kgtoGg=0,"NO",('Activity data'!P10*EF!$H23)*kgtoGg)</f>
        <v>0.3654</v>
      </c>
      <c r="Q23" s="29">
        <f>IF(('Activity data'!Q10*EF!$H23)*kgtoGg=0,"NO",('Activity data'!Q10*EF!$H23)*kgtoGg)</f>
        <v>0.3654</v>
      </c>
      <c r="R23" s="29">
        <f>IF(('Activity data'!R10*EF!$H23)*kgtoGg=0,"NO",('Activity data'!R10*EF!$H23)*kgtoGg)</f>
        <v>0.3654</v>
      </c>
      <c r="S23" s="29">
        <f>IF(('Activity data'!S10*EF!$H23)*kgtoGg=0,"NO",('Activity data'!S10*EF!$H23)*kgtoGg)</f>
        <v>0.3654</v>
      </c>
      <c r="T23" s="29">
        <f>IF(('Activity data'!T10*EF!$H23)*kgtoGg=0,"NO",('Activity data'!T10*EF!$H23)*kgtoGg)</f>
        <v>0.3654</v>
      </c>
      <c r="U23" s="29">
        <f>IF(('Activity data'!U10*EF!$H23)*kgtoGg=0,"NO",('Activity data'!U10*EF!$H23)*kgtoGg)</f>
        <v>0.3654</v>
      </c>
      <c r="V23" s="29">
        <f>IF(('Activity data'!V10*EF!$H23)*kgtoGg=0,"NO",('Activity data'!V10*EF!$H23)*kgtoGg)</f>
        <v>0.3654</v>
      </c>
      <c r="W23" s="29">
        <f>IF(('Activity data'!W10*EF!$H23)*kgtoGg=0,"NO",('Activity data'!W10*EF!$H23)*kgtoGg)</f>
        <v>0.3654</v>
      </c>
      <c r="X23" s="29">
        <f>IF(('Activity data'!X10*EF!$H23)*kgtoGg=0,"NO",('Activity data'!X10*EF!$H23)*kgtoGg)</f>
        <v>0.3654</v>
      </c>
      <c r="Y23" s="29">
        <f>IF(('Activity data'!Y10*EF!$H23)*kgtoGg=0,"NO",('Activity data'!Y10*EF!$H23)*kgtoGg)</f>
        <v>0.3654</v>
      </c>
      <c r="Z23" s="29">
        <f>IF(('Activity data'!Z10*EF!$H23)*kgtoGg=0,"NO",('Activity data'!Z10*EF!$H23)*kgtoGg)</f>
        <v>0.34029854249999997</v>
      </c>
      <c r="AA23" s="29">
        <f>IF(('Activity data'!AA10*EF!$H23)*kgtoGg=0,"NO",('Activity data'!AA10*EF!$H23)*kgtoGg)</f>
        <v>0.34871289249999998</v>
      </c>
      <c r="AB23" s="29">
        <f>IF(('Activity data'!AB10*EF!$H23)*kgtoGg=0,"NO",('Activity data'!AB10*EF!$H23)*kgtoGg)</f>
        <v>0.34784542999999996</v>
      </c>
      <c r="AC23" s="29">
        <f>IF(('Activity data'!AC10*EF!$H23)*kgtoGg=0,"NO",('Activity data'!AC10*EF!$H23)*kgtoGg)</f>
        <v>0.40176614500000002</v>
      </c>
      <c r="AD23" s="29">
        <f>IF(('Activity data'!AD10*EF!$H23)*kgtoGg=0,"NO",('Activity data'!AD10*EF!$H23)*kgtoGg)</f>
        <v>0.42131809000000003</v>
      </c>
      <c r="AE23" s="29">
        <f>IF(('Activity data'!AE10*EF!$H23)*kgtoGg=0,"NO",('Activity data'!AE10*EF!$H23)*kgtoGg)</f>
        <v>0.43730462999999997</v>
      </c>
      <c r="AF23" s="29">
        <f>IF(('Activity data'!AF10*EF!$H23)*kgtoGg=0,"NO",('Activity data'!AF10*EF!$H23)*kgtoGg)</f>
        <v>0.45329174999999999</v>
      </c>
      <c r="AG23" s="29">
        <f>IF(('Activity data'!AG10*EF!$H23)*kgtoGg=0,"NO",('Activity data'!AG10*EF!$H23)*kgtoGg)</f>
        <v>0.46927799999999997</v>
      </c>
      <c r="AH23" s="29">
        <f>IF(('Activity data'!AH10*EF!$H23)*kgtoGg=0,"NO",('Activity data'!AH10*EF!$H23)*kgtoGg)</f>
        <v>0.49427831999999999</v>
      </c>
      <c r="AI23" s="29">
        <f>IF(('Activity data'!AI10*EF!$H23)*kgtoGg=0,"NO",('Activity data'!AI10*EF!$H23)*kgtoGg)</f>
        <v>0.51467894999999997</v>
      </c>
      <c r="AJ23" s="29">
        <f>IF(('Activity data'!AJ10*EF!$H23)*kgtoGg=0,"NO",('Activity data'!AJ10*EF!$H23)*kgtoGg)</f>
        <v>0.45886776165110682</v>
      </c>
      <c r="AK23" s="29">
        <f>IF(('Activity data'!AK10*EF!$H23)*kgtoGg=0,"NO",('Activity data'!AK10*EF!$H23)*kgtoGg)</f>
        <v>0.46411931611980511</v>
      </c>
      <c r="AL23" s="29">
        <f>IF(('Activity data'!AL10*EF!$H23)*kgtoGg=0,"NO",('Activity data'!AL10*EF!$H23)*kgtoGg)</f>
        <v>0.46174349312710739</v>
      </c>
      <c r="AM23" s="29">
        <f>IF(('Activity data'!AM10*EF!$H23)*kgtoGg=0,"NO",('Activity data'!AM10*EF!$H23)*kgtoGg)</f>
        <v>0.46819273237346398</v>
      </c>
      <c r="AN23" s="29">
        <f>IF(('Activity data'!AN10*EF!$H23)*kgtoGg=0,"NO",('Activity data'!AN10*EF!$H23)*kgtoGg)</f>
        <v>0.47456443735747511</v>
      </c>
      <c r="AO23" s="29">
        <f>IF(('Activity data'!AO10*EF!$H23)*kgtoGg=0,"NO",('Activity data'!AO10*EF!$H23)*kgtoGg)</f>
        <v>0.48095354664322865</v>
      </c>
      <c r="AP23" s="29">
        <f>IF(('Activity data'!AP10*EF!$H23)*kgtoGg=0,"NO",('Activity data'!AP10*EF!$H23)*kgtoGg)</f>
        <v>0.48727590980958235</v>
      </c>
      <c r="AQ23" s="29">
        <f>IF(('Activity data'!AQ10*EF!$H23)*kgtoGg=0,"NO",('Activity data'!AQ10*EF!$H23)*kgtoGg)</f>
        <v>0.49367569168367348</v>
      </c>
      <c r="AR23" s="29">
        <f>IF(('Activity data'!AR10*EF!$H23)*kgtoGg=0,"NO",('Activity data'!AR10*EF!$H23)*kgtoGg)</f>
        <v>0.50080562106632054</v>
      </c>
      <c r="AS23" s="29">
        <f>IF(('Activity data'!AS10*EF!$H23)*kgtoGg=0,"NO",('Activity data'!AS10*EF!$H23)*kgtoGg)</f>
        <v>0.5079150232098677</v>
      </c>
      <c r="AT23" s="29">
        <f>IF(('Activity data'!AT10*EF!$H23)*kgtoGg=0,"NO",('Activity data'!AT10*EF!$H23)*kgtoGg)</f>
        <v>0.51512921856826543</v>
      </c>
      <c r="AU23" s="29">
        <f>IF(('Activity data'!AU10*EF!$H23)*kgtoGg=0,"NO",('Activity data'!AU10*EF!$H23)*kgtoGg)</f>
        <v>0.52242122662199253</v>
      </c>
      <c r="AV23" s="29">
        <f>IF(('Activity data'!AV10*EF!$H23)*kgtoGg=0,"NO",('Activity data'!AV10*EF!$H23)*kgtoGg)</f>
        <v>0.52979814953503912</v>
      </c>
      <c r="AW23" s="29">
        <f>IF(('Activity data'!AW10*EF!$H23)*kgtoGg=0,"NO",('Activity data'!AW10*EF!$H23)*kgtoGg)</f>
        <v>0.53750784089709591</v>
      </c>
      <c r="AX23" s="29">
        <f>IF(('Activity data'!AX10*EF!$H23)*kgtoGg=0,"NO",('Activity data'!AX10*EF!$H23)*kgtoGg)</f>
        <v>0.5450779303575658</v>
      </c>
      <c r="AY23" s="29">
        <f>IF(('Activity data'!AY10*EF!$H23)*kgtoGg=0,"NO",('Activity data'!AY10*EF!$H23)*kgtoGg)</f>
        <v>0.55296289139365784</v>
      </c>
      <c r="AZ23" s="29">
        <f>IF(('Activity data'!AZ10*EF!$H23)*kgtoGg=0,"NO",('Activity data'!AZ10*EF!$H23)*kgtoGg)</f>
        <v>0.56106797498610772</v>
      </c>
      <c r="BA23" s="29">
        <f>IF(('Activity data'!BA10*EF!$H23)*kgtoGg=0,"NO",('Activity data'!BA10*EF!$H23)*kgtoGg)</f>
        <v>0.56940509519455473</v>
      </c>
      <c r="BB23" s="29">
        <f>IF(('Activity data'!BB10*EF!$H23)*kgtoGg=0,"NO",('Activity data'!BB10*EF!$H23)*kgtoGg)</f>
        <v>0.5780344307486045</v>
      </c>
      <c r="BC23" s="29">
        <f>IF(('Activity data'!BC10*EF!$H23)*kgtoGg=0,"NO",('Activity data'!BC10*EF!$H23)*kgtoGg)</f>
        <v>0.5868233679570064</v>
      </c>
      <c r="BD23" s="29">
        <f>IF(('Activity data'!BD10*EF!$H23)*kgtoGg=0,"NO",('Activity data'!BD10*EF!$H23)*kgtoGg)</f>
        <v>0.59567159644786605</v>
      </c>
      <c r="BE23" s="29">
        <f>IF(('Activity data'!BE10*EF!$H23)*kgtoGg=0,"NO",('Activity data'!BE10*EF!$H23)*kgtoGg)</f>
        <v>0.60468093184917304</v>
      </c>
      <c r="BF23" s="29">
        <f>IF(('Activity data'!BF10*EF!$H23)*kgtoGg=0,"NO",('Activity data'!BF10*EF!$H23)*kgtoGg)</f>
        <v>0.61394152741256303</v>
      </c>
      <c r="BG23" s="29">
        <f>IF(('Activity data'!BG10*EF!$H23)*kgtoGg=0,"NO",('Activity data'!BG10*EF!$H23)*kgtoGg)</f>
        <v>0.62407622087207826</v>
      </c>
      <c r="BH23" s="29">
        <f>IF(('Activity data'!BH10*EF!$H23)*kgtoGg=0,"NO",('Activity data'!BH10*EF!$H23)*kgtoGg)</f>
        <v>0.63440379859276508</v>
      </c>
      <c r="BI23" s="29">
        <f>IF(('Activity data'!BI10*EF!$H23)*kgtoGg=0,"NO",('Activity data'!BI10*EF!$H23)*kgtoGg)</f>
        <v>0.64491326527572523</v>
      </c>
      <c r="BJ23" s="29">
        <f>IF(('Activity data'!BJ10*EF!$H23)*kgtoGg=0,"NO",('Activity data'!BJ10*EF!$H23)*kgtoGg)</f>
        <v>0.65563176135591705</v>
      </c>
      <c r="BK23" s="29">
        <f>IF(('Activity data'!BK10*EF!$H23)*kgtoGg=0,"NO",('Activity data'!BK10*EF!$H23)*kgtoGg)</f>
        <v>0.66666689187698758</v>
      </c>
      <c r="BL23" s="29">
        <f>IF(('Activity data'!BL10*EF!$H23)*kgtoGg=0,"NO",('Activity data'!BL10*EF!$H23)*kgtoGg)</f>
        <v>0.67777286137971882</v>
      </c>
      <c r="BM23" s="29">
        <f>IF(('Activity data'!BM10*EF!$H23)*kgtoGg=0,"NO",('Activity data'!BM10*EF!$H23)*kgtoGg)</f>
        <v>0.68915184197730295</v>
      </c>
      <c r="BN23" s="29">
        <f>IF(('Activity data'!BN10*EF!$H23)*kgtoGg=0,"NO",('Activity data'!BN10*EF!$H23)*kgtoGg)</f>
        <v>0.70059928431902796</v>
      </c>
      <c r="BO23" s="29">
        <f>IF(('Activity data'!BO10*EF!$H23)*kgtoGg=0,"NO",('Activity data'!BO10*EF!$H23)*kgtoGg)</f>
        <v>0.71234448117318072</v>
      </c>
      <c r="BP23" s="29">
        <f>IF(('Activity data'!BP10*EF!$H23)*kgtoGg=0,"NO",('Activity data'!BP10*EF!$H23)*kgtoGg)</f>
        <v>0.72441227982669276</v>
      </c>
    </row>
    <row r="24" spans="1:68" x14ac:dyDescent="0.25">
      <c r="A24" t="str">
        <f t="shared" si="1"/>
        <v>3A Livestock</v>
      </c>
      <c r="B24" t="str">
        <f t="shared" si="8"/>
        <v>3A2 Manure management (CH4)</v>
      </c>
      <c r="C24" t="str">
        <f>EF!C24</f>
        <v>3A1c Sheep</v>
      </c>
      <c r="D24" t="str">
        <f>EF!D24</f>
        <v>Commercial</v>
      </c>
      <c r="E24" t="str">
        <f t="shared" si="9"/>
        <v>Manure management Emissions</v>
      </c>
      <c r="F24" t="str">
        <f t="shared" si="6"/>
        <v>CH4</v>
      </c>
      <c r="G24" t="str">
        <f t="shared" si="7"/>
        <v>Gg CH4</v>
      </c>
      <c r="H24" s="29">
        <f>IF(('Activity data'!H11*EF!$H24)*kgtoGg=0,"NO",('Activity data'!H11*EF!$H24)*kgtoGg)</f>
        <v>5.683257382813009E-2</v>
      </c>
      <c r="I24" s="29">
        <f>IF(('Activity data'!I11*EF!$H24)*kgtoGg=0,"NO",('Activity data'!I11*EF!$H24)*kgtoGg)</f>
        <v>5.427710801805239E-2</v>
      </c>
      <c r="J24" s="29">
        <f>IF(('Activity data'!J11*EF!$H24)*kgtoGg=0,"NO",('Activity data'!J11*EF!$H24)*kgtoGg)</f>
        <v>5.2034440322709721E-2</v>
      </c>
      <c r="K24" s="29">
        <f>IF(('Activity data'!K11*EF!$H24)*kgtoGg=0,"NO",('Activity data'!K11*EF!$H24)*kgtoGg)</f>
        <v>4.8663803668171031E-2</v>
      </c>
      <c r="L24" s="29">
        <f>IF(('Activity data'!L11*EF!$H24)*kgtoGg=0,"NO",('Activity data'!L11*EF!$H24)*kgtoGg)</f>
        <v>4.9006933721304616E-2</v>
      </c>
      <c r="M24" s="29">
        <f>IF(('Activity data'!M11*EF!$H24)*kgtoGg=0,"NO",('Activity data'!M11*EF!$H24)*kgtoGg)</f>
        <v>4.8305507645838179E-2</v>
      </c>
      <c r="N24" s="29">
        <f>IF(('Activity data'!N11*EF!$H24)*kgtoGg=0,"NO",('Activity data'!N11*EF!$H24)*kgtoGg)</f>
        <v>4.846664606858047E-2</v>
      </c>
      <c r="O24" s="29">
        <f>IF(('Activity data'!O11*EF!$H24)*kgtoGg=0,"NO",('Activity data'!O11*EF!$H24)*kgtoGg)</f>
        <v>4.7412611209230918E-2</v>
      </c>
      <c r="P24" s="29">
        <f>IF(('Activity data'!P11*EF!$H24)*kgtoGg=0,"NO",('Activity data'!P11*EF!$H24)*kgtoGg)</f>
        <v>4.7543417693574654E-2</v>
      </c>
      <c r="Q24" s="29">
        <f>IF(('Activity data'!Q11*EF!$H24)*kgtoGg=0,"NO",('Activity data'!Q11*EF!$H24)*kgtoGg)</f>
        <v>4.637563806523054E-2</v>
      </c>
      <c r="R24" s="29">
        <f>IF(('Activity data'!R11*EF!$H24)*kgtoGg=0,"NO",('Activity data'!R11*EF!$H24)*kgtoGg)</f>
        <v>4.4713068691760109E-2</v>
      </c>
      <c r="S24" s="29">
        <f>IF(('Activity data'!S11*EF!$H24)*kgtoGg=0,"NO",('Activity data'!S11*EF!$H24)*kgtoGg)</f>
        <v>4.3598369955613454E-2</v>
      </c>
      <c r="T24" s="29">
        <f>IF(('Activity data'!T11*EF!$H24)*kgtoGg=0,"NO",('Activity data'!T11*EF!$H24)*kgtoGg)</f>
        <v>4.2870403434048299E-2</v>
      </c>
      <c r="U24" s="29">
        <f>IF(('Activity data'!U11*EF!$H24)*kgtoGg=0,"NO",('Activity data'!U11*EF!$H24)*kgtoGg)</f>
        <v>4.3020167379891124E-2</v>
      </c>
      <c r="V24" s="29">
        <f>IF(('Activity data'!V11*EF!$H24)*kgtoGg=0,"NO",('Activity data'!V11*EF!$H24)*kgtoGg)</f>
        <v>4.2254285935327783E-2</v>
      </c>
      <c r="W24" s="29">
        <f>IF(('Activity data'!W11*EF!$H24)*kgtoGg=0,"NO",('Activity data'!W11*EF!$H24)*kgtoGg)</f>
        <v>4.2153811389382595E-2</v>
      </c>
      <c r="X24" s="29">
        <f>IF(('Activity data'!X11*EF!$H24)*kgtoGg=0,"NO",('Activity data'!X11*EF!$H24)*kgtoGg)</f>
        <v>4.1602149259758997E-2</v>
      </c>
      <c r="Y24" s="29">
        <f>IF(('Activity data'!Y11*EF!$H24)*kgtoGg=0,"NO",('Activity data'!Y11*EF!$H24)*kgtoGg)</f>
        <v>4.1562338590610905E-2</v>
      </c>
      <c r="Z24" s="29">
        <f>IF(('Activity data'!Z11*EF!$H24)*kgtoGg=0,"NO",('Activity data'!Z11*EF!$H24)*kgtoGg)</f>
        <v>4.1696936567254456E-2</v>
      </c>
      <c r="AA24" s="29">
        <f>IF(('Activity data'!AA11*EF!$H24)*kgtoGg=0,"NO",('Activity data'!AA11*EF!$H24)*kgtoGg)</f>
        <v>4.1549068367561531E-2</v>
      </c>
      <c r="AB24" s="29">
        <f>IF(('Activity data'!AB11*EF!$H24)*kgtoGg=0,"NO",('Activity data'!AB11*EF!$H24)*kgtoGg)</f>
        <v>4.0745272000000006E-2</v>
      </c>
      <c r="AC24" s="29">
        <f>IF(('Activity data'!AC11*EF!$H24)*kgtoGg=0,"NO",('Activity data'!AC11*EF!$H24)*kgtoGg)</f>
        <v>4.042678664681524E-2</v>
      </c>
      <c r="AD24" s="29">
        <f>IF(('Activity data'!AD11*EF!$H24)*kgtoGg=0,"NO",('Activity data'!AD11*EF!$H24)*kgtoGg)</f>
        <v>4.0620152754105993E-2</v>
      </c>
      <c r="AE24" s="29">
        <f>IF(('Activity data'!AE11*EF!$H24)*kgtoGg=0,"NO",('Activity data'!AE11*EF!$H24)*kgtoGg)</f>
        <v>4.0927263630391293E-2</v>
      </c>
      <c r="AF24" s="29">
        <f>IF(('Activity data'!AF11*EF!$H24)*kgtoGg=0,"NO",('Activity data'!AF11*EF!$H24)*kgtoGg)</f>
        <v>4.0193609870376408E-2</v>
      </c>
      <c r="AG24" s="29">
        <f>IF(('Activity data'!AG11*EF!$H24)*kgtoGg=0,"NO",('Activity data'!AG11*EF!$H24)*kgtoGg)</f>
        <v>3.9873228771041734E-2</v>
      </c>
      <c r="AH24" s="29">
        <f>IF(('Activity data'!AH11*EF!$H24)*kgtoGg=0,"NO",('Activity data'!AH11*EF!$H24)*kgtoGg)</f>
        <v>3.8745259811845713E-2</v>
      </c>
      <c r="AI24" s="29">
        <f>IF(('Activity data'!AI11*EF!$H24)*kgtoGg=0,"NO",('Activity data'!AI11*EF!$H24)*kgtoGg)</f>
        <v>3.7804969721490722E-2</v>
      </c>
      <c r="AJ24" s="29">
        <f>IF(('Activity data'!AJ11*EF!$H24)*kgtoGg=0,"NO",('Activity data'!AJ11*EF!$H24)*kgtoGg)</f>
        <v>4.0204573059575137E-2</v>
      </c>
      <c r="AK24" s="29">
        <f>IF(('Activity data'!AK11*EF!$H24)*kgtoGg=0,"NO",('Activity data'!AK11*EF!$H24)*kgtoGg)</f>
        <v>4.0078902683338129E-2</v>
      </c>
      <c r="AL24" s="29">
        <f>IF(('Activity data'!AL11*EF!$H24)*kgtoGg=0,"NO",('Activity data'!AL11*EF!$H24)*kgtoGg)</f>
        <v>3.9661528284790873E-2</v>
      </c>
      <c r="AM24" s="29">
        <f>IF(('Activity data'!AM11*EF!$H24)*kgtoGg=0,"NO",('Activity data'!AM11*EF!$H24)*kgtoGg)</f>
        <v>3.9577219421779296E-2</v>
      </c>
      <c r="AN24" s="29">
        <f>IF(('Activity data'!AN11*EF!$H24)*kgtoGg=0,"NO",('Activity data'!AN11*EF!$H24)*kgtoGg)</f>
        <v>3.9489945318131277E-2</v>
      </c>
      <c r="AO24" s="29">
        <f>IF(('Activity data'!AO11*EF!$H24)*kgtoGg=0,"NO",('Activity data'!AO11*EF!$H24)*kgtoGg)</f>
        <v>3.940333683052881E-2</v>
      </c>
      <c r="AP24" s="29">
        <f>IF(('Activity data'!AP11*EF!$H24)*kgtoGg=0,"NO",('Activity data'!AP11*EF!$H24)*kgtoGg)</f>
        <v>3.9314175681595356E-2</v>
      </c>
      <c r="AQ24" s="29">
        <f>IF(('Activity data'!AQ11*EF!$H24)*kgtoGg=0,"NO",('Activity data'!AQ11*EF!$H24)*kgtoGg)</f>
        <v>3.9227975353988538E-2</v>
      </c>
      <c r="AR24" s="29">
        <f>IF(('Activity data'!AR11*EF!$H24)*kgtoGg=0,"NO",('Activity data'!AR11*EF!$H24)*kgtoGg)</f>
        <v>3.9142099738936467E-2</v>
      </c>
      <c r="AS24" s="29">
        <f>IF(('Activity data'!AS11*EF!$H24)*kgtoGg=0,"NO",('Activity data'!AS11*EF!$H24)*kgtoGg)</f>
        <v>3.9055439073158567E-2</v>
      </c>
      <c r="AT24" s="29">
        <f>IF(('Activity data'!AT11*EF!$H24)*kgtoGg=0,"NO",('Activity data'!AT11*EF!$H24)*kgtoGg)</f>
        <v>3.8972786154792854E-2</v>
      </c>
      <c r="AU24" s="29">
        <f>IF(('Activity data'!AU11*EF!$H24)*kgtoGg=0,"NO",('Activity data'!AU11*EF!$H24)*kgtoGg)</f>
        <v>3.8893109131658395E-2</v>
      </c>
      <c r="AV24" s="29">
        <f>IF(('Activity data'!AV11*EF!$H24)*kgtoGg=0,"NO",('Activity data'!AV11*EF!$H24)*kgtoGg)</f>
        <v>3.8816679621334567E-2</v>
      </c>
      <c r="AW24" s="29">
        <f>IF(('Activity data'!AW11*EF!$H24)*kgtoGg=0,"NO",('Activity data'!AW11*EF!$H24)*kgtoGg)</f>
        <v>3.8765149614148932E-2</v>
      </c>
      <c r="AX24" s="29">
        <f>IF(('Activity data'!AX11*EF!$H24)*kgtoGg=0,"NO",('Activity data'!AX11*EF!$H24)*kgtoGg)</f>
        <v>3.8708280630385013E-2</v>
      </c>
      <c r="AY24" s="29">
        <f>IF(('Activity data'!AY11*EF!$H24)*kgtoGg=0,"NO",('Activity data'!AY11*EF!$H24)*kgtoGg)</f>
        <v>3.8663453696328218E-2</v>
      </c>
      <c r="AZ24" s="29">
        <f>IF(('Activity data'!AZ11*EF!$H24)*kgtoGg=0,"NO",('Activity data'!AZ11*EF!$H24)*kgtoGg)</f>
        <v>3.8627045210422283E-2</v>
      </c>
      <c r="BA24" s="29">
        <f>IF(('Activity data'!BA11*EF!$H24)*kgtoGg=0,"NO",('Activity data'!BA11*EF!$H24)*kgtoGg)</f>
        <v>3.8599510811914324E-2</v>
      </c>
      <c r="BB24" s="29">
        <f>IF(('Activity data'!BB11*EF!$H24)*kgtoGg=0,"NO",('Activity data'!BB11*EF!$H24)*kgtoGg)</f>
        <v>3.8569534091285447E-2</v>
      </c>
      <c r="BC24" s="29">
        <f>IF(('Activity data'!BC11*EF!$H24)*kgtoGg=0,"NO",('Activity data'!BC11*EF!$H24)*kgtoGg)</f>
        <v>3.8545661230702535E-2</v>
      </c>
      <c r="BD24" s="29">
        <f>IF(('Activity data'!BD11*EF!$H24)*kgtoGg=0,"NO",('Activity data'!BD11*EF!$H24)*kgtoGg)</f>
        <v>3.8524055932235603E-2</v>
      </c>
      <c r="BE24" s="29">
        <f>IF(('Activity data'!BE11*EF!$H24)*kgtoGg=0,"NO",('Activity data'!BE11*EF!$H24)*kgtoGg)</f>
        <v>3.8508612055232663E-2</v>
      </c>
      <c r="BF24" s="29">
        <f>IF(('Activity data'!BF11*EF!$H24)*kgtoGg=0,"NO",('Activity data'!BF11*EF!$H24)*kgtoGg)</f>
        <v>3.8502777457473714E-2</v>
      </c>
      <c r="BG24" s="29">
        <f>IF(('Activity data'!BG11*EF!$H24)*kgtoGg=0,"NO",('Activity data'!BG11*EF!$H24)*kgtoGg)</f>
        <v>3.8479421955417738E-2</v>
      </c>
      <c r="BH24" s="29">
        <f>IF(('Activity data'!BH11*EF!$H24)*kgtoGg=0,"NO",('Activity data'!BH11*EF!$H24)*kgtoGg)</f>
        <v>3.846344319087136E-2</v>
      </c>
      <c r="BI24" s="29">
        <f>IF(('Activity data'!BI11*EF!$H24)*kgtoGg=0,"NO",('Activity data'!BI11*EF!$H24)*kgtoGg)</f>
        <v>3.8454420643659497E-2</v>
      </c>
      <c r="BJ24" s="29">
        <f>IF(('Activity data'!BJ11*EF!$H24)*kgtoGg=0,"NO",('Activity data'!BJ11*EF!$H24)*kgtoGg)</f>
        <v>3.8453392287932472E-2</v>
      </c>
      <c r="BK24" s="29">
        <f>IF(('Activity data'!BK11*EF!$H24)*kgtoGg=0,"NO",('Activity data'!BK11*EF!$H24)*kgtoGg)</f>
        <v>3.8464473407641003E-2</v>
      </c>
      <c r="BL24" s="29">
        <f>IF(('Activity data'!BL11*EF!$H24)*kgtoGg=0,"NO",('Activity data'!BL11*EF!$H24)*kgtoGg)</f>
        <v>3.8492767856009684E-2</v>
      </c>
      <c r="BM24" s="29">
        <f>IF(('Activity data'!BM11*EF!$H24)*kgtoGg=0,"NO",('Activity data'!BM11*EF!$H24)*kgtoGg)</f>
        <v>3.8531503433705871E-2</v>
      </c>
      <c r="BN24" s="29">
        <f>IF(('Activity data'!BN11*EF!$H24)*kgtoGg=0,"NO",('Activity data'!BN11*EF!$H24)*kgtoGg)</f>
        <v>3.8572857279561223E-2</v>
      </c>
      <c r="BO24" s="29">
        <f>IF(('Activity data'!BO11*EF!$H24)*kgtoGg=0,"NO",('Activity data'!BO11*EF!$H24)*kgtoGg)</f>
        <v>3.8625598556544904E-2</v>
      </c>
      <c r="BP24" s="29">
        <f>IF(('Activity data'!BP11*EF!$H24)*kgtoGg=0,"NO",('Activity data'!BP11*EF!$H24)*kgtoGg)</f>
        <v>3.8690677526654935E-2</v>
      </c>
    </row>
    <row r="25" spans="1:68" x14ac:dyDescent="0.25">
      <c r="A25" t="str">
        <f t="shared" si="1"/>
        <v>3A Livestock</v>
      </c>
      <c r="B25" t="str">
        <f t="shared" si="8"/>
        <v>3A2 Manure management (CH4)</v>
      </c>
      <c r="C25" t="str">
        <f>EF!C25</f>
        <v>3A1c Sheep</v>
      </c>
      <c r="D25" t="str">
        <f>EF!D25</f>
        <v>Subsistence</v>
      </c>
      <c r="E25" t="str">
        <f t="shared" si="9"/>
        <v>Manure management Emissions</v>
      </c>
      <c r="F25" t="str">
        <f t="shared" si="6"/>
        <v>CH4</v>
      </c>
      <c r="G25" t="str">
        <f t="shared" si="7"/>
        <v>Gg CH4</v>
      </c>
      <c r="H25" s="29">
        <f>IF(('Activity data'!H12*EF!$H25)*kgtoGg=0,"NO",('Activity data'!H12*EF!$H25)*kgtoGg)</f>
        <v>6.0620252936525133E-3</v>
      </c>
      <c r="I25" s="29">
        <f>IF(('Activity data'!I12*EF!$H25)*kgtoGg=0,"NO",('Activity data'!I12*EF!$H25)*kgtoGg)</f>
        <v>5.7894474859923658E-3</v>
      </c>
      <c r="J25" s="29">
        <f>IF(('Activity data'!J12*EF!$H25)*kgtoGg=0,"NO",('Activity data'!J12*EF!$H25)*kgtoGg)</f>
        <v>5.550234172593288E-3</v>
      </c>
      <c r="K25" s="29">
        <f>IF(('Activity data'!K12*EF!$H25)*kgtoGg=0,"NO",('Activity data'!K12*EF!$H25)*kgtoGg)</f>
        <v>5.1907064707982266E-3</v>
      </c>
      <c r="L25" s="29">
        <f>IF(('Activity data'!L12*EF!$H25)*kgtoGg=0,"NO",('Activity data'!L12*EF!$H25)*kgtoGg)</f>
        <v>5.2273063099573412E-3</v>
      </c>
      <c r="M25" s="29">
        <f>IF(('Activity data'!M12*EF!$H25)*kgtoGg=0,"NO",('Activity data'!M12*EF!$H25)*kgtoGg)</f>
        <v>5.1524889591900904E-3</v>
      </c>
      <c r="N25" s="29">
        <f>IF(('Activity data'!N12*EF!$H25)*kgtoGg=0,"NO",('Activity data'!N12*EF!$H25)*kgtoGg)</f>
        <v>5.1696767289609452E-3</v>
      </c>
      <c r="O25" s="29">
        <f>IF(('Activity data'!O12*EF!$H25)*kgtoGg=0,"NO",('Activity data'!O12*EF!$H25)*kgtoGg)</f>
        <v>5.0572484937539399E-3</v>
      </c>
      <c r="P25" s="29">
        <f>IF(('Activity data'!P12*EF!$H25)*kgtoGg=0,"NO",('Activity data'!P12*EF!$H25)*kgtoGg)</f>
        <v>5.0712009186267681E-3</v>
      </c>
      <c r="Q25" s="29">
        <f>IF(('Activity data'!Q12*EF!$H25)*kgtoGg=0,"NO",('Activity data'!Q12*EF!$H25)*kgtoGg)</f>
        <v>4.9466401400521005E-3</v>
      </c>
      <c r="R25" s="29">
        <f>IF(('Activity data'!R12*EF!$H25)*kgtoGg=0,"NO",('Activity data'!R12*EF!$H25)*kgtoGg)</f>
        <v>4.7693027978281018E-3</v>
      </c>
      <c r="S25" s="29">
        <f>IF(('Activity data'!S12*EF!$H25)*kgtoGg=0,"NO",('Activity data'!S12*EF!$H25)*kgtoGg)</f>
        <v>4.6504038728250093E-3</v>
      </c>
      <c r="T25" s="29">
        <f>IF(('Activity data'!T12*EF!$H25)*kgtoGg=0,"NO",('Activity data'!T12*EF!$H25)*kgtoGg)</f>
        <v>4.5727555952719701E-3</v>
      </c>
      <c r="U25" s="29">
        <f>IF(('Activity data'!U12*EF!$H25)*kgtoGg=0,"NO",('Activity data'!U12*EF!$H25)*kgtoGg)</f>
        <v>4.588730110706059E-3</v>
      </c>
      <c r="V25" s="29">
        <f>IF(('Activity data'!V12*EF!$H25)*kgtoGg=0,"NO",('Activity data'!V12*EF!$H25)*kgtoGg)</f>
        <v>4.5070376520304645E-3</v>
      </c>
      <c r="W25" s="29">
        <f>IF(('Activity data'!W12*EF!$H25)*kgtoGg=0,"NO",('Activity data'!W12*EF!$H25)*kgtoGg)</f>
        <v>4.4963205720556969E-3</v>
      </c>
      <c r="X25" s="29">
        <f>IF(('Activity data'!X12*EF!$H25)*kgtoGg=0,"NO",('Activity data'!X12*EF!$H25)*kgtoGg)</f>
        <v>4.4374777367225341E-3</v>
      </c>
      <c r="Y25" s="29">
        <f>IF(('Activity data'!Y12*EF!$H25)*kgtoGg=0,"NO",('Activity data'!Y12*EF!$H25)*kgtoGg)</f>
        <v>4.4332313465438519E-3</v>
      </c>
      <c r="Z25" s="29">
        <f>IF(('Activity data'!Z12*EF!$H25)*kgtoGg=0,"NO",('Activity data'!Z12*EF!$H25)*kgtoGg)</f>
        <v>4.4475881895289192E-3</v>
      </c>
      <c r="AA25" s="29">
        <f>IF(('Activity data'!AA12*EF!$H25)*kgtoGg=0,"NO",('Activity data'!AA12*EF!$H25)*kgtoGg)</f>
        <v>4.4318158831509582E-3</v>
      </c>
      <c r="AB25" s="29">
        <f>IF(('Activity data'!AB12*EF!$H25)*kgtoGg=0,"NO",('Activity data'!AB12*EF!$H25)*kgtoGg)</f>
        <v>4.3460792433528102E-3</v>
      </c>
      <c r="AC25" s="29">
        <f>IF(('Activity data'!AC12*EF!$H25)*kgtoGg=0,"NO",('Activity data'!AC12*EF!$H25)*kgtoGg)</f>
        <v>4.3121081219233554E-3</v>
      </c>
      <c r="AD25" s="29">
        <f>IF(('Activity data'!AD12*EF!$H25)*kgtoGg=0,"NO",('Activity data'!AD12*EF!$H25)*kgtoGg)</f>
        <v>4.332733445648382E-3</v>
      </c>
      <c r="AE25" s="29">
        <f>IF(('Activity data'!AE12*EF!$H25)*kgtoGg=0,"NO",('Activity data'!AE12*EF!$H25)*kgtoGg)</f>
        <v>4.3654913127410709E-3</v>
      </c>
      <c r="AF25" s="29">
        <f>IF(('Activity data'!AF12*EF!$H25)*kgtoGg=0,"NO",('Activity data'!AF12*EF!$H25)*kgtoGg)</f>
        <v>4.2872364080196474E-3</v>
      </c>
      <c r="AG25" s="29">
        <f>IF(('Activity data'!AG12*EF!$H25)*kgtoGg=0,"NO",('Activity data'!AG12*EF!$H25)*kgtoGg)</f>
        <v>4.2530630775340647E-3</v>
      </c>
      <c r="AH25" s="29">
        <f>IF(('Activity data'!AH12*EF!$H25)*kgtoGg=0,"NO",('Activity data'!AH12*EF!$H25)*kgtoGg)</f>
        <v>4.1327486891380794E-3</v>
      </c>
      <c r="AI25" s="29">
        <f>IF(('Activity data'!AI12*EF!$H25)*kgtoGg=0,"NO",('Activity data'!AI12*EF!$H25)*kgtoGg)</f>
        <v>4.0324529972987373E-3</v>
      </c>
      <c r="AJ25" s="29">
        <f>IF(('Activity data'!AJ12*EF!$H25)*kgtoGg=0,"NO",('Activity data'!AJ12*EF!$H25)*kgtoGg)</f>
        <v>4.3019327887414928E-3</v>
      </c>
      <c r="AK25" s="29">
        <f>IF(('Activity data'!AK12*EF!$H25)*kgtoGg=0,"NO",('Activity data'!AK12*EF!$H25)*kgtoGg)</f>
        <v>4.2884859226024995E-3</v>
      </c>
      <c r="AL25" s="29">
        <f>IF(('Activity data'!AL12*EF!$H25)*kgtoGg=0,"NO",('Activity data'!AL12*EF!$H25)*kgtoGg)</f>
        <v>4.2438264106700865E-3</v>
      </c>
      <c r="AM25" s="29">
        <f>IF(('Activity data'!AM12*EF!$H25)*kgtoGg=0,"NO",('Activity data'!AM12*EF!$H25)*kgtoGg)</f>
        <v>4.2348052711685281E-3</v>
      </c>
      <c r="AN25" s="29">
        <f>IF(('Activity data'!AN12*EF!$H25)*kgtoGg=0,"NO",('Activity data'!AN12*EF!$H25)*kgtoGg)</f>
        <v>4.2254668477126915E-3</v>
      </c>
      <c r="AO25" s="29">
        <f>IF(('Activity data'!AO12*EF!$H25)*kgtoGg=0,"NO",('Activity data'!AO12*EF!$H25)*kgtoGg)</f>
        <v>4.2161996458934285E-3</v>
      </c>
      <c r="AP25" s="29">
        <f>IF(('Activity data'!AP12*EF!$H25)*kgtoGg=0,"NO",('Activity data'!AP12*EF!$H25)*kgtoGg)</f>
        <v>4.2066593065516753E-3</v>
      </c>
      <c r="AQ25" s="29">
        <f>IF(('Activity data'!AQ12*EF!$H25)*kgtoGg=0,"NO",('Activity data'!AQ12*EF!$H25)*kgtoGg)</f>
        <v>4.1974357782932721E-3</v>
      </c>
      <c r="AR25" s="29">
        <f>IF(('Activity data'!AR12*EF!$H25)*kgtoGg=0,"NO",('Activity data'!AR12*EF!$H25)*kgtoGg)</f>
        <v>4.1882469946293239E-3</v>
      </c>
      <c r="AS25" s="29">
        <f>IF(('Activity data'!AS12*EF!$H25)*kgtoGg=0,"NO",('Activity data'!AS12*EF!$H25)*kgtoGg)</f>
        <v>4.1789742096888707E-3</v>
      </c>
      <c r="AT25" s="29">
        <f>IF(('Activity data'!AT12*EF!$H25)*kgtoGg=0,"NO",('Activity data'!AT12*EF!$H25)*kgtoGg)</f>
        <v>4.1701302580549179E-3</v>
      </c>
      <c r="AU25" s="29">
        <f>IF(('Activity data'!AU12*EF!$H25)*kgtoGg=0,"NO",('Activity data'!AU12*EF!$H25)*kgtoGg)</f>
        <v>4.161604730428408E-3</v>
      </c>
      <c r="AV25" s="29">
        <f>IF(('Activity data'!AV12*EF!$H25)*kgtoGg=0,"NO",('Activity data'!AV12*EF!$H25)*kgtoGg)</f>
        <v>4.1534266901840228E-3</v>
      </c>
      <c r="AW25" s="29">
        <f>IF(('Activity data'!AW12*EF!$H25)*kgtoGg=0,"NO",('Activity data'!AW12*EF!$H25)*kgtoGg)</f>
        <v>4.1479129236981181E-3</v>
      </c>
      <c r="AX25" s="29">
        <f>IF(('Activity data'!AX12*EF!$H25)*kgtoGg=0,"NO",('Activity data'!AX12*EF!$H25)*kgtoGg)</f>
        <v>4.1418278809455464E-3</v>
      </c>
      <c r="AY25" s="29">
        <f>IF(('Activity data'!AY12*EF!$H25)*kgtoGg=0,"NO",('Activity data'!AY12*EF!$H25)*kgtoGg)</f>
        <v>4.1370313505321556E-3</v>
      </c>
      <c r="AZ25" s="29">
        <f>IF(('Activity data'!AZ12*EF!$H25)*kgtoGg=0,"NO",('Activity data'!AZ12*EF!$H25)*kgtoGg)</f>
        <v>4.1331356031733884E-3</v>
      </c>
      <c r="BA25" s="29">
        <f>IF(('Activity data'!BA12*EF!$H25)*kgtoGg=0,"NO",('Activity data'!BA12*EF!$H25)*kgtoGg)</f>
        <v>4.1301893927613506E-3</v>
      </c>
      <c r="BB25" s="29">
        <f>IF(('Activity data'!BB12*EF!$H25)*kgtoGg=0,"NO",('Activity data'!BB12*EF!$H25)*kgtoGg)</f>
        <v>4.1269818512416033E-3</v>
      </c>
      <c r="BC25" s="29">
        <f>IF(('Activity data'!BC12*EF!$H25)*kgtoGg=0,"NO",('Activity data'!BC12*EF!$H25)*kgtoGg)</f>
        <v>4.1244274293465982E-3</v>
      </c>
      <c r="BD25" s="29">
        <f>IF(('Activity data'!BD12*EF!$H25)*kgtoGg=0,"NO",('Activity data'!BD12*EF!$H25)*kgtoGg)</f>
        <v>4.1221156390498165E-3</v>
      </c>
      <c r="BE25" s="29">
        <f>IF(('Activity data'!BE12*EF!$H25)*kgtoGg=0,"NO",('Activity data'!BE12*EF!$H25)*kgtoGg)</f>
        <v>4.120463127511742E-3</v>
      </c>
      <c r="BF25" s="29">
        <f>IF(('Activity data'!BF12*EF!$H25)*kgtoGg=0,"NO",('Activity data'!BF12*EF!$H25)*kgtoGg)</f>
        <v>4.1198388192428504E-3</v>
      </c>
      <c r="BG25" s="29">
        <f>IF(('Activity data'!BG12*EF!$H25)*kgtoGg=0,"NO",('Activity data'!BG12*EF!$H25)*kgtoGg)</f>
        <v>4.1173397552696257E-3</v>
      </c>
      <c r="BH25" s="29">
        <f>IF(('Activity data'!BH12*EF!$H25)*kgtoGg=0,"NO",('Activity data'!BH12*EF!$H25)*kgtoGg)</f>
        <v>4.1156300101860546E-3</v>
      </c>
      <c r="BI25" s="29">
        <f>IF(('Activity data'!BI12*EF!$H25)*kgtoGg=0,"NO",('Activity data'!BI12*EF!$H25)*kgtoGg)</f>
        <v>4.1146645878787176E-3</v>
      </c>
      <c r="BJ25" s="29">
        <f>IF(('Activity data'!BJ12*EF!$H25)*kgtoGg=0,"NO",('Activity data'!BJ12*EF!$H25)*kgtoGg)</f>
        <v>4.1145545527040122E-3</v>
      </c>
      <c r="BK25" s="29">
        <f>IF(('Activity data'!BK12*EF!$H25)*kgtoGg=0,"NO",('Activity data'!BK12*EF!$H25)*kgtoGg)</f>
        <v>4.1157402444943333E-3</v>
      </c>
      <c r="BL25" s="29">
        <f>IF(('Activity data'!BL12*EF!$H25)*kgtoGg=0,"NO",('Activity data'!BL12*EF!$H25)*kgtoGg)</f>
        <v>4.1187677810632754E-3</v>
      </c>
      <c r="BM25" s="29">
        <f>IF(('Activity data'!BM12*EF!$H25)*kgtoGg=0,"NO",('Activity data'!BM12*EF!$H25)*kgtoGg)</f>
        <v>4.1229125297597771E-3</v>
      </c>
      <c r="BN25" s="29">
        <f>IF(('Activity data'!BN12*EF!$H25)*kgtoGg=0,"NO",('Activity data'!BN12*EF!$H25)*kgtoGg)</f>
        <v>4.127337435980323E-3</v>
      </c>
      <c r="BO25" s="29">
        <f>IF(('Activity data'!BO12*EF!$H25)*kgtoGg=0,"NO",('Activity data'!BO12*EF!$H25)*kgtoGg)</f>
        <v>4.1329808096443087E-3</v>
      </c>
      <c r="BP25" s="29">
        <f>IF(('Activity data'!BP12*EF!$H25)*kgtoGg=0,"NO",('Activity data'!BP12*EF!$H25)*kgtoGg)</f>
        <v>4.1399443298129968E-3</v>
      </c>
    </row>
    <row r="26" spans="1:68" x14ac:dyDescent="0.25">
      <c r="A26" t="str">
        <f t="shared" si="1"/>
        <v>3A Livestock</v>
      </c>
      <c r="B26" t="str">
        <f t="shared" si="8"/>
        <v>3A2 Manure management (CH4)</v>
      </c>
      <c r="C26" t="str">
        <f>EF!C26</f>
        <v>3A1d Goats</v>
      </c>
      <c r="D26" t="str">
        <f>EF!D26</f>
        <v>Commercial</v>
      </c>
      <c r="E26" t="str">
        <f t="shared" si="9"/>
        <v>Manure management Emissions</v>
      </c>
      <c r="F26" t="str">
        <f t="shared" si="6"/>
        <v>CH4</v>
      </c>
      <c r="G26" t="str">
        <f t="shared" si="7"/>
        <v>Gg CH4</v>
      </c>
      <c r="H26" s="29">
        <f>IF(('Activity data'!H13*EF!$H26)*kgtoGg=0,"NO",('Activity data'!H13*EF!$H26)*kgtoGg)</f>
        <v>2.1179239085185406E-2</v>
      </c>
      <c r="I26" s="29">
        <f>IF(('Activity data'!I13*EF!$H26)*kgtoGg=0,"NO",('Activity data'!I13*EF!$H26)*kgtoGg)</f>
        <v>1.872843312038926E-2</v>
      </c>
      <c r="J26" s="29">
        <f>IF(('Activity data'!J13*EF!$H26)*kgtoGg=0,"NO",('Activity data'!J13*EF!$H26)*kgtoGg)</f>
        <v>1.7445768316383788E-2</v>
      </c>
      <c r="K26" s="29">
        <f>IF(('Activity data'!K13*EF!$H26)*kgtoGg=0,"NO",('Activity data'!K13*EF!$H26)*kgtoGg)</f>
        <v>1.6483769713379698E-2</v>
      </c>
      <c r="L26" s="29">
        <f>IF(('Activity data'!L13*EF!$H26)*kgtoGg=0,"NO",('Activity data'!L13*EF!$H26)*kgtoGg)</f>
        <v>1.7842783612861672E-2</v>
      </c>
      <c r="M26" s="29">
        <f>IF(('Activity data'!M13*EF!$H26)*kgtoGg=0,"NO",('Activity data'!M13*EF!$H26)*kgtoGg)</f>
        <v>1.8087100718386526E-2</v>
      </c>
      <c r="N26" s="29">
        <f>IF(('Activity data'!N13*EF!$H26)*kgtoGg=0,"NO",('Activity data'!N13*EF!$H26)*kgtoGg)</f>
        <v>1.8369592371649628E-2</v>
      </c>
      <c r="O26" s="29">
        <f>IF(('Activity data'!O13*EF!$H26)*kgtoGg=0,"NO",('Activity data'!O13*EF!$H26)*kgtoGg)</f>
        <v>1.8277973457077813E-2</v>
      </c>
      <c r="P26" s="29">
        <f>IF(('Activity data'!P13*EF!$H26)*kgtoGg=0,"NO",('Activity data'!P13*EF!$H26)*kgtoGg)</f>
        <v>1.8018386532457662E-2</v>
      </c>
      <c r="Q26" s="29">
        <f>IF(('Activity data'!Q13*EF!$H26)*kgtoGg=0,"NO",('Activity data'!Q13*EF!$H26)*kgtoGg)</f>
        <v>1.775116469828986E-2</v>
      </c>
      <c r="R26" s="29">
        <f>IF(('Activity data'!R13*EF!$H26)*kgtoGg=0,"NO",('Activity data'!R13*EF!$H26)*kgtoGg)</f>
        <v>1.7980211984719403E-2</v>
      </c>
      <c r="S26" s="29">
        <f>IF(('Activity data'!S13*EF!$H26)*kgtoGg=0,"NO",('Activity data'!S13*EF!$H26)*kgtoGg)</f>
        <v>1.8529925472150318E-2</v>
      </c>
      <c r="T26" s="29">
        <f>IF(('Activity data'!T13*EF!$H26)*kgtoGg=0,"NO",('Activity data'!T13*EF!$H26)*kgtoGg)</f>
        <v>1.6918959557595842E-2</v>
      </c>
      <c r="U26" s="29">
        <f>IF(('Activity data'!U13*EF!$H26)*kgtoGg=0,"NO",('Activity data'!U13*EF!$H26)*kgtoGg)</f>
        <v>1.649140462292735E-2</v>
      </c>
      <c r="V26" s="29">
        <f>IF(('Activity data'!V13*EF!$H26)*kgtoGg=0,"NO",('Activity data'!V13*EF!$H26)*kgtoGg)</f>
        <v>1.6521944261117961E-2</v>
      </c>
      <c r="W26" s="29">
        <f>IF(('Activity data'!W13*EF!$H26)*kgtoGg=0,"NO",('Activity data'!W13*EF!$H26)*kgtoGg)</f>
        <v>1.6308166793783711E-2</v>
      </c>
      <c r="X26" s="29">
        <f>IF(('Activity data'!X13*EF!$H26)*kgtoGg=0,"NO",('Activity data'!X13*EF!$H26)*kgtoGg)</f>
        <v>1.6651737723428033E-2</v>
      </c>
      <c r="Y26" s="29">
        <f>IF(('Activity data'!Y13*EF!$H26)*kgtoGg=0,"NO",('Activity data'!Y13*EF!$H26)*kgtoGg)</f>
        <v>1.615546860283068E-2</v>
      </c>
      <c r="Z26" s="29">
        <f>IF(('Activity data'!Z13*EF!$H26)*kgtoGg=0,"NO",('Activity data'!Z13*EF!$H26)*kgtoGg)</f>
        <v>1.6140198783735384E-2</v>
      </c>
      <c r="AA26" s="29">
        <f>IF(('Activity data'!AA13*EF!$H26)*kgtoGg=0,"NO",('Activity data'!AA13*EF!$H26)*kgtoGg)</f>
        <v>1.5857707130472271E-2</v>
      </c>
      <c r="AB26" s="29">
        <f>IF(('Activity data'!AB13*EF!$H26)*kgtoGg=0,"NO",('Activity data'!AB13*EF!$H26)*kgtoGg)</f>
        <v>1.5666834391780984E-2</v>
      </c>
      <c r="AC26" s="29">
        <f>IF(('Activity data'!AC13*EF!$H26)*kgtoGg=0,"NO",('Activity data'!AC13*EF!$H26)*kgtoGg)</f>
        <v>1.5521771110375606E-2</v>
      </c>
      <c r="AD26" s="29">
        <f>IF(('Activity data'!AD13*EF!$H26)*kgtoGg=0,"NO",('Activity data'!AD13*EF!$H26)*kgtoGg)</f>
        <v>1.5483596562637347E-2</v>
      </c>
      <c r="AE26" s="29">
        <f>IF(('Activity data'!AE13*EF!$H26)*kgtoGg=0,"NO",('Activity data'!AE13*EF!$H26)*kgtoGg)</f>
        <v>1.5307993643041359E-2</v>
      </c>
      <c r="AF26" s="29">
        <f>IF(('Activity data'!AF13*EF!$H26)*kgtoGg=0,"NO",('Activity data'!AF13*EF!$H26)*kgtoGg)</f>
        <v>1.5170565271183633E-2</v>
      </c>
      <c r="AG26" s="29">
        <f>IF(('Activity data'!AG13*EF!$H26)*kgtoGg=0,"NO",('Activity data'!AG13*EF!$H26)*kgtoGg)</f>
        <v>1.4964422713397041E-2</v>
      </c>
      <c r="AH26" s="29">
        <f>IF(('Activity data'!AH13*EF!$H26)*kgtoGg=0,"NO",('Activity data'!AH13*EF!$H26)*kgtoGg)</f>
        <v>1.4513963050085597E-2</v>
      </c>
      <c r="AI26" s="29">
        <f>IF(('Activity data'!AI13*EF!$H26)*kgtoGg=0,"NO",('Activity data'!AI13*EF!$H26)*kgtoGg)</f>
        <v>1.4071138296321809E-2</v>
      </c>
      <c r="AJ26" s="29">
        <f>IF(('Activity data'!AJ13*EF!$H26)*kgtoGg=0,"NO",('Activity data'!AJ13*EF!$H26)*kgtoGg)</f>
        <v>1.6077361382048343E-2</v>
      </c>
      <c r="AK26" s="29">
        <f>IF(('Activity data'!AK13*EF!$H26)*kgtoGg=0,"NO",('Activity data'!AK13*EF!$H26)*kgtoGg)</f>
        <v>1.6031012257162774E-2</v>
      </c>
      <c r="AL26" s="29">
        <f>IF(('Activity data'!AL13*EF!$H26)*kgtoGg=0,"NO",('Activity data'!AL13*EF!$H26)*kgtoGg)</f>
        <v>1.5986236825325552E-2</v>
      </c>
      <c r="AM26" s="29">
        <f>IF(('Activity data'!AM13*EF!$H26)*kgtoGg=0,"NO",('Activity data'!AM13*EF!$H26)*kgtoGg)</f>
        <v>1.5939024622115661E-2</v>
      </c>
      <c r="AN26" s="29">
        <f>IF(('Activity data'!AN13*EF!$H26)*kgtoGg=0,"NO",('Activity data'!AN13*EF!$H26)*kgtoGg)</f>
        <v>1.5891828416749056E-2</v>
      </c>
      <c r="AO26" s="29">
        <f>IF(('Activity data'!AO13*EF!$H26)*kgtoGg=0,"NO",('Activity data'!AO13*EF!$H26)*kgtoGg)</f>
        <v>1.5844628620498322E-2</v>
      </c>
      <c r="AP26" s="29">
        <f>IF(('Activity data'!AP13*EF!$H26)*kgtoGg=0,"NO",('Activity data'!AP13*EF!$H26)*kgtoGg)</f>
        <v>1.5797442595416593E-2</v>
      </c>
      <c r="AQ26" s="29">
        <f>IF(('Activity data'!AQ13*EF!$H26)*kgtoGg=0,"NO",('Activity data'!AQ13*EF!$H26)*kgtoGg)</f>
        <v>1.5750240596333002E-2</v>
      </c>
      <c r="AR26" s="29">
        <f>IF(('Activity data'!AR13*EF!$H26)*kgtoGg=0,"NO",('Activity data'!AR13*EF!$H26)*kgtoGg)</f>
        <v>1.5699061762351904E-2</v>
      </c>
      <c r="AS26" s="29">
        <f>IF(('Activity data'!AS13*EF!$H26)*kgtoGg=0,"NO",('Activity data'!AS13*EF!$H26)*kgtoGg)</f>
        <v>1.5647887163584506E-2</v>
      </c>
      <c r="AT26" s="29">
        <f>IF(('Activity data'!AT13*EF!$H26)*kgtoGg=0,"NO",('Activity data'!AT13*EF!$H26)*kgtoGg)</f>
        <v>1.5596690943708857E-2</v>
      </c>
      <c r="AU26" s="29">
        <f>IF(('Activity data'!AU13*EF!$H26)*kgtoGg=0,"NO",('Activity data'!AU13*EF!$H26)*kgtoGg)</f>
        <v>1.5545478669390074E-2</v>
      </c>
      <c r="AV26" s="29">
        <f>IF(('Activity data'!AV13*EF!$H26)*kgtoGg=0,"NO",('Activity data'!AV13*EF!$H26)*kgtoGg)</f>
        <v>1.5494248875298017E-2</v>
      </c>
      <c r="AW26" s="29">
        <f>IF(('Activity data'!AW13*EF!$H26)*kgtoGg=0,"NO",('Activity data'!AW13*EF!$H26)*kgtoGg)</f>
        <v>1.5444638009606269E-2</v>
      </c>
      <c r="AX26" s="29">
        <f>IF(('Activity data'!AX13*EF!$H26)*kgtoGg=0,"NO",('Activity data'!AX13*EF!$H26)*kgtoGg)</f>
        <v>1.53950559476551E-2</v>
      </c>
      <c r="AY26" s="29">
        <f>IF(('Activity data'!AY13*EF!$H26)*kgtoGg=0,"NO",('Activity data'!AY13*EF!$H26)*kgtoGg)</f>
        <v>1.5345408920036266E-2</v>
      </c>
      <c r="AZ26" s="29">
        <f>IF(('Activity data'!AZ13*EF!$H26)*kgtoGg=0,"NO",('Activity data'!AZ13*EF!$H26)*kgtoGg)</f>
        <v>1.529571647721688E-2</v>
      </c>
      <c r="BA26" s="29">
        <f>IF(('Activity data'!BA13*EF!$H26)*kgtoGg=0,"NO",('Activity data'!BA13*EF!$H26)*kgtoGg)</f>
        <v>1.5245976160221681E-2</v>
      </c>
      <c r="BB26" s="29">
        <f>IF(('Activity data'!BB13*EF!$H26)*kgtoGg=0,"NO",('Activity data'!BB13*EF!$H26)*kgtoGg)</f>
        <v>1.5194287653784954E-2</v>
      </c>
      <c r="BC26" s="29">
        <f>IF(('Activity data'!BC13*EF!$H26)*kgtoGg=0,"NO",('Activity data'!BC13*EF!$H26)*kgtoGg)</f>
        <v>1.5142566218072702E-2</v>
      </c>
      <c r="BD26" s="29">
        <f>IF(('Activity data'!BD13*EF!$H26)*kgtoGg=0,"NO",('Activity data'!BD13*EF!$H26)*kgtoGg)</f>
        <v>1.5090832550132549E-2</v>
      </c>
      <c r="BE26" s="29">
        <f>IF(('Activity data'!BE13*EF!$H26)*kgtoGg=0,"NO",('Activity data'!BE13*EF!$H26)*kgtoGg)</f>
        <v>1.5039065641503058E-2</v>
      </c>
      <c r="BF26" s="29">
        <f>IF(('Activity data'!BF13*EF!$H26)*kgtoGg=0,"NO",('Activity data'!BF13*EF!$H26)*kgtoGg)</f>
        <v>1.4987246892464149E-2</v>
      </c>
      <c r="BG26" s="29">
        <f>IF(('Activity data'!BG13*EF!$H26)*kgtoGg=0,"NO",('Activity data'!BG13*EF!$H26)*kgtoGg)</f>
        <v>1.4928184388752538E-2</v>
      </c>
      <c r="BH26" s="29">
        <f>IF(('Activity data'!BH13*EF!$H26)*kgtoGg=0,"NO",('Activity data'!BH13*EF!$H26)*kgtoGg)</f>
        <v>1.4869082089690195E-2</v>
      </c>
      <c r="BI26" s="29">
        <f>IF(('Activity data'!BI13*EF!$H26)*kgtoGg=0,"NO",('Activity data'!BI13*EF!$H26)*kgtoGg)</f>
        <v>1.4809942262151434E-2</v>
      </c>
      <c r="BJ26" s="29">
        <f>IF(('Activity data'!BJ13*EF!$H26)*kgtoGg=0,"NO",('Activity data'!BJ13*EF!$H26)*kgtoGg)</f>
        <v>1.4750759307324038E-2</v>
      </c>
      <c r="BK26" s="29">
        <f>IF(('Activity data'!BK13*EF!$H26)*kgtoGg=0,"NO",('Activity data'!BK13*EF!$H26)*kgtoGg)</f>
        <v>1.4691511023958624E-2</v>
      </c>
      <c r="BL26" s="29">
        <f>IF(('Activity data'!BL13*EF!$H26)*kgtoGg=0,"NO",('Activity data'!BL13*EF!$H26)*kgtoGg)</f>
        <v>1.4634258885752063E-2</v>
      </c>
      <c r="BM26" s="29">
        <f>IF(('Activity data'!BM13*EF!$H26)*kgtoGg=0,"NO",('Activity data'!BM13*EF!$H26)*kgtoGg)</f>
        <v>1.4576950419447905E-2</v>
      </c>
      <c r="BN26" s="29">
        <f>IF(('Activity data'!BN13*EF!$H26)*kgtoGg=0,"NO",('Activity data'!BN13*EF!$H26)*kgtoGg)</f>
        <v>1.4519627827157319E-2</v>
      </c>
      <c r="BO26" s="29">
        <f>IF(('Activity data'!BO13*EF!$H26)*kgtoGg=0,"NO",('Activity data'!BO13*EF!$H26)*kgtoGg)</f>
        <v>1.4462243802513472E-2</v>
      </c>
      <c r="BP26" s="29">
        <f>IF(('Activity data'!BP13*EF!$H26)*kgtoGg=0,"NO",('Activity data'!BP13*EF!$H26)*kgtoGg)</f>
        <v>1.4404793218136399E-2</v>
      </c>
    </row>
    <row r="27" spans="1:68" x14ac:dyDescent="0.25">
      <c r="A27" t="str">
        <f t="shared" si="1"/>
        <v>3A Livestock</v>
      </c>
      <c r="B27" t="str">
        <f t="shared" si="8"/>
        <v>3A2 Manure management (CH4)</v>
      </c>
      <c r="C27" t="str">
        <f>EF!C27</f>
        <v>3A1d Goats</v>
      </c>
      <c r="D27" t="str">
        <f>EF!D27</f>
        <v>Subsistence</v>
      </c>
      <c r="E27" t="str">
        <f t="shared" si="9"/>
        <v>Manure management Emissions</v>
      </c>
      <c r="F27" t="str">
        <f t="shared" si="6"/>
        <v>CH4</v>
      </c>
      <c r="G27" t="str">
        <f t="shared" si="7"/>
        <v>Gg CH4</v>
      </c>
      <c r="H27" s="29">
        <f>IF(('Activity data'!H14*EF!$H27)*kgtoGg=0,"NO",('Activity data'!H14*EF!$H27)*kgtoGg)</f>
        <v>3.6294783257415232E-2</v>
      </c>
      <c r="I27" s="29">
        <f>IF(('Activity data'!I14*EF!$H27)*kgtoGg=0,"NO",('Activity data'!I14*EF!$H27)*kgtoGg)</f>
        <v>3.2094846189776344E-2</v>
      </c>
      <c r="J27" s="29">
        <f>IF(('Activity data'!J14*EF!$H27)*kgtoGg=0,"NO",('Activity data'!J14*EF!$H27)*kgtoGg)</f>
        <v>2.989674828521768E-2</v>
      </c>
      <c r="K27" s="29">
        <f>IF(('Activity data'!K14*EF!$H27)*kgtoGg=0,"NO",('Activity data'!K14*EF!$H27)*kgtoGg)</f>
        <v>2.8248174856798671E-2</v>
      </c>
      <c r="L27" s="29">
        <f>IF(('Activity data'!L14*EF!$H27)*kgtoGg=0,"NO",('Activity data'!L14*EF!$H27)*kgtoGg)</f>
        <v>3.0577111922342977E-2</v>
      </c>
      <c r="M27" s="29">
        <f>IF(('Activity data'!M14*EF!$H27)*kgtoGg=0,"NO",('Activity data'!M14*EF!$H27)*kgtoGg)</f>
        <v>3.099579723749701E-2</v>
      </c>
      <c r="N27" s="29">
        <f>IF(('Activity data'!N14*EF!$H27)*kgtoGg=0,"NO",('Activity data'!N14*EF!$H27)*kgtoGg)</f>
        <v>3.1479902133143861E-2</v>
      </c>
      <c r="O27" s="29">
        <f>IF(('Activity data'!O14*EF!$H27)*kgtoGg=0,"NO",('Activity data'!O14*EF!$H27)*kgtoGg)</f>
        <v>3.1322895139961102E-2</v>
      </c>
      <c r="P27" s="29">
        <f>IF(('Activity data'!P14*EF!$H27)*kgtoGg=0,"NO",('Activity data'!P14*EF!$H27)*kgtoGg)</f>
        <v>3.0878041992609937E-2</v>
      </c>
      <c r="Q27" s="29">
        <f>IF(('Activity data'!Q14*EF!$H27)*kgtoGg=0,"NO",('Activity data'!Q14*EF!$H27)*kgtoGg)</f>
        <v>3.0420104929160217E-2</v>
      </c>
      <c r="R27" s="29">
        <f>IF(('Activity data'!R14*EF!$H27)*kgtoGg=0,"NO",('Activity data'!R14*EF!$H27)*kgtoGg)</f>
        <v>3.081262241211712E-2</v>
      </c>
      <c r="S27" s="29">
        <f>IF(('Activity data'!S14*EF!$H27)*kgtoGg=0,"NO",('Activity data'!S14*EF!$H27)*kgtoGg)</f>
        <v>3.1754664371213694E-2</v>
      </c>
      <c r="T27" s="29">
        <f>IF(('Activity data'!T14*EF!$H27)*kgtoGg=0,"NO",('Activity data'!T14*EF!$H27)*kgtoGg)</f>
        <v>2.8993958074416789E-2</v>
      </c>
      <c r="U27" s="29">
        <f>IF(('Activity data'!U14*EF!$H27)*kgtoGg=0,"NO",('Activity data'!U14*EF!$H27)*kgtoGg)</f>
        <v>2.8261258772897233E-2</v>
      </c>
      <c r="V27" s="29">
        <f>IF(('Activity data'!V14*EF!$H27)*kgtoGg=0,"NO",('Activity data'!V14*EF!$H27)*kgtoGg)</f>
        <v>2.8313594437291489E-2</v>
      </c>
      <c r="W27" s="29">
        <f>IF(('Activity data'!W14*EF!$H27)*kgtoGg=0,"NO",('Activity data'!W14*EF!$H27)*kgtoGg)</f>
        <v>2.7947244786531707E-2</v>
      </c>
      <c r="X27" s="29">
        <f>IF(('Activity data'!X14*EF!$H27)*kgtoGg=0,"NO",('Activity data'!X14*EF!$H27)*kgtoGg)</f>
        <v>2.8536021010967069E-2</v>
      </c>
      <c r="Y27" s="29">
        <f>IF(('Activity data'!Y14*EF!$H27)*kgtoGg=0,"NO",('Activity data'!Y14*EF!$H27)*kgtoGg)</f>
        <v>2.7685566464560437E-2</v>
      </c>
      <c r="Z27" s="29">
        <f>IF(('Activity data'!Z14*EF!$H27)*kgtoGg=0,"NO",('Activity data'!Z14*EF!$H27)*kgtoGg)</f>
        <v>2.7659398632363309E-2</v>
      </c>
      <c r="AA27" s="29">
        <f>IF(('Activity data'!AA14*EF!$H27)*kgtoGg=0,"NO",('Activity data'!AA14*EF!$H27)*kgtoGg)</f>
        <v>2.7175293736716462E-2</v>
      </c>
      <c r="AB27" s="29">
        <f>IF(('Activity data'!AB14*EF!$H27)*kgtoGg=0,"NO",('Activity data'!AB14*EF!$H27)*kgtoGg)</f>
        <v>2.684819583425237E-2</v>
      </c>
      <c r="AC27" s="29">
        <f>IF(('Activity data'!AC14*EF!$H27)*kgtoGg=0,"NO",('Activity data'!AC14*EF!$H27)*kgtoGg)</f>
        <v>2.6599601428379662E-2</v>
      </c>
      <c r="AD27" s="29">
        <f>IF(('Activity data'!AD14*EF!$H27)*kgtoGg=0,"NO",('Activity data'!AD14*EF!$H27)*kgtoGg)</f>
        <v>2.6534181847886845E-2</v>
      </c>
      <c r="AE27" s="29">
        <f>IF(('Activity data'!AE14*EF!$H27)*kgtoGg=0,"NO",('Activity data'!AE14*EF!$H27)*kgtoGg)</f>
        <v>2.6233251777619888E-2</v>
      </c>
      <c r="AF27" s="29">
        <f>IF(('Activity data'!AF14*EF!$H27)*kgtoGg=0,"NO",('Activity data'!AF14*EF!$H27)*kgtoGg)</f>
        <v>2.5997741287845742E-2</v>
      </c>
      <c r="AG27" s="29">
        <f>IF(('Activity data'!AG14*EF!$H27)*kgtoGg=0,"NO",('Activity data'!AG14*EF!$H27)*kgtoGg)</f>
        <v>2.5644475553184529E-2</v>
      </c>
      <c r="AH27" s="29">
        <f>IF(('Activity data'!AH14*EF!$H27)*kgtoGg=0,"NO",('Activity data'!AH14*EF!$H27)*kgtoGg)</f>
        <v>2.4872524503369277E-2</v>
      </c>
      <c r="AI27" s="29">
        <f>IF(('Activity data'!AI14*EF!$H27)*kgtoGg=0,"NO",('Activity data'!AI14*EF!$H27)*kgtoGg)</f>
        <v>2.4113657369652593E-2</v>
      </c>
      <c r="AJ27" s="29">
        <f>IF(('Activity data'!AJ14*EF!$H27)*kgtoGg=0,"NO",('Activity data'!AJ14*EF!$H27)*kgtoGg)</f>
        <v>2.4542860737105893E-2</v>
      </c>
      <c r="AK27" s="29">
        <f>IF(('Activity data'!AK14*EF!$H27)*kgtoGg=0,"NO",('Activity data'!AK14*EF!$H27)*kgtoGg)</f>
        <v>2.4277182507206528E-2</v>
      </c>
      <c r="AL27" s="29">
        <f>IF(('Activity data'!AL14*EF!$H27)*kgtoGg=0,"NO",('Activity data'!AL14*EF!$H27)*kgtoGg)</f>
        <v>2.4011504277307156E-2</v>
      </c>
      <c r="AM27" s="29">
        <f>IF(('Activity data'!AM14*EF!$H27)*kgtoGg=0,"NO",('Activity data'!AM14*EF!$H27)*kgtoGg)</f>
        <v>2.374221072424933E-2</v>
      </c>
      <c r="AN27" s="29">
        <f>IF(('Activity data'!AN14*EF!$H27)*kgtoGg=0,"NO",('Activity data'!AN14*EF!$H27)*kgtoGg)</f>
        <v>2.347291717616223E-2</v>
      </c>
      <c r="AO27" s="29">
        <f>IF(('Activity data'!AO14*EF!$H27)*kgtoGg=0,"NO",('Activity data'!AO14*EF!$H27)*kgtoGg)</f>
        <v>2.3203623628075137E-2</v>
      </c>
      <c r="AP27" s="29">
        <f>IF(('Activity data'!AP14*EF!$H27)*kgtoGg=0,"NO",('Activity data'!AP14*EF!$H27)*kgtoGg)</f>
        <v>2.2934330079988036E-2</v>
      </c>
      <c r="AQ27" s="29">
        <f>IF(('Activity data'!AQ14*EF!$H27)*kgtoGg=0,"NO",('Activity data'!AQ14*EF!$H27)*kgtoGg)</f>
        <v>2.2665036526930211E-2</v>
      </c>
      <c r="AR27" s="29">
        <f>IF(('Activity data'!AR14*EF!$H27)*kgtoGg=0,"NO",('Activity data'!AR14*EF!$H27)*kgtoGg)</f>
        <v>2.2373285855261108E-2</v>
      </c>
      <c r="AS27" s="29">
        <f>IF(('Activity data'!AS14*EF!$H27)*kgtoGg=0,"NO",('Activity data'!AS14*EF!$H27)*kgtoGg)</f>
        <v>2.2081535183592006E-2</v>
      </c>
      <c r="AT27" s="29">
        <f>IF(('Activity data'!AT14*EF!$H27)*kgtoGg=0,"NO",('Activity data'!AT14*EF!$H27)*kgtoGg)</f>
        <v>2.178978451192291E-2</v>
      </c>
      <c r="AU27" s="29">
        <f>IF(('Activity data'!AU14*EF!$H27)*kgtoGg=0,"NO",('Activity data'!AU14*EF!$H27)*kgtoGg)</f>
        <v>2.1498033840253807E-2</v>
      </c>
      <c r="AV27" s="29">
        <f>IF(('Activity data'!AV14*EF!$H27)*kgtoGg=0,"NO",('Activity data'!AV14*EF!$H27)*kgtoGg)</f>
        <v>2.1206283168584705E-2</v>
      </c>
      <c r="AW27" s="29">
        <f>IF(('Activity data'!AW14*EF!$H27)*kgtoGg=0,"NO",('Activity data'!AW14*EF!$H27)*kgtoGg)</f>
        <v>2.0924437471919268E-2</v>
      </c>
      <c r="AX27" s="29">
        <f>IF(('Activity data'!AX14*EF!$H27)*kgtoGg=0,"NO",('Activity data'!AX14*EF!$H27)*kgtoGg)</f>
        <v>2.064259178022456E-2</v>
      </c>
      <c r="AY27" s="29">
        <f>IF(('Activity data'!AY14*EF!$H27)*kgtoGg=0,"NO",('Activity data'!AY14*EF!$H27)*kgtoGg)</f>
        <v>2.036074608355912E-2</v>
      </c>
      <c r="AZ27" s="29">
        <f>IF(('Activity data'!AZ14*EF!$H27)*kgtoGg=0,"NO",('Activity data'!AZ14*EF!$H27)*kgtoGg)</f>
        <v>2.0078900391864413E-2</v>
      </c>
      <c r="BA27" s="29">
        <f>IF(('Activity data'!BA14*EF!$H27)*kgtoGg=0,"NO",('Activity data'!BA14*EF!$H27)*kgtoGg)</f>
        <v>1.9797054700169708E-2</v>
      </c>
      <c r="BB27" s="29">
        <f>IF(('Activity data'!BB14*EF!$H27)*kgtoGg=0,"NO",('Activity data'!BB14*EF!$H27)*kgtoGg)</f>
        <v>1.9504128330948854E-2</v>
      </c>
      <c r="BC27" s="29">
        <f>IF(('Activity data'!BC14*EF!$H27)*kgtoGg=0,"NO",('Activity data'!BC14*EF!$H27)*kgtoGg)</f>
        <v>1.921120196172801E-2</v>
      </c>
      <c r="BD27" s="29">
        <f>IF(('Activity data'!BD14*EF!$H27)*kgtoGg=0,"NO",('Activity data'!BD14*EF!$H27)*kgtoGg)</f>
        <v>1.8918275597477895E-2</v>
      </c>
      <c r="BE27" s="29">
        <f>IF(('Activity data'!BE14*EF!$H27)*kgtoGg=0,"NO",('Activity data'!BE14*EF!$H27)*kgtoGg)</f>
        <v>1.8625349228257055E-2</v>
      </c>
      <c r="BF27" s="29">
        <f>IF(('Activity data'!BF14*EF!$H27)*kgtoGg=0,"NO",('Activity data'!BF14*EF!$H27)*kgtoGg)</f>
        <v>1.8332422859036208E-2</v>
      </c>
      <c r="BG27" s="29">
        <f>IF(('Activity data'!BG14*EF!$H27)*kgtoGg=0,"NO",('Activity data'!BG14*EF!$H27)*kgtoGg)</f>
        <v>1.7998039103826025E-2</v>
      </c>
      <c r="BH27" s="29">
        <f>IF(('Activity data'!BH14*EF!$H27)*kgtoGg=0,"NO",('Activity data'!BH14*EF!$H27)*kgtoGg)</f>
        <v>1.766365535358658E-2</v>
      </c>
      <c r="BI27" s="29">
        <f>IF(('Activity data'!BI14*EF!$H27)*kgtoGg=0,"NO",('Activity data'!BI14*EF!$H27)*kgtoGg)</f>
        <v>1.7329271598376401E-2</v>
      </c>
      <c r="BJ27" s="29">
        <f>IF(('Activity data'!BJ14*EF!$H27)*kgtoGg=0,"NO",('Activity data'!BJ14*EF!$H27)*kgtoGg)</f>
        <v>1.6994887843166225E-2</v>
      </c>
      <c r="BK27" s="29">
        <f>IF(('Activity data'!BK14*EF!$H27)*kgtoGg=0,"NO",('Activity data'!BK14*EF!$H27)*kgtoGg)</f>
        <v>1.6660504087956052E-2</v>
      </c>
      <c r="BL27" s="29">
        <f>IF(('Activity data'!BL14*EF!$H27)*kgtoGg=0,"NO",('Activity data'!BL14*EF!$H27)*kgtoGg)</f>
        <v>1.6337922124388237E-2</v>
      </c>
      <c r="BM27" s="29">
        <f>IF(('Activity data'!BM14*EF!$H27)*kgtoGg=0,"NO",('Activity data'!BM14*EF!$H27)*kgtoGg)</f>
        <v>1.6015340160820433E-2</v>
      </c>
      <c r="BN27" s="29">
        <f>IF(('Activity data'!BN14*EF!$H27)*kgtoGg=0,"NO",('Activity data'!BN14*EF!$H27)*kgtoGg)</f>
        <v>1.5692758192281893E-2</v>
      </c>
      <c r="BO27" s="29">
        <f>IF(('Activity data'!BO14*EF!$H27)*kgtoGg=0,"NO",('Activity data'!BO14*EF!$H27)*kgtoGg)</f>
        <v>1.5370176228714089E-2</v>
      </c>
      <c r="BP27" s="29">
        <f>IF(('Activity data'!BP14*EF!$H27)*kgtoGg=0,"NO",('Activity data'!BP14*EF!$H27)*kgtoGg)</f>
        <v>1.5047594265146279E-2</v>
      </c>
    </row>
    <row r="28" spans="1:68" x14ac:dyDescent="0.25">
      <c r="A28" t="str">
        <f t="shared" si="1"/>
        <v>3A Livestock</v>
      </c>
      <c r="B28" t="str">
        <f t="shared" si="8"/>
        <v>3A2 Manure management (CH4)</v>
      </c>
      <c r="C28" t="str">
        <f>EF!C28</f>
        <v>3A1f Horses</v>
      </c>
      <c r="D28" t="str">
        <f>EF!D28</f>
        <v>Horses</v>
      </c>
      <c r="E28" t="str">
        <f t="shared" si="9"/>
        <v>Manure management Emissions</v>
      </c>
      <c r="F28" t="str">
        <f t="shared" si="6"/>
        <v>CH4</v>
      </c>
      <c r="G28" t="str">
        <f t="shared" si="7"/>
        <v>Gg CH4</v>
      </c>
      <c r="H28" s="29">
        <f>IF(('Activity data'!H15*EF!$H28)*kgtoGg=0,"NO",('Activity data'!H15*EF!$H28)*kgtoGg)</f>
        <v>3.0819999999999997E-3</v>
      </c>
      <c r="I28" s="29">
        <f>IF(('Activity data'!I15*EF!$H28)*kgtoGg=0,"NO",('Activity data'!I15*EF!$H28)*kgtoGg)</f>
        <v>3.0819999999999997E-3</v>
      </c>
      <c r="J28" s="29">
        <f>IF(('Activity data'!J15*EF!$H28)*kgtoGg=0,"NO",('Activity data'!J15*EF!$H28)*kgtoGg)</f>
        <v>3.0819999999999997E-3</v>
      </c>
      <c r="K28" s="29">
        <f>IF(('Activity data'!K15*EF!$H28)*kgtoGg=0,"NO",('Activity data'!K15*EF!$H28)*kgtoGg)</f>
        <v>3.1489999999999999E-3</v>
      </c>
      <c r="L28" s="29">
        <f>IF(('Activity data'!L15*EF!$H28)*kgtoGg=0,"NO",('Activity data'!L15*EF!$H28)*kgtoGg)</f>
        <v>3.2159999999999997E-3</v>
      </c>
      <c r="M28" s="29">
        <f>IF(('Activity data'!M15*EF!$H28)*kgtoGg=0,"NO",('Activity data'!M15*EF!$H28)*kgtoGg)</f>
        <v>3.2829999999999999E-3</v>
      </c>
      <c r="N28" s="29">
        <f>IF(('Activity data'!N15*EF!$H28)*kgtoGg=0,"NO",('Activity data'!N15*EF!$H28)*kgtoGg)</f>
        <v>3.3499999999999997E-3</v>
      </c>
      <c r="O28" s="29">
        <f>IF(('Activity data'!O15*EF!$H28)*kgtoGg=0,"NO",('Activity data'!O15*EF!$H28)*kgtoGg)</f>
        <v>3.4169999999999999E-3</v>
      </c>
      <c r="P28" s="29">
        <f>IF(('Activity data'!P15*EF!$H28)*kgtoGg=0,"NO",('Activity data'!P15*EF!$H28)*kgtoGg)</f>
        <v>3.4839999999999997E-3</v>
      </c>
      <c r="Q28" s="29">
        <f>IF(('Activity data'!Q15*EF!$H28)*kgtoGg=0,"NO",('Activity data'!Q15*EF!$H28)*kgtoGg)</f>
        <v>3.4572000000000001E-3</v>
      </c>
      <c r="R28" s="29">
        <f>IF(('Activity data'!R15*EF!$H28)*kgtoGg=0,"NO",('Activity data'!R15*EF!$H28)*kgtoGg)</f>
        <v>3.6179999999999997E-3</v>
      </c>
      <c r="S28" s="29">
        <f>IF(('Activity data'!S15*EF!$H28)*kgtoGg=0,"NO",('Activity data'!S15*EF!$H28)*kgtoGg)</f>
        <v>3.6179999999999997E-3</v>
      </c>
      <c r="T28" s="29">
        <f>IF(('Activity data'!T15*EF!$H28)*kgtoGg=0,"NO",('Activity data'!T15*EF!$H28)*kgtoGg)</f>
        <v>3.6179999999999997E-3</v>
      </c>
      <c r="U28" s="29">
        <f>IF(('Activity data'!U15*EF!$H28)*kgtoGg=0,"NO",('Activity data'!U15*EF!$H28)*kgtoGg)</f>
        <v>3.6179999999999997E-3</v>
      </c>
      <c r="V28" s="29">
        <f>IF(('Activity data'!V15*EF!$H28)*kgtoGg=0,"NO",('Activity data'!V15*EF!$H28)*kgtoGg)</f>
        <v>3.6179999999999997E-3</v>
      </c>
      <c r="W28" s="29">
        <f>IF(('Activity data'!W15*EF!$H28)*kgtoGg=0,"NO",('Activity data'!W15*EF!$H28)*kgtoGg)</f>
        <v>3.6179999999999997E-3</v>
      </c>
      <c r="X28" s="29">
        <f>IF(('Activity data'!X15*EF!$H28)*kgtoGg=0,"NO",('Activity data'!X15*EF!$H28)*kgtoGg)</f>
        <v>3.7519999999999997E-3</v>
      </c>
      <c r="Y28" s="29">
        <f>IF(('Activity data'!Y15*EF!$H28)*kgtoGg=0,"NO",('Activity data'!Y15*EF!$H28)*kgtoGg)</f>
        <v>3.8859999999999997E-3</v>
      </c>
      <c r="Z28" s="29">
        <f>IF(('Activity data'!Z15*EF!$H28)*kgtoGg=0,"NO",('Activity data'!Z15*EF!$H28)*kgtoGg)</f>
        <v>3.9931999999999997E-3</v>
      </c>
      <c r="AA28" s="29">
        <f>IF(('Activity data'!AA15*EF!$H28)*kgtoGg=0,"NO",('Activity data'!AA15*EF!$H28)*kgtoGg)</f>
        <v>4.0200000000000001E-3</v>
      </c>
      <c r="AB28" s="29">
        <f>IF(('Activity data'!AB15*EF!$H28)*kgtoGg=0,"NO",('Activity data'!AB15*EF!$H28)*kgtoGg)</f>
        <v>4.0200000000000001E-3</v>
      </c>
      <c r="AC28" s="29">
        <f>IF(('Activity data'!AC15*EF!$H28)*kgtoGg=0,"NO",('Activity data'!AC15*EF!$H28)*kgtoGg)</f>
        <v>4.0869999999999995E-3</v>
      </c>
      <c r="AD28" s="29">
        <f>IF(('Activity data'!AD15*EF!$H28)*kgtoGg=0,"NO",('Activity data'!AD15*EF!$H28)*kgtoGg)</f>
        <v>4.1271999999999993E-3</v>
      </c>
      <c r="AE28" s="29">
        <f>IF(('Activity data'!AE15*EF!$H28)*kgtoGg=0,"NO",('Activity data'!AE15*EF!$H28)*kgtoGg)</f>
        <v>4.1539999999999997E-3</v>
      </c>
      <c r="AF28" s="29">
        <f>IF(('Activity data'!AF15*EF!$H28)*kgtoGg=0,"NO",('Activity data'!AF15*EF!$H28)*kgtoGg)</f>
        <v>4.1808000000000001E-3</v>
      </c>
      <c r="AG28" s="29">
        <f>IF(('Activity data'!AG15*EF!$H28)*kgtoGg=0,"NO",('Activity data'!AG15*EF!$H28)*kgtoGg)</f>
        <v>4.218655E-3</v>
      </c>
      <c r="AH28" s="29">
        <f>IF(('Activity data'!AH15*EF!$H28)*kgtoGg=0,"NO",('Activity data'!AH15*EF!$H28)*kgtoGg)</f>
        <v>4.2995239999999999E-3</v>
      </c>
      <c r="AI28" s="29">
        <f>IF(('Activity data'!AI15*EF!$H28)*kgtoGg=0,"NO",('Activity data'!AI15*EF!$H28)*kgtoGg)</f>
        <v>4.3251314000000004E-3</v>
      </c>
      <c r="AJ28" s="29">
        <f>IF(('Activity data'!AJ15*EF!$H28)*kgtoGg=0,"NO",('Activity data'!AJ15*EF!$H28)*kgtoGg)</f>
        <v>4.2540738433816429E-3</v>
      </c>
      <c r="AK28" s="29">
        <f>IF(('Activity data'!AK15*EF!$H28)*kgtoGg=0,"NO",('Activity data'!AK15*EF!$H28)*kgtoGg)</f>
        <v>4.2532428937814039E-3</v>
      </c>
      <c r="AL28" s="29">
        <f>IF(('Activity data'!AL15*EF!$H28)*kgtoGg=0,"NO",('Activity data'!AL15*EF!$H28)*kgtoGg)</f>
        <v>4.1811077611930035E-3</v>
      </c>
      <c r="AM28" s="29">
        <f>IF(('Activity data'!AM15*EF!$H28)*kgtoGg=0,"NO",('Activity data'!AM15*EF!$H28)*kgtoGg)</f>
        <v>4.1913981156021631E-3</v>
      </c>
      <c r="AN28" s="29">
        <f>IF(('Activity data'!AN15*EF!$H28)*kgtoGg=0,"NO",('Activity data'!AN15*EF!$H28)*kgtoGg)</f>
        <v>4.200785549531935E-3</v>
      </c>
      <c r="AO28" s="29">
        <f>IF(('Activity data'!AO15*EF!$H28)*kgtoGg=0,"NO",('Activity data'!AO15*EF!$H28)*kgtoGg)</f>
        <v>4.2101582044255757E-3</v>
      </c>
      <c r="AP28" s="29">
        <f>IF(('Activity data'!AP15*EF!$H28)*kgtoGg=0,"NO",('Activity data'!AP15*EF!$H28)*kgtoGg)</f>
        <v>4.218758377150072E-3</v>
      </c>
      <c r="AQ28" s="29">
        <f>IF(('Activity data'!AQ15*EF!$H28)*kgtoGg=0,"NO",('Activity data'!AQ15*EF!$H28)*kgtoGg)</f>
        <v>4.2278940599515275E-3</v>
      </c>
      <c r="AR28" s="29">
        <f>IF(('Activity data'!AR15*EF!$H28)*kgtoGg=0,"NO",('Activity data'!AR15*EF!$H28)*kgtoGg)</f>
        <v>4.239343607155885E-3</v>
      </c>
      <c r="AS28" s="29">
        <f>IF(('Activity data'!AS15*EF!$H28)*kgtoGg=0,"NO",('Activity data'!AS15*EF!$H28)*kgtoGg)</f>
        <v>4.2503932535242856E-3</v>
      </c>
      <c r="AT28" s="29">
        <f>IF(('Activity data'!AT15*EF!$H28)*kgtoGg=0,"NO",('Activity data'!AT15*EF!$H28)*kgtoGg)</f>
        <v>4.262141251941156E-3</v>
      </c>
      <c r="AU28" s="29">
        <f>IF(('Activity data'!AU15*EF!$H28)*kgtoGg=0,"NO",('Activity data'!AU15*EF!$H28)*kgtoGg)</f>
        <v>4.2743360606829683E-3</v>
      </c>
      <c r="AV28" s="29">
        <f>IF(('Activity data'!AV15*EF!$H28)*kgtoGg=0,"NO",('Activity data'!AV15*EF!$H28)*kgtoGg)</f>
        <v>4.2870255947122793E-3</v>
      </c>
      <c r="AW28" s="29">
        <f>IF(('Activity data'!AW15*EF!$H28)*kgtoGg=0,"NO",('Activity data'!AW15*EF!$H28)*kgtoGg)</f>
        <v>4.303980036903382E-3</v>
      </c>
      <c r="AX28" s="29">
        <f>IF(('Activity data'!AX15*EF!$H28)*kgtoGg=0,"NO",('Activity data'!AX15*EF!$H28)*kgtoGg)</f>
        <v>4.3194667993480089E-3</v>
      </c>
      <c r="AY28" s="29">
        <f>IF(('Activity data'!AY15*EF!$H28)*kgtoGg=0,"NO",('Activity data'!AY15*EF!$H28)*kgtoGg)</f>
        <v>4.33729029837235E-3</v>
      </c>
      <c r="AZ28" s="29">
        <f>IF(('Activity data'!AZ15*EF!$H28)*kgtoGg=0,"NO",('Activity data'!AZ15*EF!$H28)*kgtoGg)</f>
        <v>4.3566112147277528E-3</v>
      </c>
      <c r="BA28" s="29">
        <f>IF(('Activity data'!BA15*EF!$H28)*kgtoGg=0,"NO",('Activity data'!BA15*EF!$H28)*kgtoGg)</f>
        <v>4.3774877565870797E-3</v>
      </c>
      <c r="BB28" s="29">
        <f>IF(('Activity data'!BB15*EF!$H28)*kgtoGg=0,"NO",('Activity data'!BB15*EF!$H28)*kgtoGg)</f>
        <v>4.3985192958913028E-3</v>
      </c>
      <c r="BC28" s="29">
        <f>IF(('Activity data'!BC15*EF!$H28)*kgtoGg=0,"NO",('Activity data'!BC15*EF!$H28)*kgtoGg)</f>
        <v>4.4204565420997814E-3</v>
      </c>
      <c r="BD28" s="29">
        <f>IF(('Activity data'!BD15*EF!$H28)*kgtoGg=0,"NO",('Activity data'!BD15*EF!$H28)*kgtoGg)</f>
        <v>4.4424803630742265E-3</v>
      </c>
      <c r="BE28" s="29">
        <f>IF(('Activity data'!BE15*EF!$H28)*kgtoGg=0,"NO",('Activity data'!BE15*EF!$H28)*kgtoGg)</f>
        <v>4.465388824735763E-3</v>
      </c>
      <c r="BF28" s="29">
        <f>IF(('Activity data'!BF15*EF!$H28)*kgtoGg=0,"NO",('Activity data'!BF15*EF!$H28)*kgtoGg)</f>
        <v>4.4898616836185502E-3</v>
      </c>
      <c r="BG28" s="29">
        <f>IF(('Activity data'!BG15*EF!$H28)*kgtoGg=0,"NO",('Activity data'!BG15*EF!$H28)*kgtoGg)</f>
        <v>4.5139202354912422E-3</v>
      </c>
      <c r="BH28" s="29">
        <f>IF(('Activity data'!BH15*EF!$H28)*kgtoGg=0,"NO",('Activity data'!BH15*EF!$H28)*kgtoGg)</f>
        <v>4.5389901537551108E-3</v>
      </c>
      <c r="BI28" s="29">
        <f>IF(('Activity data'!BI15*EF!$H28)*kgtoGg=0,"NO",('Activity data'!BI15*EF!$H28)*kgtoGg)</f>
        <v>4.5649592926852688E-3</v>
      </c>
      <c r="BJ28" s="29">
        <f>IF(('Activity data'!BJ15*EF!$H28)*kgtoGg=0,"NO",('Activity data'!BJ15*EF!$H28)*kgtoGg)</f>
        <v>4.5920057125305282E-3</v>
      </c>
      <c r="BK28" s="29">
        <f>IF(('Activity data'!BK15*EF!$H28)*kgtoGg=0,"NO",('Activity data'!BK15*EF!$H28)*kgtoGg)</f>
        <v>4.620898555762038E-3</v>
      </c>
      <c r="BL28" s="29">
        <f>IF(('Activity data'!BL15*EF!$H28)*kgtoGg=0,"NO",('Activity data'!BL15*EF!$H28)*kgtoGg)</f>
        <v>4.6516531708545089E-3</v>
      </c>
      <c r="BM28" s="29">
        <f>IF(('Activity data'!BM15*EF!$H28)*kgtoGg=0,"NO",('Activity data'!BM15*EF!$H28)*kgtoGg)</f>
        <v>4.6838549991032805E-3</v>
      </c>
      <c r="BN28" s="29">
        <f>IF(('Activity data'!BN15*EF!$H28)*kgtoGg=0,"NO",('Activity data'!BN15*EF!$H28)*kgtoGg)</f>
        <v>4.7159864226644036E-3</v>
      </c>
      <c r="BO28" s="29">
        <f>IF(('Activity data'!BO15*EF!$H28)*kgtoGg=0,"NO",('Activity data'!BO15*EF!$H28)*kgtoGg)</f>
        <v>4.749693300984072E-3</v>
      </c>
      <c r="BP28" s="29">
        <f>IF(('Activity data'!BP15*EF!$H28)*kgtoGg=0,"NO",('Activity data'!BP15*EF!$H28)*kgtoGg)</f>
        <v>4.7851114600101947E-3</v>
      </c>
    </row>
    <row r="29" spans="1:68" x14ac:dyDescent="0.25">
      <c r="A29" t="str">
        <f t="shared" si="1"/>
        <v>3A Livestock</v>
      </c>
      <c r="B29" t="str">
        <f t="shared" si="8"/>
        <v>3A2 Manure management (CH4)</v>
      </c>
      <c r="C29" t="str">
        <f>EF!C29</f>
        <v>3A1g Mules &amp; asses</v>
      </c>
      <c r="D29" t="str">
        <f>EF!D29</f>
        <v>Mules &amp; Asses</v>
      </c>
      <c r="E29" t="str">
        <f t="shared" si="9"/>
        <v>Manure management Emissions</v>
      </c>
      <c r="F29" t="str">
        <f t="shared" si="6"/>
        <v>CH4</v>
      </c>
      <c r="G29" t="str">
        <f t="shared" si="7"/>
        <v>Gg CH4</v>
      </c>
      <c r="H29" s="29">
        <f>IF(('Activity data'!H16*EF!$H29)*kgtoGg=0,"NO",('Activity data'!H16*EF!$H29)*kgtoGg)</f>
        <v>1.0079999999999998E-3</v>
      </c>
      <c r="I29" s="29">
        <f>IF(('Activity data'!I16*EF!$H29)*kgtoGg=0,"NO",('Activity data'!I16*EF!$H29)*kgtoGg)</f>
        <v>1.0079999999999998E-3</v>
      </c>
      <c r="J29" s="29">
        <f>IF(('Activity data'!J16*EF!$H29)*kgtoGg=0,"NO",('Activity data'!J16*EF!$H29)*kgtoGg)</f>
        <v>1.0079999999999998E-3</v>
      </c>
      <c r="K29" s="29">
        <f>IF(('Activity data'!K16*EF!$H29)*kgtoGg=0,"NO",('Activity data'!K16*EF!$H29)*kgtoGg)</f>
        <v>1.0079999999999998E-3</v>
      </c>
      <c r="L29" s="29">
        <f>IF(('Activity data'!L16*EF!$H29)*kgtoGg=0,"NO",('Activity data'!L16*EF!$H29)*kgtoGg)</f>
        <v>1.0079999999999998E-3</v>
      </c>
      <c r="M29" s="29">
        <f>IF(('Activity data'!M16*EF!$H29)*kgtoGg=0,"NO",('Activity data'!M16*EF!$H29)*kgtoGg)</f>
        <v>1.0079999999999998E-3</v>
      </c>
      <c r="N29" s="29">
        <f>IF(('Activity data'!N16*EF!$H29)*kgtoGg=0,"NO",('Activity data'!N16*EF!$H29)*kgtoGg)</f>
        <v>1.0079999999999998E-3</v>
      </c>
      <c r="O29" s="29">
        <f>IF(('Activity data'!O16*EF!$H29)*kgtoGg=0,"NO",('Activity data'!O16*EF!$H29)*kgtoGg)</f>
        <v>1.0079999999999998E-3</v>
      </c>
      <c r="P29" s="29">
        <f>IF(('Activity data'!P16*EF!$H29)*kgtoGg=0,"NO",('Activity data'!P16*EF!$H29)*kgtoGg)</f>
        <v>1.0079999999999998E-3</v>
      </c>
      <c r="Q29" s="29">
        <f>IF(('Activity data'!Q16*EF!$H29)*kgtoGg=0,"NO",('Activity data'!Q16*EF!$H29)*kgtoGg)</f>
        <v>1.0079999999999998E-3</v>
      </c>
      <c r="R29" s="29">
        <f>IF(('Activity data'!R16*EF!$H29)*kgtoGg=0,"NO",('Activity data'!R16*EF!$H29)*kgtoGg)</f>
        <v>7.3799999999999994E-4</v>
      </c>
      <c r="S29" s="29">
        <f>IF(('Activity data'!S16*EF!$H29)*kgtoGg=0,"NO",('Activity data'!S16*EF!$H29)*kgtoGg)</f>
        <v>7.3799999999999994E-4</v>
      </c>
      <c r="T29" s="29">
        <f>IF(('Activity data'!T16*EF!$H29)*kgtoGg=0,"NO",('Activity data'!T16*EF!$H29)*kgtoGg)</f>
        <v>7.3799999999999994E-4</v>
      </c>
      <c r="U29" s="29">
        <f>IF(('Activity data'!U16*EF!$H29)*kgtoGg=0,"NO",('Activity data'!U16*EF!$H29)*kgtoGg)</f>
        <v>7.3799999999999994E-4</v>
      </c>
      <c r="V29" s="29">
        <f>IF(('Activity data'!V16*EF!$H29)*kgtoGg=0,"NO",('Activity data'!V16*EF!$H29)*kgtoGg)</f>
        <v>7.3799999999999994E-4</v>
      </c>
      <c r="W29" s="29">
        <f>IF(('Activity data'!W16*EF!$H29)*kgtoGg=0,"NO",('Activity data'!W16*EF!$H29)*kgtoGg)</f>
        <v>7.3799999999999994E-4</v>
      </c>
      <c r="X29" s="29">
        <f>IF(('Activity data'!X16*EF!$H29)*kgtoGg=0,"NO",('Activity data'!X16*EF!$H29)*kgtoGg)</f>
        <v>7.3822499999999991E-4</v>
      </c>
      <c r="Y29" s="29">
        <f>IF(('Activity data'!Y16*EF!$H29)*kgtoGg=0,"NO",('Activity data'!Y16*EF!$H29)*kgtoGg)</f>
        <v>7.4069999999999995E-4</v>
      </c>
      <c r="Z29" s="29">
        <f>IF(('Activity data'!Z16*EF!$H29)*kgtoGg=0,"NO",('Activity data'!Z16*EF!$H29)*kgtoGg)</f>
        <v>7.4114999999999999E-4</v>
      </c>
      <c r="AA29" s="29">
        <f>IF(('Activity data'!AA16*EF!$H29)*kgtoGg=0,"NO",('Activity data'!AA16*EF!$H29)*kgtoGg)</f>
        <v>7.4159999999999992E-4</v>
      </c>
      <c r="AB29" s="29">
        <f>IF(('Activity data'!AB16*EF!$H29)*kgtoGg=0,"NO",('Activity data'!AB16*EF!$H29)*kgtoGg)</f>
        <v>7.4834999999999984E-4</v>
      </c>
      <c r="AC29" s="29">
        <f>IF(('Activity data'!AC16*EF!$H29)*kgtoGg=0,"NO",('Activity data'!AC16*EF!$H29)*kgtoGg)</f>
        <v>7.515E-4</v>
      </c>
      <c r="AD29" s="29">
        <f>IF(('Activity data'!AD16*EF!$H29)*kgtoGg=0,"NO",('Activity data'!AD16*EF!$H29)*kgtoGg)</f>
        <v>7.515E-4</v>
      </c>
      <c r="AE29" s="29">
        <f>IF(('Activity data'!AE16*EF!$H29)*kgtoGg=0,"NO",('Activity data'!AE16*EF!$H29)*kgtoGg)</f>
        <v>7.6724999999999981E-4</v>
      </c>
      <c r="AF29" s="29">
        <f>IF(('Activity data'!AF16*EF!$H29)*kgtoGg=0,"NO",('Activity data'!AF16*EF!$H29)*kgtoGg)</f>
        <v>7.6949999999999989E-4</v>
      </c>
      <c r="AG29" s="29">
        <f>IF(('Activity data'!AG16*EF!$H29)*kgtoGg=0,"NO",('Activity data'!AG16*EF!$H29)*kgtoGg)</f>
        <v>7.6063049999999994E-4</v>
      </c>
      <c r="AH29" s="29">
        <f>IF(('Activity data'!AH16*EF!$H29)*kgtoGg=0,"NO",('Activity data'!AH16*EF!$H29)*kgtoGg)</f>
        <v>7.2840599999999991E-4</v>
      </c>
      <c r="AI29" s="29">
        <f>IF(('Activity data'!AI16*EF!$H29)*kgtoGg=0,"NO",('Activity data'!AI16*EF!$H29)*kgtoGg)</f>
        <v>7.3268999999999993E-4</v>
      </c>
      <c r="AJ29" s="29">
        <f>IF(('Activity data'!AJ16*EF!$H29)*kgtoGg=0,"NO",('Activity data'!AJ16*EF!$H29)*kgtoGg)</f>
        <v>7.1999999999999994E-4</v>
      </c>
      <c r="AK29" s="29">
        <f>IF(('Activity data'!AK16*EF!$H29)*kgtoGg=0,"NO",('Activity data'!AK16*EF!$H29)*kgtoGg)</f>
        <v>7.1999999999999994E-4</v>
      </c>
      <c r="AL29" s="29">
        <f>IF(('Activity data'!AL16*EF!$H29)*kgtoGg=0,"NO",('Activity data'!AL16*EF!$H29)*kgtoGg)</f>
        <v>7.1999999999999994E-4</v>
      </c>
      <c r="AM29" s="29">
        <f>IF(('Activity data'!AM16*EF!$H29)*kgtoGg=0,"NO",('Activity data'!AM16*EF!$H29)*kgtoGg)</f>
        <v>7.1999999999999994E-4</v>
      </c>
      <c r="AN29" s="29">
        <f>IF(('Activity data'!AN16*EF!$H29)*kgtoGg=0,"NO",('Activity data'!AN16*EF!$H29)*kgtoGg)</f>
        <v>7.1999999999999994E-4</v>
      </c>
      <c r="AO29" s="29">
        <f>IF(('Activity data'!AO16*EF!$H29)*kgtoGg=0,"NO",('Activity data'!AO16*EF!$H29)*kgtoGg)</f>
        <v>7.1999999999999994E-4</v>
      </c>
      <c r="AP29" s="29">
        <f>IF(('Activity data'!AP16*EF!$H29)*kgtoGg=0,"NO",('Activity data'!AP16*EF!$H29)*kgtoGg)</f>
        <v>7.1999999999999994E-4</v>
      </c>
      <c r="AQ29" s="29">
        <f>IF(('Activity data'!AQ16*EF!$H29)*kgtoGg=0,"NO",('Activity data'!AQ16*EF!$H29)*kgtoGg)</f>
        <v>7.1999999999999994E-4</v>
      </c>
      <c r="AR29" s="29">
        <f>IF(('Activity data'!AR16*EF!$H29)*kgtoGg=0,"NO",('Activity data'!AR16*EF!$H29)*kgtoGg)</f>
        <v>7.1999999999999994E-4</v>
      </c>
      <c r="AS29" s="29">
        <f>IF(('Activity data'!AS16*EF!$H29)*kgtoGg=0,"NO",('Activity data'!AS16*EF!$H29)*kgtoGg)</f>
        <v>7.1999999999999994E-4</v>
      </c>
      <c r="AT29" s="29">
        <f>IF(('Activity data'!AT16*EF!$H29)*kgtoGg=0,"NO",('Activity data'!AT16*EF!$H29)*kgtoGg)</f>
        <v>7.1999999999999994E-4</v>
      </c>
      <c r="AU29" s="29">
        <f>IF(('Activity data'!AU16*EF!$H29)*kgtoGg=0,"NO",('Activity data'!AU16*EF!$H29)*kgtoGg)</f>
        <v>7.1999999999999994E-4</v>
      </c>
      <c r="AV29" s="29">
        <f>IF(('Activity data'!AV16*EF!$H29)*kgtoGg=0,"NO",('Activity data'!AV16*EF!$H29)*kgtoGg)</f>
        <v>7.1999999999999994E-4</v>
      </c>
      <c r="AW29" s="29">
        <f>IF(('Activity data'!AW16*EF!$H29)*kgtoGg=0,"NO",('Activity data'!AW16*EF!$H29)*kgtoGg)</f>
        <v>7.1999999999999994E-4</v>
      </c>
      <c r="AX29" s="29">
        <f>IF(('Activity data'!AX16*EF!$H29)*kgtoGg=0,"NO",('Activity data'!AX16*EF!$H29)*kgtoGg)</f>
        <v>7.1999999999999994E-4</v>
      </c>
      <c r="AY29" s="29">
        <f>IF(('Activity data'!AY16*EF!$H29)*kgtoGg=0,"NO",('Activity data'!AY16*EF!$H29)*kgtoGg)</f>
        <v>7.1999999999999994E-4</v>
      </c>
      <c r="AZ29" s="29">
        <f>IF(('Activity data'!AZ16*EF!$H29)*kgtoGg=0,"NO",('Activity data'!AZ16*EF!$H29)*kgtoGg)</f>
        <v>7.1999999999999994E-4</v>
      </c>
      <c r="BA29" s="29">
        <f>IF(('Activity data'!BA16*EF!$H29)*kgtoGg=0,"NO",('Activity data'!BA16*EF!$H29)*kgtoGg)</f>
        <v>7.1999999999999994E-4</v>
      </c>
      <c r="BB29" s="29">
        <f>IF(('Activity data'!BB16*EF!$H29)*kgtoGg=0,"NO",('Activity data'!BB16*EF!$H29)*kgtoGg)</f>
        <v>7.1999999999999994E-4</v>
      </c>
      <c r="BC29" s="29">
        <f>IF(('Activity data'!BC16*EF!$H29)*kgtoGg=0,"NO",('Activity data'!BC16*EF!$H29)*kgtoGg)</f>
        <v>7.1999999999999994E-4</v>
      </c>
      <c r="BD29" s="29">
        <f>IF(('Activity data'!BD16*EF!$H29)*kgtoGg=0,"NO",('Activity data'!BD16*EF!$H29)*kgtoGg)</f>
        <v>7.1999999999999994E-4</v>
      </c>
      <c r="BE29" s="29">
        <f>IF(('Activity data'!BE16*EF!$H29)*kgtoGg=0,"NO",('Activity data'!BE16*EF!$H29)*kgtoGg)</f>
        <v>7.1999999999999994E-4</v>
      </c>
      <c r="BF29" s="29">
        <f>IF(('Activity data'!BF16*EF!$H29)*kgtoGg=0,"NO",('Activity data'!BF16*EF!$H29)*kgtoGg)</f>
        <v>7.1999999999999994E-4</v>
      </c>
      <c r="BG29" s="29">
        <f>IF(('Activity data'!BG16*EF!$H29)*kgtoGg=0,"NO",('Activity data'!BG16*EF!$H29)*kgtoGg)</f>
        <v>7.1999999999999994E-4</v>
      </c>
      <c r="BH29" s="29">
        <f>IF(('Activity data'!BH16*EF!$H29)*kgtoGg=0,"NO",('Activity data'!BH16*EF!$H29)*kgtoGg)</f>
        <v>7.1999999999999994E-4</v>
      </c>
      <c r="BI29" s="29">
        <f>IF(('Activity data'!BI16*EF!$H29)*kgtoGg=0,"NO",('Activity data'!BI16*EF!$H29)*kgtoGg)</f>
        <v>7.1999999999999994E-4</v>
      </c>
      <c r="BJ29" s="29">
        <f>IF(('Activity data'!BJ16*EF!$H29)*kgtoGg=0,"NO",('Activity data'!BJ16*EF!$H29)*kgtoGg)</f>
        <v>7.1999999999999994E-4</v>
      </c>
      <c r="BK29" s="29">
        <f>IF(('Activity data'!BK16*EF!$H29)*kgtoGg=0,"NO",('Activity data'!BK16*EF!$H29)*kgtoGg)</f>
        <v>7.1999999999999994E-4</v>
      </c>
      <c r="BL29" s="29">
        <f>IF(('Activity data'!BL16*EF!$H29)*kgtoGg=0,"NO",('Activity data'!BL16*EF!$H29)*kgtoGg)</f>
        <v>7.1999999999999994E-4</v>
      </c>
      <c r="BM29" s="29">
        <f>IF(('Activity data'!BM16*EF!$H29)*kgtoGg=0,"NO",('Activity data'!BM16*EF!$H29)*kgtoGg)</f>
        <v>7.1999999999999994E-4</v>
      </c>
      <c r="BN29" s="29">
        <f>IF(('Activity data'!BN16*EF!$H29)*kgtoGg=0,"NO",('Activity data'!BN16*EF!$H29)*kgtoGg)</f>
        <v>7.1999999999999994E-4</v>
      </c>
      <c r="BO29" s="29">
        <f>IF(('Activity data'!BO16*EF!$H29)*kgtoGg=0,"NO",('Activity data'!BO16*EF!$H29)*kgtoGg)</f>
        <v>7.1999999999999994E-4</v>
      </c>
      <c r="BP29" s="29">
        <f>IF(('Activity data'!BP16*EF!$H29)*kgtoGg=0,"NO",('Activity data'!BP16*EF!$H29)*kgtoGg)</f>
        <v>7.1999999999999994E-4</v>
      </c>
    </row>
    <row r="30" spans="1:68" x14ac:dyDescent="0.25">
      <c r="A30" t="str">
        <f t="shared" si="1"/>
        <v>3A Livestock</v>
      </c>
      <c r="B30" t="str">
        <f t="shared" si="8"/>
        <v>3A2 Manure management (CH4)</v>
      </c>
      <c r="C30" t="str">
        <f>EF!C30</f>
        <v>3A1h Swine</v>
      </c>
      <c r="D30" t="str">
        <f>EF!D30</f>
        <v>Commercial</v>
      </c>
      <c r="E30" t="str">
        <f t="shared" si="9"/>
        <v>Manure management Emissions</v>
      </c>
      <c r="F30" t="str">
        <f t="shared" si="6"/>
        <v>CH4</v>
      </c>
      <c r="G30" t="str">
        <f t="shared" si="7"/>
        <v>Gg CH4</v>
      </c>
      <c r="H30" s="29">
        <f>IF(('Activity data'!H17*EF!$H30)*kgtoGg=0,"NO",('Activity data'!H17*EF!$H30)*kgtoGg)</f>
        <v>21.422883239999997</v>
      </c>
      <c r="I30" s="29">
        <f>IF(('Activity data'!I17*EF!$H30)*kgtoGg=0,"NO",('Activity data'!I17*EF!$H30)*kgtoGg)</f>
        <v>23.404921649999999</v>
      </c>
      <c r="J30" s="29">
        <f>IF(('Activity data'!J17*EF!$H30)*kgtoGg=0,"NO",('Activity data'!J17*EF!$H30)*kgtoGg)</f>
        <v>23.250294539999995</v>
      </c>
      <c r="K30" s="29">
        <f>IF(('Activity data'!K17*EF!$H30)*kgtoGg=0,"NO",('Activity data'!K17*EF!$H30)*kgtoGg)</f>
        <v>23.236237529999997</v>
      </c>
      <c r="L30" s="29">
        <f>IF(('Activity data'!L17*EF!$H30)*kgtoGg=0,"NO",('Activity data'!L17*EF!$H30)*kgtoGg)</f>
        <v>22.069505699999993</v>
      </c>
      <c r="M30" s="29">
        <f>IF(('Activity data'!M17*EF!$H30)*kgtoGg=0,"NO",('Activity data'!M17*EF!$H30)*kgtoGg)</f>
        <v>22.280360849999997</v>
      </c>
      <c r="N30" s="29">
        <f>IF(('Activity data'!N17*EF!$H30)*kgtoGg=0,"NO",('Activity data'!N17*EF!$H30)*kgtoGg)</f>
        <v>23.995316069999994</v>
      </c>
      <c r="O30" s="29">
        <f>IF(('Activity data'!O17*EF!$H30)*kgtoGg=0,"NO",('Activity data'!O17*EF!$H30)*kgtoGg)</f>
        <v>23.882859989999996</v>
      </c>
      <c r="P30" s="29">
        <f>IF(('Activity data'!P17*EF!$H30)*kgtoGg=0,"NO",('Activity data'!P17*EF!$H30)*kgtoGg)</f>
        <v>24.402969359999993</v>
      </c>
      <c r="Q30" s="29">
        <f>IF(('Activity data'!Q17*EF!$H30)*kgtoGg=0,"NO",('Activity data'!Q17*EF!$H30)*kgtoGg)</f>
        <v>25.021477799999996</v>
      </c>
      <c r="R30" s="29">
        <f>IF(('Activity data'!R17*EF!$H30)*kgtoGg=0,"NO",('Activity data'!R17*EF!$H30)*kgtoGg)</f>
        <v>23.151895469999999</v>
      </c>
      <c r="S30" s="29">
        <f>IF(('Activity data'!S17*EF!$H30)*kgtoGg=0,"NO",('Activity data'!S17*EF!$H30)*kgtoGg)</f>
        <v>23.587662779999995</v>
      </c>
      <c r="T30" s="29">
        <f>IF(('Activity data'!T17*EF!$H30)*kgtoGg=0,"NO",('Activity data'!T17*EF!$H30)*kgtoGg)</f>
        <v>24.037487099999996</v>
      </c>
      <c r="U30" s="29">
        <f>IF(('Activity data'!U17*EF!$H30)*kgtoGg=0,"NO",('Activity data'!U17*EF!$H30)*kgtoGg)</f>
        <v>23.376807629999995</v>
      </c>
      <c r="V30" s="29">
        <f>IF(('Activity data'!V17*EF!$H30)*kgtoGg=0,"NO",('Activity data'!V17*EF!$H30)*kgtoGg)</f>
        <v>23.376807629999995</v>
      </c>
      <c r="W30" s="29">
        <f>IF(('Activity data'!W17*EF!$H30)*kgtoGg=0,"NO",('Activity data'!W17*EF!$H30)*kgtoGg)</f>
        <v>23.208123509999997</v>
      </c>
      <c r="X30" s="29">
        <f>IF(('Activity data'!X17*EF!$H30)*kgtoGg=0,"NO",('Activity data'!X17*EF!$H30)*kgtoGg)</f>
        <v>22.800470219999998</v>
      </c>
      <c r="Y30" s="29">
        <f>IF(('Activity data'!Y17*EF!$H30)*kgtoGg=0,"NO",('Activity data'!Y17*EF!$H30)*kgtoGg)</f>
        <v>23.208123509999997</v>
      </c>
      <c r="Z30" s="29">
        <f>IF(('Activity data'!Z17*EF!$H30)*kgtoGg=0,"NO",('Activity data'!Z17*EF!$H30)*kgtoGg)</f>
        <v>22.702071149999998</v>
      </c>
      <c r="AA30" s="29">
        <f>IF(('Activity data'!AA17*EF!$H30)*kgtoGg=0,"NO",('Activity data'!AA17*EF!$H30)*kgtoGg)</f>
        <v>22.673957129999998</v>
      </c>
      <c r="AB30" s="29">
        <f>IF(('Activity data'!AB17*EF!$H30)*kgtoGg=0,"NO",('Activity data'!AB17*EF!$H30)*kgtoGg)</f>
        <v>22.406873939999997</v>
      </c>
      <c r="AC30" s="29">
        <f>IF(('Activity data'!AC17*EF!$H30)*kgtoGg=0,"NO",('Activity data'!AC17*EF!$H30)*kgtoGg)</f>
        <v>22.266303839999996</v>
      </c>
      <c r="AD30" s="29">
        <f>IF(('Activity data'!AD17*EF!$H30)*kgtoGg=0,"NO",('Activity data'!AD17*EF!$H30)*kgtoGg)</f>
        <v>22.196018789999993</v>
      </c>
      <c r="AE30" s="29">
        <f>IF(('Activity data'!AE17*EF!$H30)*kgtoGg=0,"NO",('Activity data'!AE17*EF!$H30)*kgtoGg)</f>
        <v>22.125733739999998</v>
      </c>
      <c r="AF30" s="29">
        <f>IF(('Activity data'!AF17*EF!$H30)*kgtoGg=0,"NO",('Activity data'!AF17*EF!$H30)*kgtoGg)</f>
        <v>21.957049619999996</v>
      </c>
      <c r="AG30" s="29">
        <f>IF(('Activity data'!AG17*EF!$H30)*kgtoGg=0,"NO",('Activity data'!AG17*EF!$H30)*kgtoGg)</f>
        <v>21.408826229999995</v>
      </c>
      <c r="AH30" s="29">
        <f>IF(('Activity data'!AH17*EF!$H30)*kgtoGg=0,"NO",('Activity data'!AH17*EF!$H30)*kgtoGg)</f>
        <v>21.254199119999996</v>
      </c>
      <c r="AI30" s="29">
        <f>IF(('Activity data'!AI17*EF!$H30)*kgtoGg=0,"NO",('Activity data'!AI17*EF!$H30)*kgtoGg)</f>
        <v>20.818431809999996</v>
      </c>
      <c r="AJ30" s="29">
        <f>IF(('Activity data'!AJ17*EF!$H30)*kgtoGg=0,"NO",('Activity data'!AJ17*EF!$H30)*kgtoGg)</f>
        <v>21.670663886942979</v>
      </c>
      <c r="AK30" s="29">
        <f>IF(('Activity data'!AK17*EF!$H30)*kgtoGg=0,"NO",('Activity data'!AK17*EF!$H30)*kgtoGg)</f>
        <v>21.6388132112668</v>
      </c>
      <c r="AL30" s="29">
        <f>IF(('Activity data'!AL17*EF!$H30)*kgtoGg=0,"NO",('Activity data'!AL17*EF!$H30)*kgtoGg)</f>
        <v>21.72445805940205</v>
      </c>
      <c r="AM30" s="29">
        <f>IF(('Activity data'!AM17*EF!$H30)*kgtoGg=0,"NO",('Activity data'!AM17*EF!$H30)*kgtoGg)</f>
        <v>21.67482513475894</v>
      </c>
      <c r="AN30" s="29">
        <f>IF(('Activity data'!AN17*EF!$H30)*kgtoGg=0,"NO",('Activity data'!AN17*EF!$H30)*kgtoGg)</f>
        <v>21.626386581551429</v>
      </c>
      <c r="AO30" s="29">
        <f>IF(('Activity data'!AO17*EF!$H30)*kgtoGg=0,"NO",('Activity data'!AO17*EF!$H30)*kgtoGg)</f>
        <v>21.577679924718502</v>
      </c>
      <c r="AP30" s="29">
        <f>IF(('Activity data'!AP17*EF!$H30)*kgtoGg=0,"NO",('Activity data'!AP17*EF!$H30)*kgtoGg)</f>
        <v>21.53000145487395</v>
      </c>
      <c r="AQ30" s="29">
        <f>IF(('Activity data'!AQ17*EF!$H30)*kgtoGg=0,"NO",('Activity data'!AQ17*EF!$H30)*kgtoGg)</f>
        <v>21.481130393648524</v>
      </c>
      <c r="AR30" s="29">
        <f>IF(('Activity data'!AR17*EF!$H30)*kgtoGg=0,"NO",('Activity data'!AR17*EF!$H30)*kgtoGg)</f>
        <v>21.425157602404489</v>
      </c>
      <c r="AS30" s="29">
        <f>IF(('Activity data'!AS17*EF!$H30)*kgtoGg=0,"NO",('Activity data'!AS17*EF!$H30)*kgtoGg)</f>
        <v>21.369501021905577</v>
      </c>
      <c r="AT30" s="29">
        <f>IF(('Activity data'!AT17*EF!$H30)*kgtoGg=0,"NO",('Activity data'!AT17*EF!$H30)*kgtoGg)</f>
        <v>21.312230159993032</v>
      </c>
      <c r="AU30" s="29">
        <f>IF(('Activity data'!AU17*EF!$H30)*kgtoGg=0,"NO",('Activity data'!AU17*EF!$H30)*kgtoGg)</f>
        <v>21.253760636621397</v>
      </c>
      <c r="AV30" s="29">
        <f>IF(('Activity data'!AV17*EF!$H30)*kgtoGg=0,"NO",('Activity data'!AV17*EF!$H30)*kgtoGg)</f>
        <v>21.193983046889389</v>
      </c>
      <c r="AW30" s="29">
        <f>IF(('Activity data'!AW17*EF!$H30)*kgtoGg=0,"NO",('Activity data'!AW17*EF!$H30)*kgtoGg)</f>
        <v>21.127250795336188</v>
      </c>
      <c r="AX30" s="29">
        <f>IF(('Activity data'!AX17*EF!$H30)*kgtoGg=0,"NO",('Activity data'!AX17*EF!$H30)*kgtoGg)</f>
        <v>21.062669032812259</v>
      </c>
      <c r="AY30" s="29">
        <f>IF(('Activity data'!AY17*EF!$H30)*kgtoGg=0,"NO",('Activity data'!AY17*EF!$H30)*kgtoGg)</f>
        <v>20.993236849039469</v>
      </c>
      <c r="AZ30" s="29">
        <f>IF(('Activity data'!AZ17*EF!$H30)*kgtoGg=0,"NO",('Activity data'!AZ17*EF!$H30)*kgtoGg)</f>
        <v>20.920413798328195</v>
      </c>
      <c r="BA30" s="29">
        <f>IF(('Activity data'!BA17*EF!$H30)*kgtoGg=0,"NO",('Activity data'!BA17*EF!$H30)*kgtoGg)</f>
        <v>20.844016352108369</v>
      </c>
      <c r="BB30" s="29">
        <f>IF(('Activity data'!BB17*EF!$H30)*kgtoGg=0,"NO",('Activity data'!BB17*EF!$H30)*kgtoGg)</f>
        <v>20.765163083979409</v>
      </c>
      <c r="BC30" s="29">
        <f>IF(('Activity data'!BC17*EF!$H30)*kgtoGg=0,"NO",('Activity data'!BC17*EF!$H30)*kgtoGg)</f>
        <v>20.683851240793135</v>
      </c>
      <c r="BD30" s="29">
        <f>IF(('Activity data'!BD17*EF!$H30)*kgtoGg=0,"NO",('Activity data'!BD17*EF!$H30)*kgtoGg)</f>
        <v>20.60162604733355</v>
      </c>
      <c r="BE30" s="29">
        <f>IF(('Activity data'!BE17*EF!$H30)*kgtoGg=0,"NO",('Activity data'!BE17*EF!$H30)*kgtoGg)</f>
        <v>20.516919092098142</v>
      </c>
      <c r="BF30" s="29">
        <f>IF(('Activity data'!BF17*EF!$H30)*kgtoGg=0,"NO",('Activity data'!BF17*EF!$H30)*kgtoGg)</f>
        <v>20.42834161327762</v>
      </c>
      <c r="BG30" s="29">
        <f>IF(('Activity data'!BG17*EF!$H30)*kgtoGg=0,"NO",('Activity data'!BG17*EF!$H30)*kgtoGg)</f>
        <v>20.333952550188116</v>
      </c>
      <c r="BH30" s="29">
        <f>IF(('Activity data'!BH17*EF!$H30)*kgtoGg=0,"NO",('Activity data'!BH17*EF!$H30)*kgtoGg)</f>
        <v>20.23659221100597</v>
      </c>
      <c r="BI30" s="29">
        <f>IF(('Activity data'!BI17*EF!$H30)*kgtoGg=0,"NO",('Activity data'!BI17*EF!$H30)*kgtoGg)</f>
        <v>20.136429974054007</v>
      </c>
      <c r="BJ30" s="29">
        <f>IF(('Activity data'!BJ17*EF!$H30)*kgtoGg=0,"NO",('Activity data'!BJ17*EF!$H30)*kgtoGg)</f>
        <v>20.033047755051335</v>
      </c>
      <c r="BK30" s="29">
        <f>IF(('Activity data'!BK17*EF!$H30)*kgtoGg=0,"NO",('Activity data'!BK17*EF!$H30)*kgtoGg)</f>
        <v>19.924787957919598</v>
      </c>
      <c r="BL30" s="29">
        <f>IF(('Activity data'!BL17*EF!$H30)*kgtoGg=0,"NO",('Activity data'!BL17*EF!$H30)*kgtoGg)</f>
        <v>19.81325820773008</v>
      </c>
      <c r="BM30" s="29">
        <f>IF(('Activity data'!BM17*EF!$H30)*kgtoGg=0,"NO",('Activity data'!BM17*EF!$H30)*kgtoGg)</f>
        <v>19.697522872887323</v>
      </c>
      <c r="BN30" s="29">
        <f>IF(('Activity data'!BN17*EF!$H30)*kgtoGg=0,"NO",('Activity data'!BN17*EF!$H30)*kgtoGg)</f>
        <v>19.58073292372525</v>
      </c>
      <c r="BO30" s="29">
        <f>IF(('Activity data'!BO17*EF!$H30)*kgtoGg=0,"NO",('Activity data'!BO17*EF!$H30)*kgtoGg)</f>
        <v>19.459356230353752</v>
      </c>
      <c r="BP30" s="29">
        <f>IF(('Activity data'!BP17*EF!$H30)*kgtoGg=0,"NO",('Activity data'!BP17*EF!$H30)*kgtoGg)</f>
        <v>19.33301003500204</v>
      </c>
    </row>
    <row r="31" spans="1:68" x14ac:dyDescent="0.25">
      <c r="A31" t="str">
        <f t="shared" si="1"/>
        <v>3A Livestock</v>
      </c>
      <c r="B31" t="str">
        <f t="shared" si="8"/>
        <v>3A2 Manure management (CH4)</v>
      </c>
      <c r="C31" t="str">
        <f>EF!C31</f>
        <v>3A1h Swine</v>
      </c>
      <c r="D31" t="str">
        <f>EF!D31</f>
        <v>Subsistence</v>
      </c>
      <c r="E31" t="str">
        <f t="shared" si="9"/>
        <v>Manure management Emissions</v>
      </c>
      <c r="F31" t="str">
        <f t="shared" si="6"/>
        <v>CH4</v>
      </c>
      <c r="G31" t="str">
        <f t="shared" si="7"/>
        <v>Gg CH4</v>
      </c>
      <c r="H31" s="29">
        <f>IF(('Activity data'!H18*EF!$H31)*kgtoGg=0,"NO",('Activity data'!H18*EF!$H31)*kgtoGg)</f>
        <v>6.8678348124932898E-2</v>
      </c>
      <c r="I31" s="29">
        <f>IF(('Activity data'!I18*EF!$H31)*kgtoGg=0,"NO",('Activity data'!I18*EF!$H31)*kgtoGg)</f>
        <v>7.5032447262475918E-2</v>
      </c>
      <c r="J31" s="29">
        <f>IF(('Activity data'!J18*EF!$H31)*kgtoGg=0,"NO",('Activity data'!J18*EF!$H31)*kgtoGg)</f>
        <v>7.4536737400681771E-2</v>
      </c>
      <c r="K31" s="29">
        <f>IF(('Activity data'!K18*EF!$H31)*kgtoGg=0,"NO",('Activity data'!K18*EF!$H31)*kgtoGg)</f>
        <v>7.4491672867791403E-2</v>
      </c>
      <c r="L31" s="29">
        <f>IF(('Activity data'!L18*EF!$H31)*kgtoGg=0,"NO",('Activity data'!L18*EF!$H31)*kgtoGg)</f>
        <v>7.0751316637890194E-2</v>
      </c>
      <c r="M31" s="29">
        <f>IF(('Activity data'!M18*EF!$H31)*kgtoGg=0,"NO",('Activity data'!M18*EF!$H31)*kgtoGg)</f>
        <v>7.1427284631245841E-2</v>
      </c>
      <c r="N31" s="29">
        <f>IF(('Activity data'!N18*EF!$H31)*kgtoGg=0,"NO",('Activity data'!N18*EF!$H31)*kgtoGg)</f>
        <v>7.69251576438717E-2</v>
      </c>
      <c r="O31" s="29">
        <f>IF(('Activity data'!O18*EF!$H31)*kgtoGg=0,"NO",('Activity data'!O18*EF!$H31)*kgtoGg)</f>
        <v>7.6564641380748699E-2</v>
      </c>
      <c r="P31" s="29">
        <f>IF(('Activity data'!P18*EF!$H31)*kgtoGg=0,"NO",('Activity data'!P18*EF!$H31)*kgtoGg)</f>
        <v>7.8232029097692599E-2</v>
      </c>
      <c r="Q31" s="29">
        <f>IF(('Activity data'!Q18*EF!$H31)*kgtoGg=0,"NO",('Activity data'!Q18*EF!$H31)*kgtoGg)</f>
        <v>8.0214868544869131E-2</v>
      </c>
      <c r="R31" s="29">
        <f>IF(('Activity data'!R18*EF!$H31)*kgtoGg=0,"NO",('Activity data'!R18*EF!$H31)*kgtoGg)</f>
        <v>7.4221285670449139E-2</v>
      </c>
      <c r="S31" s="29">
        <f>IF(('Activity data'!S18*EF!$H31)*kgtoGg=0,"NO",('Activity data'!S18*EF!$H31)*kgtoGg)</f>
        <v>7.5618286190050801E-2</v>
      </c>
      <c r="T31" s="29">
        <f>IF(('Activity data'!T18*EF!$H31)*kgtoGg=0,"NO",('Activity data'!T18*EF!$H31)*kgtoGg)</f>
        <v>7.7060351242542832E-2</v>
      </c>
      <c r="U31" s="29">
        <f>IF(('Activity data'!U18*EF!$H31)*kgtoGg=0,"NO",('Activity data'!U18*EF!$H31)*kgtoGg)</f>
        <v>7.4942318196695168E-2</v>
      </c>
      <c r="V31" s="29">
        <f>IF(('Activity data'!V18*EF!$H31)*kgtoGg=0,"NO",('Activity data'!V18*EF!$H31)*kgtoGg)</f>
        <v>7.4942318196695168E-2</v>
      </c>
      <c r="W31" s="29">
        <f>IF(('Activity data'!W18*EF!$H31)*kgtoGg=0,"NO",('Activity data'!W18*EF!$H31)*kgtoGg)</f>
        <v>7.4401543802010653E-2</v>
      </c>
      <c r="X31" s="29">
        <f>IF(('Activity data'!X18*EF!$H31)*kgtoGg=0,"NO",('Activity data'!X18*EF!$H31)*kgtoGg)</f>
        <v>7.309467234818974E-2</v>
      </c>
      <c r="Y31" s="29">
        <f>IF(('Activity data'!Y18*EF!$H31)*kgtoGg=0,"NO",('Activity data'!Y18*EF!$H31)*kgtoGg)</f>
        <v>7.4401543802010653E-2</v>
      </c>
      <c r="Z31" s="29">
        <f>IF(('Activity data'!Z18*EF!$H31)*kgtoGg=0,"NO",('Activity data'!Z18*EF!$H31)*kgtoGg)</f>
        <v>7.2779220617957122E-2</v>
      </c>
      <c r="AA31" s="29">
        <f>IF(('Activity data'!AA18*EF!$H31)*kgtoGg=0,"NO",('Activity data'!AA18*EF!$H31)*kgtoGg)</f>
        <v>7.2689091552176358E-2</v>
      </c>
      <c r="AB31" s="29">
        <f>IF(('Activity data'!AB18*EF!$H31)*kgtoGg=0,"NO",('Activity data'!AB18*EF!$H31)*kgtoGg)</f>
        <v>7.1832865427259224E-2</v>
      </c>
      <c r="AC31" s="29">
        <f>IF(('Activity data'!AC18*EF!$H31)*kgtoGg=0,"NO",('Activity data'!AC18*EF!$H31)*kgtoGg)</f>
        <v>7.1382220098355459E-2</v>
      </c>
      <c r="AD31" s="29">
        <f>IF(('Activity data'!AD18*EF!$H31)*kgtoGg=0,"NO",('Activity data'!AD18*EF!$H31)*kgtoGg)</f>
        <v>7.115689743390359E-2</v>
      </c>
      <c r="AE31" s="29">
        <f>IF(('Activity data'!AE18*EF!$H31)*kgtoGg=0,"NO",('Activity data'!AE18*EF!$H31)*kgtoGg)</f>
        <v>7.0931574769451708E-2</v>
      </c>
      <c r="AF31" s="29">
        <f>IF(('Activity data'!AF18*EF!$H31)*kgtoGg=0,"NO",('Activity data'!AF18*EF!$H31)*kgtoGg)</f>
        <v>7.0390800374767207E-2</v>
      </c>
      <c r="AG31" s="29">
        <f>IF(('Activity data'!AG18*EF!$H31)*kgtoGg=0,"NO",('Activity data'!AG18*EF!$H31)*kgtoGg)</f>
        <v>6.8633283592042543E-2</v>
      </c>
      <c r="AH31" s="29">
        <f>IF(('Activity data'!AH18*EF!$H31)*kgtoGg=0,"NO",('Activity data'!AH18*EF!$H31)*kgtoGg)</f>
        <v>6.8137573730248396E-2</v>
      </c>
      <c r="AI31" s="29">
        <f>IF(('Activity data'!AI18*EF!$H31)*kgtoGg=0,"NO",('Activity data'!AI18*EF!$H31)*kgtoGg)</f>
        <v>6.6740573210646748E-2</v>
      </c>
      <c r="AJ31" s="29">
        <f>IF(('Activity data'!AJ18*EF!$H31)*kgtoGg=0,"NO",('Activity data'!AJ18*EF!$H31)*kgtoGg)</f>
        <v>6.969402028363833E-2</v>
      </c>
      <c r="AK31" s="29">
        <f>IF(('Activity data'!AK18*EF!$H31)*kgtoGg=0,"NO",('Activity data'!AK18*EF!$H31)*kgtoGg)</f>
        <v>6.9591586798065208E-2</v>
      </c>
      <c r="AL31" s="29">
        <f>IF(('Activity data'!AL18*EF!$H31)*kgtoGg=0,"NO",('Activity data'!AL18*EF!$H31)*kgtoGg)</f>
        <v>6.9867025234758601E-2</v>
      </c>
      <c r="AM31" s="29">
        <f>IF(('Activity data'!AM18*EF!$H31)*kgtoGg=0,"NO",('Activity data'!AM18*EF!$H31)*kgtoGg)</f>
        <v>6.9707403080363162E-2</v>
      </c>
      <c r="AN31" s="29">
        <f>IF(('Activity data'!AN18*EF!$H31)*kgtoGg=0,"NO",('Activity data'!AN18*EF!$H31)*kgtoGg)</f>
        <v>6.9551622088725493E-2</v>
      </c>
      <c r="AO31" s="29">
        <f>IF(('Activity data'!AO18*EF!$H31)*kgtoGg=0,"NO",('Activity data'!AO18*EF!$H31)*kgtoGg)</f>
        <v>6.9394978861412673E-2</v>
      </c>
      <c r="AP31" s="29">
        <f>IF(('Activity data'!AP18*EF!$H31)*kgtoGg=0,"NO",('Activity data'!AP18*EF!$H31)*kgtoGg)</f>
        <v>6.9241642338739695E-2</v>
      </c>
      <c r="AQ31" s="29">
        <f>IF(('Activity data'!AQ18*EF!$H31)*kgtoGg=0,"NO",('Activity data'!AQ18*EF!$H31)*kgtoGg)</f>
        <v>6.908447037806062E-2</v>
      </c>
      <c r="AR31" s="29">
        <f>IF(('Activity data'!AR18*EF!$H31)*kgtoGg=0,"NO",('Activity data'!AR18*EF!$H31)*kgtoGg)</f>
        <v>6.890445887178441E-2</v>
      </c>
      <c r="AS31" s="29">
        <f>IF(('Activity data'!AS18*EF!$H31)*kgtoGg=0,"NO",('Activity data'!AS18*EF!$H31)*kgtoGg)</f>
        <v>6.8725464316267082E-2</v>
      </c>
      <c r="AT31" s="29">
        <f>IF(('Activity data'!AT18*EF!$H31)*kgtoGg=0,"NO",('Activity data'!AT18*EF!$H31)*kgtoGg)</f>
        <v>6.8541278144924209E-2</v>
      </c>
      <c r="AU31" s="29">
        <f>IF(('Activity data'!AU18*EF!$H31)*kgtoGg=0,"NO",('Activity data'!AU18*EF!$H31)*kgtoGg)</f>
        <v>6.8353237013877341E-2</v>
      </c>
      <c r="AV31" s="29">
        <f>IF(('Activity data'!AV18*EF!$H31)*kgtoGg=0,"NO",('Activity data'!AV18*EF!$H31)*kgtoGg)</f>
        <v>6.8160989071081285E-2</v>
      </c>
      <c r="AW31" s="29">
        <f>IF(('Activity data'!AW18*EF!$H31)*kgtoGg=0,"NO",('Activity data'!AW18*EF!$H31)*kgtoGg)</f>
        <v>6.7946374561918793E-2</v>
      </c>
      <c r="AX31" s="29">
        <f>IF(('Activity data'!AX18*EF!$H31)*kgtoGg=0,"NO",('Activity data'!AX18*EF!$H31)*kgtoGg)</f>
        <v>6.7738676141105403E-2</v>
      </c>
      <c r="AY31" s="29">
        <f>IF(('Activity data'!AY18*EF!$H31)*kgtoGg=0,"NO",('Activity data'!AY18*EF!$H31)*kgtoGg)</f>
        <v>6.7515378504750395E-2</v>
      </c>
      <c r="AZ31" s="29">
        <f>IF(('Activity data'!AZ18*EF!$H31)*kgtoGg=0,"NO",('Activity data'!AZ18*EF!$H31)*kgtoGg)</f>
        <v>6.7281175657995615E-2</v>
      </c>
      <c r="BA31" s="29">
        <f>IF(('Activity data'!BA18*EF!$H31)*kgtoGg=0,"NO",('Activity data'!BA18*EF!$H31)*kgtoGg)</f>
        <v>6.703547736309147E-2</v>
      </c>
      <c r="BB31" s="29">
        <f>IF(('Activity data'!BB18*EF!$H31)*kgtoGg=0,"NO",('Activity data'!BB18*EF!$H31)*kgtoGg)</f>
        <v>6.6781881012878963E-2</v>
      </c>
      <c r="BC31" s="29">
        <f>IF(('Activity data'!BC18*EF!$H31)*kgtoGg=0,"NO",('Activity data'!BC18*EF!$H31)*kgtoGg)</f>
        <v>6.6520377753085488E-2</v>
      </c>
      <c r="BD31" s="29">
        <f>IF(('Activity data'!BD18*EF!$H31)*kgtoGg=0,"NO",('Activity data'!BD18*EF!$H31)*kgtoGg)</f>
        <v>6.6255937109702553E-2</v>
      </c>
      <c r="BE31" s="29">
        <f>IF(('Activity data'!BE18*EF!$H31)*kgtoGg=0,"NO",('Activity data'!BE18*EF!$H31)*kgtoGg)</f>
        <v>6.5983514987005207E-2</v>
      </c>
      <c r="BF31" s="29">
        <f>IF(('Activity data'!BF18*EF!$H31)*kgtoGg=0,"NO",('Activity data'!BF18*EF!$H31)*kgtoGg)</f>
        <v>6.5698645052341562E-2</v>
      </c>
      <c r="BG31" s="29">
        <f>IF(('Activity data'!BG18*EF!$H31)*kgtoGg=0,"NO",('Activity data'!BG18*EF!$H31)*kgtoGg)</f>
        <v>6.5395084750182242E-2</v>
      </c>
      <c r="BH31" s="29">
        <f>IF(('Activity data'!BH18*EF!$H31)*kgtoGg=0,"NO",('Activity data'!BH18*EF!$H31)*kgtoGg)</f>
        <v>6.5081968664344625E-2</v>
      </c>
      <c r="BI31" s="29">
        <f>IF(('Activity data'!BI18*EF!$H31)*kgtoGg=0,"NO",('Activity data'!BI18*EF!$H31)*kgtoGg)</f>
        <v>6.4759841524622316E-2</v>
      </c>
      <c r="BJ31" s="29">
        <f>IF(('Activity data'!BJ18*EF!$H31)*kgtoGg=0,"NO",('Activity data'!BJ18*EF!$H31)*kgtoGg)</f>
        <v>6.4427358749487712E-2</v>
      </c>
      <c r="BK31" s="29">
        <f>IF(('Activity data'!BK18*EF!$H31)*kgtoGg=0,"NO",('Activity data'!BK18*EF!$H31)*kgtoGg)</f>
        <v>6.407918942082455E-2</v>
      </c>
      <c r="BL31" s="29">
        <f>IF(('Activity data'!BL18*EF!$H31)*kgtoGg=0,"NO",('Activity data'!BL18*EF!$H31)*kgtoGg)</f>
        <v>6.3720503747303467E-2</v>
      </c>
      <c r="BM31" s="29">
        <f>IF(('Activity data'!BM18*EF!$H31)*kgtoGg=0,"NO",('Activity data'!BM18*EF!$H31)*kgtoGg)</f>
        <v>6.3348292687404911E-2</v>
      </c>
      <c r="BN31" s="29">
        <f>IF(('Activity data'!BN18*EF!$H31)*kgtoGg=0,"NO",('Activity data'!BN18*EF!$H31)*kgtoGg)</f>
        <v>6.2972689931149198E-2</v>
      </c>
      <c r="BO31" s="29">
        <f>IF(('Activity data'!BO18*EF!$H31)*kgtoGg=0,"NO",('Activity data'!BO18*EF!$H31)*kgtoGg)</f>
        <v>6.2582335958888513E-2</v>
      </c>
      <c r="BP31" s="29">
        <f>IF(('Activity data'!BP18*EF!$H31)*kgtoGg=0,"NO",('Activity data'!BP18*EF!$H31)*kgtoGg)</f>
        <v>6.2175999801051283E-2</v>
      </c>
    </row>
    <row r="32" spans="1:68" x14ac:dyDescent="0.25">
      <c r="A32" t="str">
        <f t="shared" si="1"/>
        <v>3A Livestock</v>
      </c>
      <c r="B32" t="str">
        <f t="shared" si="8"/>
        <v>3A2 Manure management (CH4)</v>
      </c>
      <c r="C32" t="str">
        <f>EF!C32</f>
        <v>3A2i Poultry</v>
      </c>
      <c r="D32" t="str">
        <f>EF!D32</f>
        <v>Commercial layers</v>
      </c>
      <c r="E32" t="str">
        <f t="shared" si="9"/>
        <v>Manure management Emissions</v>
      </c>
      <c r="F32" t="str">
        <f t="shared" si="6"/>
        <v>CH4</v>
      </c>
      <c r="G32" t="str">
        <f t="shared" si="7"/>
        <v>Gg CH4</v>
      </c>
      <c r="H32" s="29">
        <f>IF(('Activity data'!H19*EF!$H32)*kgtoGg=0,"NO",('Activity data'!H19*EF!$H32)*kgtoGg)</f>
        <v>0.34412636088479531</v>
      </c>
      <c r="I32" s="29">
        <f>IF(('Activity data'!I19*EF!$H32)*kgtoGg=0,"NO",('Activity data'!I19*EF!$H32)*kgtoGg)</f>
        <v>0.33431360408971139</v>
      </c>
      <c r="J32" s="29">
        <f>IF(('Activity data'!J19*EF!$H32)*kgtoGg=0,"NO",('Activity data'!J19*EF!$H32)*kgtoGg)</f>
        <v>0.31707319838740716</v>
      </c>
      <c r="K32" s="29">
        <f>IF(('Activity data'!K19*EF!$H32)*kgtoGg=0,"NO",('Activity data'!K19*EF!$H32)*kgtoGg)</f>
        <v>0.31208778044270324</v>
      </c>
      <c r="L32" s="29">
        <f>IF(('Activity data'!L19*EF!$H32)*kgtoGg=0,"NO",('Activity data'!L19*EF!$H32)*kgtoGg)</f>
        <v>0.29851308566472284</v>
      </c>
      <c r="M32" s="29">
        <f>IF(('Activity data'!M19*EF!$H32)*kgtoGg=0,"NO",('Activity data'!M19*EF!$H32)*kgtoGg)</f>
        <v>0.32571493051505118</v>
      </c>
      <c r="N32" s="29">
        <f>IF(('Activity data'!N19*EF!$H32)*kgtoGg=0,"NO",('Activity data'!N19*EF!$H32)*kgtoGg)</f>
        <v>0.34405437172586711</v>
      </c>
      <c r="O32" s="29">
        <f>IF(('Activity data'!O19*EF!$H32)*kgtoGg=0,"NO",('Activity data'!O19*EF!$H32)*kgtoGg)</f>
        <v>0.34518574950517145</v>
      </c>
      <c r="P32" s="29">
        <f>IF(('Activity data'!P19*EF!$H32)*kgtoGg=0,"NO",('Activity data'!P19*EF!$H32)*kgtoGg)</f>
        <v>0.38865002667416459</v>
      </c>
      <c r="Q32" s="29">
        <f>IF(('Activity data'!Q19*EF!$H32)*kgtoGg=0,"NO",('Activity data'!Q19*EF!$H32)*kgtoGg)</f>
        <v>0.41667182927837593</v>
      </c>
      <c r="R32" s="29">
        <f>IF(('Activity data'!R19*EF!$H32)*kgtoGg=0,"NO",('Activity data'!R19*EF!$H32)*kgtoGg)</f>
        <v>0.40784322178977589</v>
      </c>
      <c r="S32" s="29">
        <f>IF(('Activity data'!S19*EF!$H32)*kgtoGg=0,"NO",('Activity data'!S19*EF!$H32)*kgtoGg)</f>
        <v>0.41872302408484074</v>
      </c>
      <c r="T32" s="29">
        <f>IF(('Activity data'!T19*EF!$H32)*kgtoGg=0,"NO",('Activity data'!T19*EF!$H32)*kgtoGg)</f>
        <v>0.41543664927468582</v>
      </c>
      <c r="U32" s="29">
        <f>IF(('Activity data'!U19*EF!$H32)*kgtoGg=0,"NO",('Activity data'!U19*EF!$H32)*kgtoGg)</f>
        <v>0.39885137894995365</v>
      </c>
      <c r="V32" s="29">
        <f>IF(('Activity data'!V19*EF!$H32)*kgtoGg=0,"NO",('Activity data'!V19*EF!$H32)*kgtoGg)</f>
        <v>0.41331414342789019</v>
      </c>
      <c r="W32" s="29">
        <f>IF(('Activity data'!W19*EF!$H32)*kgtoGg=0,"NO",('Activity data'!W19*EF!$H32)*kgtoGg)</f>
        <v>0.43823720309168573</v>
      </c>
      <c r="X32" s="29">
        <f>IF(('Activity data'!X19*EF!$H32)*kgtoGg=0,"NO",('Activity data'!X19*EF!$H32)*kgtoGg)</f>
        <v>0.48364625743591194</v>
      </c>
      <c r="Y32" s="29">
        <f>IF(('Activity data'!Y19*EF!$H32)*kgtoGg=0,"NO",('Activity data'!Y19*EF!$H32)*kgtoGg)</f>
        <v>0.53523791894516948</v>
      </c>
      <c r="Z32" s="29">
        <f>IF(('Activity data'!Z19*EF!$H32)*kgtoGg=0,"NO",('Activity data'!Z19*EF!$H32)*kgtoGg)</f>
        <v>0.54228693678826778</v>
      </c>
      <c r="AA32" s="29">
        <f>IF(('Activity data'!AA19*EF!$H32)*kgtoGg=0,"NO",('Activity data'!AA19*EF!$H32)*kgtoGg)</f>
        <v>0.52229475326298369</v>
      </c>
      <c r="AB32" s="29">
        <f>IF(('Activity data'!AB19*EF!$H32)*kgtoGg=0,"NO",('Activity data'!AB19*EF!$H32)*kgtoGg)</f>
        <v>0.5426399385673164</v>
      </c>
      <c r="AC32" s="29">
        <f>IF(('Activity data'!AC19*EF!$H32)*kgtoGg=0,"NO",('Activity data'!AC19*EF!$H32)*kgtoGg)</f>
        <v>0.56768674314562217</v>
      </c>
      <c r="AD32" s="29">
        <f>IF(('Activity data'!AD19*EF!$H32)*kgtoGg=0,"NO",('Activity data'!AD19*EF!$H32)*kgtoGg)</f>
        <v>0.58836645447350922</v>
      </c>
      <c r="AE32" s="29">
        <f>IF(('Activity data'!AE19*EF!$H32)*kgtoGg=0,"NO",('Activity data'!AE19*EF!$H32)*kgtoGg)</f>
        <v>0.57691505048000802</v>
      </c>
      <c r="AF32" s="29">
        <f>IF(('Activity data'!AF19*EF!$H32)*kgtoGg=0,"NO",('Activity data'!AF19*EF!$H32)*kgtoGg)</f>
        <v>0.57200174627190192</v>
      </c>
      <c r="AG32" s="29">
        <f>IF(('Activity data'!AG19*EF!$H32)*kgtoGg=0,"NO",('Activity data'!AG19*EF!$H32)*kgtoGg)</f>
        <v>0.58400227693415019</v>
      </c>
      <c r="AH32" s="29">
        <f>IF(('Activity data'!AH19*EF!$H32)*kgtoGg=0,"NO",('Activity data'!AH19*EF!$H32)*kgtoGg)</f>
        <v>0.58279999999999998</v>
      </c>
      <c r="AI32" s="29">
        <f>IF(('Activity data'!AI19*EF!$H32)*kgtoGg=0,"NO",('Activity data'!AI19*EF!$H32)*kgtoGg)</f>
        <v>0.54425999999999997</v>
      </c>
      <c r="AJ32" s="29">
        <f>IF(('Activity data'!AJ19*EF!$H32)*kgtoGg=0,"NO",('Activity data'!AJ19*EF!$H32)*kgtoGg)</f>
        <v>0.60331468997914706</v>
      </c>
      <c r="AK32" s="29">
        <f>IF(('Activity data'!AK19*EF!$H32)*kgtoGg=0,"NO",('Activity data'!AK19*EF!$H32)*kgtoGg)</f>
        <v>0.60907172688706979</v>
      </c>
      <c r="AL32" s="29">
        <f>IF(('Activity data'!AL19*EF!$H32)*kgtoGg=0,"NO",('Activity data'!AL19*EF!$H32)*kgtoGg)</f>
        <v>0.6063361429536982</v>
      </c>
      <c r="AM32" s="29">
        <f>IF(('Activity data'!AM19*EF!$H32)*kgtoGg=0,"NO",('Activity data'!AM19*EF!$H32)*kgtoGg)</f>
        <v>0.61342550090120695</v>
      </c>
      <c r="AN32" s="29">
        <f>IF(('Activity data'!AN19*EF!$H32)*kgtoGg=0,"NO",('Activity data'!AN19*EF!$H32)*kgtoGg)</f>
        <v>0.620428529165576</v>
      </c>
      <c r="AO32" s="29">
        <f>IF(('Activity data'!AO19*EF!$H32)*kgtoGg=0,"NO",('Activity data'!AO19*EF!$H32)*kgtoGg)</f>
        <v>0.62745093606125757</v>
      </c>
      <c r="AP32" s="29">
        <f>IF(('Activity data'!AP19*EF!$H32)*kgtoGg=0,"NO",('Activity data'!AP19*EF!$H32)*kgtoGg)</f>
        <v>0.63439902521305402</v>
      </c>
      <c r="AQ32" s="29">
        <f>IF(('Activity data'!AQ19*EF!$H32)*kgtoGg=0,"NO",('Activity data'!AQ19*EF!$H32)*kgtoGg)</f>
        <v>0.64143331538496318</v>
      </c>
      <c r="AR32" s="29">
        <f>IF(('Activity data'!AR19*EF!$H32)*kgtoGg=0,"NO",('Activity data'!AR19*EF!$H32)*kgtoGg)</f>
        <v>0.64927295182444422</v>
      </c>
      <c r="AS32" s="29">
        <f>IF(('Activity data'!AS19*EF!$H32)*kgtoGg=0,"NO",('Activity data'!AS19*EF!$H32)*kgtoGg)</f>
        <v>0.65708973243182844</v>
      </c>
      <c r="AT32" s="29">
        <f>IF(('Activity data'!AT19*EF!$H32)*kgtoGg=0,"NO",('Activity data'!AT19*EF!$H32)*kgtoGg)</f>
        <v>0.66502319390953446</v>
      </c>
      <c r="AU32" s="29">
        <f>IF(('Activity data'!AU19*EF!$H32)*kgtoGg=0,"NO",('Activity data'!AU19*EF!$H32)*kgtoGg)</f>
        <v>0.67304329509025973</v>
      </c>
      <c r="AV32" s="29">
        <f>IF(('Activity data'!AV19*EF!$H32)*kgtoGg=0,"NO",('Activity data'!AV19*EF!$H32)*kgtoGg)</f>
        <v>0.68115794380159311</v>
      </c>
      <c r="AW32" s="29">
        <f>IF(('Activity data'!AW19*EF!$H32)*kgtoGg=0,"NO",('Activity data'!AW19*EF!$H32)*kgtoGg)</f>
        <v>0.68964647460892203</v>
      </c>
      <c r="AX32" s="29">
        <f>IF(('Activity data'!AX19*EF!$H32)*kgtoGg=0,"NO",('Activity data'!AX19*EF!$H32)*kgtoGg)</f>
        <v>0.69797956719229726</v>
      </c>
      <c r="AY32" s="29">
        <f>IF(('Activity data'!AY19*EF!$H32)*kgtoGg=0,"NO",('Activity data'!AY19*EF!$H32)*kgtoGg)</f>
        <v>0.70666325012027209</v>
      </c>
      <c r="AZ32" s="29">
        <f>IF(('Activity data'!AZ19*EF!$H32)*kgtoGg=0,"NO",('Activity data'!AZ19*EF!$H32)*kgtoGg)</f>
        <v>0.7155920261267138</v>
      </c>
      <c r="BA32" s="29">
        <f>IF(('Activity data'!BA19*EF!$H32)*kgtoGg=0,"NO",('Activity data'!BA19*EF!$H32)*kgtoGg)</f>
        <v>0.72477916079062787</v>
      </c>
      <c r="BB32" s="29">
        <f>IF(('Activity data'!BB19*EF!$H32)*kgtoGg=0,"NO",('Activity data'!BB19*EF!$H32)*kgtoGg)</f>
        <v>0.73428789541682704</v>
      </c>
      <c r="BC32" s="29">
        <f>IF(('Activity data'!BC19*EF!$H32)*kgtoGg=0,"NO",('Activity data'!BC19*EF!$H32)*kgtoGg)</f>
        <v>0.74397433677681768</v>
      </c>
      <c r="BD32" s="29">
        <f>IF(('Activity data'!BD19*EF!$H32)*kgtoGg=0,"NO",('Activity data'!BD19*EF!$H32)*kgtoGg)</f>
        <v>0.75372679537491294</v>
      </c>
      <c r="BE32" s="29">
        <f>IF(('Activity data'!BE19*EF!$H32)*kgtoGg=0,"NO",('Activity data'!BE19*EF!$H32)*kgtoGg)</f>
        <v>0.76365863671621081</v>
      </c>
      <c r="BF32" s="29">
        <f>IF(('Activity data'!BF19*EF!$H32)*kgtoGg=0,"NO",('Activity data'!BF19*EF!$H32)*kgtoGg)</f>
        <v>0.77387024096420787</v>
      </c>
      <c r="BG32" s="29">
        <f>IF(('Activity data'!BG19*EF!$H32)*kgtoGg=0,"NO",('Activity data'!BG19*EF!$H32)*kgtoGg)</f>
        <v>0.78504101718547503</v>
      </c>
      <c r="BH32" s="29">
        <f>IF(('Activity data'!BH19*EF!$H32)*kgtoGg=0,"NO",('Activity data'!BH19*EF!$H32)*kgtoGg)</f>
        <v>0.79642655830038467</v>
      </c>
      <c r="BI32" s="29">
        <f>IF(('Activity data'!BI19*EF!$H32)*kgtoGg=0,"NO",('Activity data'!BI19*EF!$H32)*kgtoGg)</f>
        <v>0.80801462170906302</v>
      </c>
      <c r="BJ32" s="29">
        <f>IF(('Activity data'!BJ19*EF!$H32)*kgtoGg=0,"NO",('Activity data'!BJ19*EF!$H32)*kgtoGg)</f>
        <v>0.81983542663661246</v>
      </c>
      <c r="BK32" s="29">
        <f>IF(('Activity data'!BK19*EF!$H32)*kgtoGg=0,"NO",('Activity data'!BK19*EF!$H32)*kgtoGg)</f>
        <v>0.83200878475368167</v>
      </c>
      <c r="BL32" s="29">
        <f>IF(('Activity data'!BL19*EF!$H32)*kgtoGg=0,"NO",('Activity data'!BL19*EF!$H32)*kgtoGg)</f>
        <v>0.84426502677663273</v>
      </c>
      <c r="BM32" s="29">
        <f>IF(('Activity data'!BM19*EF!$H32)*kgtoGg=0,"NO",('Activity data'!BM19*EF!$H32)*kgtoGg)</f>
        <v>0.85682525004684618</v>
      </c>
      <c r="BN32" s="29">
        <f>IF(('Activity data'!BN19*EF!$H32)*kgtoGg=0,"NO",('Activity data'!BN19*EF!$H32)*kgtoGg)</f>
        <v>0.86946170130304579</v>
      </c>
      <c r="BO32" s="29">
        <f>IF(('Activity data'!BO19*EF!$H32)*kgtoGg=0,"NO",('Activity data'!BO19*EF!$H32)*kgtoGg)</f>
        <v>0.88242968409856104</v>
      </c>
      <c r="BP32" s="29">
        <f>IF(('Activity data'!BP19*EF!$H32)*kgtoGg=0,"NO",('Activity data'!BP19*EF!$H32)*kgtoGg)</f>
        <v>0.89575686437427682</v>
      </c>
    </row>
    <row r="33" spans="1:68" x14ac:dyDescent="0.25">
      <c r="A33" t="str">
        <f t="shared" si="1"/>
        <v>3A Livestock</v>
      </c>
      <c r="B33" t="str">
        <f t="shared" si="8"/>
        <v>3A2 Manure management (CH4)</v>
      </c>
      <c r="C33" t="str">
        <f>EF!C33</f>
        <v>3A2i Poultry</v>
      </c>
      <c r="D33" t="str">
        <f>EF!D33</f>
        <v>Commercial broilers</v>
      </c>
      <c r="E33" t="str">
        <f t="shared" si="9"/>
        <v>Manure management Emissions</v>
      </c>
      <c r="F33" t="str">
        <f t="shared" si="6"/>
        <v>CH4</v>
      </c>
      <c r="G33" t="str">
        <f t="shared" si="7"/>
        <v>Gg CH4</v>
      </c>
      <c r="H33" s="29">
        <f>IF(('Activity data'!H20*EF!$H33)*kgtoGg=0,"NO",('Activity data'!H20*EF!$H33)*kgtoGg)</f>
        <v>0.94715547095572861</v>
      </c>
      <c r="I33" s="29">
        <f>IF(('Activity data'!I20*EF!$H33)*kgtoGg=0,"NO",('Activity data'!I20*EF!$H33)*kgtoGg)</f>
        <v>0.89032614384752706</v>
      </c>
      <c r="J33" s="29">
        <f>IF(('Activity data'!J20*EF!$H33)*kgtoGg=0,"NO",('Activity data'!J20*EF!$H33)*kgtoGg)</f>
        <v>0.84142189535323741</v>
      </c>
      <c r="K33" s="29">
        <f>IF(('Activity data'!K20*EF!$H33)*kgtoGg=0,"NO",('Activity data'!K20*EF!$H33)*kgtoGg)</f>
        <v>0.94630052317004854</v>
      </c>
      <c r="L33" s="29">
        <f>IF(('Activity data'!L20*EF!$H33)*kgtoGg=0,"NO",('Activity data'!L20*EF!$H33)*kgtoGg)</f>
        <v>0.93742541753662223</v>
      </c>
      <c r="M33" s="29">
        <f>IF(('Activity data'!M20*EF!$H33)*kgtoGg=0,"NO",('Activity data'!M20*EF!$H33)*kgtoGg)</f>
        <v>1.0730204292114462</v>
      </c>
      <c r="N33" s="29">
        <f>IF(('Activity data'!N20*EF!$H33)*kgtoGg=0,"NO",('Activity data'!N20*EF!$H33)*kgtoGg)</f>
        <v>1.247646180709717</v>
      </c>
      <c r="O33" s="29">
        <f>IF(('Activity data'!O20*EF!$H33)*kgtoGg=0,"NO",('Activity data'!O20*EF!$H33)*kgtoGg)</f>
        <v>1.2699611966563922</v>
      </c>
      <c r="P33" s="29">
        <f>IF(('Activity data'!P20*EF!$H33)*kgtoGg=0,"NO",('Activity data'!P20*EF!$H33)*kgtoGg)</f>
        <v>1.3915382753930494</v>
      </c>
      <c r="Q33" s="29">
        <f>IF(('Activity data'!Q20*EF!$H33)*kgtoGg=0,"NO",('Activity data'!Q20*EF!$H33)*kgtoGg)</f>
        <v>1.452750350288103</v>
      </c>
      <c r="R33" s="29">
        <f>IF(('Activity data'!R20*EF!$H33)*kgtoGg=0,"NO",('Activity data'!R20*EF!$H33)*kgtoGg)</f>
        <v>1.5630523253351984</v>
      </c>
      <c r="S33" s="29">
        <f>IF(('Activity data'!S20*EF!$H33)*kgtoGg=0,"NO",('Activity data'!S20*EF!$H33)*kgtoGg)</f>
        <v>1.5092912592701446</v>
      </c>
      <c r="T33" s="29">
        <f>IF(('Activity data'!T20*EF!$H33)*kgtoGg=0,"NO",('Activity data'!T20*EF!$H33)*kgtoGg)</f>
        <v>1.6727842751343183</v>
      </c>
      <c r="U33" s="29">
        <f>IF(('Activity data'!U20*EF!$H33)*kgtoGg=0,"NO",('Activity data'!U20*EF!$H33)*kgtoGg)</f>
        <v>1.5910703727417843</v>
      </c>
      <c r="V33" s="29">
        <f>IF(('Activity data'!V20*EF!$H33)*kgtoGg=0,"NO",('Activity data'!V20*EF!$H33)*kgtoGg)</f>
        <v>1.6294801995139723</v>
      </c>
      <c r="W33" s="29">
        <f>IF(('Activity data'!W20*EF!$H33)*kgtoGg=0,"NO",('Activity data'!W20*EF!$H33)*kgtoGg)</f>
        <v>1.8029786139907802</v>
      </c>
      <c r="X33" s="29">
        <f>IF(('Activity data'!X20*EF!$H33)*kgtoGg=0,"NO",('Activity data'!X20*EF!$H33)*kgtoGg)</f>
        <v>1.9284541402191151</v>
      </c>
      <c r="Y33" s="29">
        <f>IF(('Activity data'!Y20*EF!$H33)*kgtoGg=0,"NO",('Activity data'!Y20*EF!$H33)*kgtoGg)</f>
        <v>2.0176916356111869</v>
      </c>
      <c r="Z33" s="29">
        <f>IF(('Activity data'!Z20*EF!$H33)*kgtoGg=0,"NO",('Activity data'!Z20*EF!$H33)*kgtoGg)</f>
        <v>2.1482937300650229</v>
      </c>
      <c r="AA33" s="29">
        <f>IF(('Activity data'!AA20*EF!$H33)*kgtoGg=0,"NO",('Activity data'!AA20*EF!$H33)*kgtoGg)</f>
        <v>2.0271503211350299</v>
      </c>
      <c r="AB33" s="29">
        <f>IF(('Activity data'!AB20*EF!$H33)*kgtoGg=0,"NO",('Activity data'!AB20*EF!$H33)*kgtoGg)</f>
        <v>2.078134768114972</v>
      </c>
      <c r="AC33" s="29">
        <f>IF(('Activity data'!AC20*EF!$H33)*kgtoGg=0,"NO",('Activity data'!AC20*EF!$H33)*kgtoGg)</f>
        <v>2.1493361757027292</v>
      </c>
      <c r="AD33" s="29">
        <f>IF(('Activity data'!AD20*EF!$H33)*kgtoGg=0,"NO",('Activity data'!AD20*EF!$H33)*kgtoGg)</f>
        <v>2.1972180913321808</v>
      </c>
      <c r="AE33" s="29">
        <f>IF(('Activity data'!AE20*EF!$H33)*kgtoGg=0,"NO",('Activity data'!AE20*EF!$H33)*kgtoGg)</f>
        <v>2.1397075552268352</v>
      </c>
      <c r="AF33" s="29">
        <f>IF(('Activity data'!AF20*EF!$H33)*kgtoGg=0,"NO",('Activity data'!AF20*EF!$H33)*kgtoGg)</f>
        <v>2.237023981234691</v>
      </c>
      <c r="AG33" s="29">
        <f>IF(('Activity data'!AG20*EF!$H33)*kgtoGg=0,"NO",('Activity data'!AG20*EF!$H33)*kgtoGg)</f>
        <v>2.3272791048931412</v>
      </c>
      <c r="AH33" s="29">
        <f>IF(('Activity data'!AH20*EF!$H33)*kgtoGg=0,"NO",('Activity data'!AH20*EF!$H33)*kgtoGg)</f>
        <v>2.1642062740000001</v>
      </c>
      <c r="AI33" s="29">
        <f>IF(('Activity data'!AI20*EF!$H33)*kgtoGg=0,"NO",('Activity data'!AI20*EF!$H33)*kgtoGg)</f>
        <v>2.1614369634999999</v>
      </c>
      <c r="AJ33" s="29">
        <f>IF(('Activity data'!AJ20*EF!$H33)*kgtoGg=0,"NO",('Activity data'!AJ20*EF!$H33)*kgtoGg)</f>
        <v>2.3978887495239376</v>
      </c>
      <c r="AK33" s="29">
        <f>IF(('Activity data'!AK20*EF!$H33)*kgtoGg=0,"NO",('Activity data'!AK20*EF!$H33)*kgtoGg)</f>
        <v>2.4410996958498128</v>
      </c>
      <c r="AL33" s="29">
        <f>IF(('Activity data'!AL20*EF!$H33)*kgtoGg=0,"NO",('Activity data'!AL20*EF!$H33)*kgtoGg)</f>
        <v>2.4843106421756875</v>
      </c>
      <c r="AM33" s="29">
        <f>IF(('Activity data'!AM20*EF!$H33)*kgtoGg=0,"NO",('Activity data'!AM20*EF!$H33)*kgtoGg)</f>
        <v>2.5281095987988689</v>
      </c>
      <c r="AN33" s="29">
        <f>IF(('Activity data'!AN20*EF!$H33)*kgtoGg=0,"NO",('Activity data'!AN20*EF!$H33)*kgtoGg)</f>
        <v>2.571908554613592</v>
      </c>
      <c r="AO33" s="29">
        <f>IF(('Activity data'!AO20*EF!$H33)*kgtoGg=0,"NO",('Activity data'!AO20*EF!$H33)*kgtoGg)</f>
        <v>2.6157075104283134</v>
      </c>
      <c r="AP33" s="29">
        <f>IF(('Activity data'!AP20*EF!$H33)*kgtoGg=0,"NO",('Activity data'!AP20*EF!$H33)*kgtoGg)</f>
        <v>2.6595064662430352</v>
      </c>
      <c r="AQ33" s="29">
        <f>IF(('Activity data'!AQ20*EF!$H33)*kgtoGg=0,"NO",('Activity data'!AQ20*EF!$H33)*kgtoGg)</f>
        <v>2.7033054228662157</v>
      </c>
      <c r="AR33" s="29">
        <f>IF(('Activity data'!AR20*EF!$H33)*kgtoGg=0,"NO",('Activity data'!AR20*EF!$H33)*kgtoGg)</f>
        <v>2.7507568930856872</v>
      </c>
      <c r="AS33" s="29">
        <f>IF(('Activity data'!AS20*EF!$H33)*kgtoGg=0,"NO",('Activity data'!AS20*EF!$H33)*kgtoGg)</f>
        <v>2.7982083633051573</v>
      </c>
      <c r="AT33" s="29">
        <f>IF(('Activity data'!AT20*EF!$H33)*kgtoGg=0,"NO",('Activity data'!AT20*EF!$H33)*kgtoGg)</f>
        <v>2.8456598335246275</v>
      </c>
      <c r="AU33" s="29">
        <f>IF(('Activity data'!AU20*EF!$H33)*kgtoGg=0,"NO",('Activity data'!AU20*EF!$H33)*kgtoGg)</f>
        <v>2.8931113037440981</v>
      </c>
      <c r="AV33" s="29">
        <f>IF(('Activity data'!AV20*EF!$H33)*kgtoGg=0,"NO",('Activity data'!AV20*EF!$H33)*kgtoGg)</f>
        <v>2.9405627739635696</v>
      </c>
      <c r="AW33" s="29">
        <f>IF(('Activity data'!AW20*EF!$H33)*kgtoGg=0,"NO",('Activity data'!AW20*EF!$H33)*kgtoGg)</f>
        <v>2.9864032603120441</v>
      </c>
      <c r="AX33" s="29">
        <f>IF(('Activity data'!AX20*EF!$H33)*kgtoGg=0,"NO",('Activity data'!AX20*EF!$H33)*kgtoGg)</f>
        <v>3.0322437458520595</v>
      </c>
      <c r="AY33" s="29">
        <f>IF(('Activity data'!AY20*EF!$H33)*kgtoGg=0,"NO",('Activity data'!AY20*EF!$H33)*kgtoGg)</f>
        <v>3.0780842322005357</v>
      </c>
      <c r="AZ33" s="29">
        <f>IF(('Activity data'!AZ20*EF!$H33)*kgtoGg=0,"NO",('Activity data'!AZ20*EF!$H33)*kgtoGg)</f>
        <v>3.1239247177405529</v>
      </c>
      <c r="BA33" s="29">
        <f>IF(('Activity data'!BA20*EF!$H33)*kgtoGg=0,"NO",('Activity data'!BA20*EF!$H33)*kgtoGg)</f>
        <v>3.1697652032805679</v>
      </c>
      <c r="BB33" s="29">
        <f>IF(('Activity data'!BB20*EF!$H33)*kgtoGg=0,"NO",('Activity data'!BB20*EF!$H33)*kgtoGg)</f>
        <v>3.2174078935477759</v>
      </c>
      <c r="BC33" s="29">
        <f>IF(('Activity data'!BC20*EF!$H33)*kgtoGg=0,"NO",('Activity data'!BC20*EF!$H33)*kgtoGg)</f>
        <v>3.2650505838149821</v>
      </c>
      <c r="BD33" s="29">
        <f>IF(('Activity data'!BD20*EF!$H33)*kgtoGg=0,"NO",('Activity data'!BD20*EF!$H33)*kgtoGg)</f>
        <v>3.3126932732737311</v>
      </c>
      <c r="BE33" s="29">
        <f>IF(('Activity data'!BE20*EF!$H33)*kgtoGg=0,"NO",('Activity data'!BE20*EF!$H33)*kgtoGg)</f>
        <v>3.3603359635409373</v>
      </c>
      <c r="BF33" s="29">
        <f>IF(('Activity data'!BF20*EF!$H33)*kgtoGg=0,"NO",('Activity data'!BF20*EF!$H33)*kgtoGg)</f>
        <v>3.407978653808144</v>
      </c>
      <c r="BG33" s="29">
        <f>IF(('Activity data'!BG20*EF!$H33)*kgtoGg=0,"NO",('Activity data'!BG20*EF!$H33)*kgtoGg)</f>
        <v>3.4623641354642984</v>
      </c>
      <c r="BH33" s="29">
        <f>IF(('Activity data'!BH20*EF!$H33)*kgtoGg=0,"NO",('Activity data'!BH20*EF!$H33)*kgtoGg)</f>
        <v>3.5167496163119925</v>
      </c>
      <c r="BI33" s="29">
        <f>IF(('Activity data'!BI20*EF!$H33)*kgtoGg=0,"NO",('Activity data'!BI20*EF!$H33)*kgtoGg)</f>
        <v>3.5711350979681464</v>
      </c>
      <c r="BJ33" s="29">
        <f>IF(('Activity data'!BJ20*EF!$H33)*kgtoGg=0,"NO",('Activity data'!BJ20*EF!$H33)*kgtoGg)</f>
        <v>3.6255205796243004</v>
      </c>
      <c r="BK33" s="29">
        <f>IF(('Activity data'!BK20*EF!$H33)*kgtoGg=0,"NO",('Activity data'!BK20*EF!$H33)*kgtoGg)</f>
        <v>3.6799060612804535</v>
      </c>
      <c r="BL33" s="29">
        <f>IF(('Activity data'!BL20*EF!$H33)*kgtoGg=0,"NO",('Activity data'!BL20*EF!$H33)*kgtoGg)</f>
        <v>3.7323720533894198</v>
      </c>
      <c r="BM33" s="29">
        <f>IF(('Activity data'!BM20*EF!$H33)*kgtoGg=0,"NO",('Activity data'!BM20*EF!$H33)*kgtoGg)</f>
        <v>3.784838045498383</v>
      </c>
      <c r="BN33" s="29">
        <f>IF(('Activity data'!BN20*EF!$H33)*kgtoGg=0,"NO",('Activity data'!BN20*EF!$H33)*kgtoGg)</f>
        <v>3.837304038415807</v>
      </c>
      <c r="BO33" s="29">
        <f>IF(('Activity data'!BO20*EF!$H33)*kgtoGg=0,"NO",('Activity data'!BO20*EF!$H33)*kgtoGg)</f>
        <v>3.8897700305247711</v>
      </c>
      <c r="BP33" s="29">
        <f>IF(('Activity data'!BP20*EF!$H33)*kgtoGg=0,"NO",('Activity data'!BP20*EF!$H33)*kgtoGg)</f>
        <v>3.9422360226337356</v>
      </c>
    </row>
    <row r="34" spans="1:68" x14ac:dyDescent="0.25">
      <c r="A34" t="str">
        <f t="shared" si="1"/>
        <v>3A Livestock</v>
      </c>
      <c r="B34" t="str">
        <f t="shared" si="8"/>
        <v>3A2 Manure management (CH4)</v>
      </c>
      <c r="C34" t="str">
        <f>EF!C34</f>
        <v>3A2i Poultry</v>
      </c>
      <c r="D34" t="str">
        <f>EF!D34</f>
        <v>Subsistence layers</v>
      </c>
      <c r="E34" t="str">
        <f t="shared" si="9"/>
        <v>Manure management Emissions</v>
      </c>
      <c r="F34" t="str">
        <f t="shared" si="6"/>
        <v>CH4</v>
      </c>
      <c r="G34" t="str">
        <f t="shared" si="7"/>
        <v>Gg CH4</v>
      </c>
      <c r="H34" s="29">
        <f>IF(('Activity data'!H21*EF!$H34)*kgtoGg=0,"NO",('Activity data'!H21*EF!$H34)*kgtoGg)</f>
        <v>1.4453307157161402E-2</v>
      </c>
      <c r="I34" s="29">
        <f>IF(('Activity data'!I21*EF!$H34)*kgtoGg=0,"NO",('Activity data'!I21*EF!$H34)*kgtoGg)</f>
        <v>1.4041171371767878E-2</v>
      </c>
      <c r="J34" s="29">
        <f>IF(('Activity data'!J21*EF!$H34)*kgtoGg=0,"NO",('Activity data'!J21*EF!$H34)*kgtoGg)</f>
        <v>1.3317074332271103E-2</v>
      </c>
      <c r="K34" s="29">
        <f>IF(('Activity data'!K21*EF!$H34)*kgtoGg=0,"NO",('Activity data'!K21*EF!$H34)*kgtoGg)</f>
        <v>1.3107686778593537E-2</v>
      </c>
      <c r="L34" s="29">
        <f>IF(('Activity data'!L21*EF!$H34)*kgtoGg=0,"NO",('Activity data'!L21*EF!$H34)*kgtoGg)</f>
        <v>1.2537549597918361E-2</v>
      </c>
      <c r="M34" s="29">
        <f>IF(('Activity data'!M21*EF!$H34)*kgtoGg=0,"NO",('Activity data'!M21*EF!$H34)*kgtoGg)</f>
        <v>1.368002708163215E-2</v>
      </c>
      <c r="N34" s="29">
        <f>IF(('Activity data'!N21*EF!$H34)*kgtoGg=0,"NO",('Activity data'!N21*EF!$H34)*kgtoGg)</f>
        <v>1.445028361248642E-2</v>
      </c>
      <c r="O34" s="29">
        <f>IF(('Activity data'!O21*EF!$H34)*kgtoGg=0,"NO",('Activity data'!O21*EF!$H34)*kgtoGg)</f>
        <v>1.4497801479217198E-2</v>
      </c>
      <c r="P34" s="29">
        <f>IF(('Activity data'!P21*EF!$H34)*kgtoGg=0,"NO",('Activity data'!P21*EF!$H34)*kgtoGg)</f>
        <v>1.6323301120314916E-2</v>
      </c>
      <c r="Q34" s="29">
        <f>IF(('Activity data'!Q21*EF!$H34)*kgtoGg=0,"NO",('Activity data'!Q21*EF!$H34)*kgtoGg)</f>
        <v>1.750021682969179E-2</v>
      </c>
      <c r="R34" s="29">
        <f>IF(('Activity data'!R21*EF!$H34)*kgtoGg=0,"NO",('Activity data'!R21*EF!$H34)*kgtoGg)</f>
        <v>1.7129415315170586E-2</v>
      </c>
      <c r="S34" s="29">
        <f>IF(('Activity data'!S21*EF!$H34)*kgtoGg=0,"NO",('Activity data'!S21*EF!$H34)*kgtoGg)</f>
        <v>1.7586367011563315E-2</v>
      </c>
      <c r="T34" s="29">
        <f>IF(('Activity data'!T21*EF!$H34)*kgtoGg=0,"NO",('Activity data'!T21*EF!$H34)*kgtoGg)</f>
        <v>1.7448339269536806E-2</v>
      </c>
      <c r="U34" s="29">
        <f>IF(('Activity data'!U21*EF!$H34)*kgtoGg=0,"NO",('Activity data'!U21*EF!$H34)*kgtoGg)</f>
        <v>1.6751757915898054E-2</v>
      </c>
      <c r="V34" s="29">
        <f>IF(('Activity data'!V21*EF!$H34)*kgtoGg=0,"NO",('Activity data'!V21*EF!$H34)*kgtoGg)</f>
        <v>1.7359194023971385E-2</v>
      </c>
      <c r="W34" s="29">
        <f>IF(('Activity data'!W21*EF!$H34)*kgtoGg=0,"NO",('Activity data'!W21*EF!$H34)*kgtoGg)</f>
        <v>1.8405962529850804E-2</v>
      </c>
      <c r="X34" s="29">
        <f>IF(('Activity data'!X21*EF!$H34)*kgtoGg=0,"NO",('Activity data'!X21*EF!$H34)*kgtoGg)</f>
        <v>2.0313142812308307E-2</v>
      </c>
      <c r="Y34" s="29">
        <f>IF(('Activity data'!Y21*EF!$H34)*kgtoGg=0,"NO",('Activity data'!Y21*EF!$H34)*kgtoGg)</f>
        <v>2.2479992595697124E-2</v>
      </c>
      <c r="Z34" s="29">
        <f>IF(('Activity data'!Z21*EF!$H34)*kgtoGg=0,"NO",('Activity data'!Z21*EF!$H34)*kgtoGg)</f>
        <v>2.277605134510725E-2</v>
      </c>
      <c r="AA34" s="29">
        <f>IF(('Activity data'!AA21*EF!$H34)*kgtoGg=0,"NO",('Activity data'!AA21*EF!$H34)*kgtoGg)</f>
        <v>2.1936379637045315E-2</v>
      </c>
      <c r="AB34" s="29">
        <f>IF(('Activity data'!AB21*EF!$H34)*kgtoGg=0,"NO",('Activity data'!AB21*EF!$H34)*kgtoGg)</f>
        <v>2.2790877419827285E-2</v>
      </c>
      <c r="AC34" s="29">
        <f>IF(('Activity data'!AC21*EF!$H34)*kgtoGg=0,"NO",('Activity data'!AC21*EF!$H34)*kgtoGg)</f>
        <v>2.3842843212116133E-2</v>
      </c>
      <c r="AD34" s="29">
        <f>IF(('Activity data'!AD21*EF!$H34)*kgtoGg=0,"NO",('Activity data'!AD21*EF!$H34)*kgtoGg)</f>
        <v>2.4711391087887388E-2</v>
      </c>
      <c r="AE34" s="29">
        <f>IF(('Activity data'!AE21*EF!$H34)*kgtoGg=0,"NO",('Activity data'!AE21*EF!$H34)*kgtoGg)</f>
        <v>2.4230432120160336E-2</v>
      </c>
      <c r="AF34" s="29">
        <f>IF(('Activity data'!AF21*EF!$H34)*kgtoGg=0,"NO",('Activity data'!AF21*EF!$H34)*kgtoGg)</f>
        <v>2.4024073343419883E-2</v>
      </c>
      <c r="AG34" s="29">
        <f>IF(('Activity data'!AG21*EF!$H34)*kgtoGg=0,"NO",('Activity data'!AG21*EF!$H34)*kgtoGg)</f>
        <v>2.4528095631234311E-2</v>
      </c>
      <c r="AH34" s="29">
        <f>IF(('Activity data'!AH21*EF!$H34)*kgtoGg=0,"NO",('Activity data'!AH21*EF!$H34)*kgtoGg)</f>
        <v>2.4477600000000002E-2</v>
      </c>
      <c r="AI34" s="29">
        <f>IF(('Activity data'!AI21*EF!$H34)*kgtoGg=0,"NO",('Activity data'!AI21*EF!$H34)*kgtoGg)</f>
        <v>2.2858920000000001E-2</v>
      </c>
      <c r="AJ34" s="29">
        <f>IF(('Activity data'!AJ21*EF!$H34)*kgtoGg=0,"NO",('Activity data'!AJ21*EF!$H34)*kgtoGg)</f>
        <v>2.4132587599165877E-2</v>
      </c>
      <c r="AK34" s="29">
        <f>IF(('Activity data'!AK21*EF!$H34)*kgtoGg=0,"NO",('Activity data'!AK21*EF!$H34)*kgtoGg)</f>
        <v>2.4362869075482789E-2</v>
      </c>
      <c r="AL34" s="29">
        <f>IF(('Activity data'!AL21*EF!$H34)*kgtoGg=0,"NO",('Activity data'!AL21*EF!$H34)*kgtoGg)</f>
        <v>2.4253445718147925E-2</v>
      </c>
      <c r="AM34" s="29">
        <f>IF(('Activity data'!AM21*EF!$H34)*kgtoGg=0,"NO",('Activity data'!AM21*EF!$H34)*kgtoGg)</f>
        <v>2.4537020036048279E-2</v>
      </c>
      <c r="AN34" s="29">
        <f>IF(('Activity data'!AN21*EF!$H34)*kgtoGg=0,"NO",('Activity data'!AN21*EF!$H34)*kgtoGg)</f>
        <v>2.4817141166623039E-2</v>
      </c>
      <c r="AO34" s="29">
        <f>IF(('Activity data'!AO21*EF!$H34)*kgtoGg=0,"NO",('Activity data'!AO21*EF!$H34)*kgtoGg)</f>
        <v>2.5098037442450306E-2</v>
      </c>
      <c r="AP34" s="29">
        <f>IF(('Activity data'!AP21*EF!$H34)*kgtoGg=0,"NO",('Activity data'!AP21*EF!$H34)*kgtoGg)</f>
        <v>2.5375961008522165E-2</v>
      </c>
      <c r="AQ34" s="29">
        <f>IF(('Activity data'!AQ21*EF!$H34)*kgtoGg=0,"NO",('Activity data'!AQ21*EF!$H34)*kgtoGg)</f>
        <v>2.5657332615398529E-2</v>
      </c>
      <c r="AR34" s="29">
        <f>IF(('Activity data'!AR21*EF!$H34)*kgtoGg=0,"NO",('Activity data'!AR21*EF!$H34)*kgtoGg)</f>
        <v>2.5970918072977769E-2</v>
      </c>
      <c r="AS34" s="29">
        <f>IF(('Activity data'!AS21*EF!$H34)*kgtoGg=0,"NO",('Activity data'!AS21*EF!$H34)*kgtoGg)</f>
        <v>2.6283589297273136E-2</v>
      </c>
      <c r="AT34" s="29">
        <f>IF(('Activity data'!AT21*EF!$H34)*kgtoGg=0,"NO",('Activity data'!AT21*EF!$H34)*kgtoGg)</f>
        <v>2.6600927756381381E-2</v>
      </c>
      <c r="AU34" s="29">
        <f>IF(('Activity data'!AU21*EF!$H34)*kgtoGg=0,"NO",('Activity data'!AU21*EF!$H34)*kgtoGg)</f>
        <v>2.6921731803610387E-2</v>
      </c>
      <c r="AV34" s="29">
        <f>IF(('Activity data'!AV21*EF!$H34)*kgtoGg=0,"NO",('Activity data'!AV21*EF!$H34)*kgtoGg)</f>
        <v>2.7246317752063726E-2</v>
      </c>
      <c r="AW34" s="29">
        <f>IF(('Activity data'!AW21*EF!$H34)*kgtoGg=0,"NO",('Activity data'!AW21*EF!$H34)*kgtoGg)</f>
        <v>2.7585858984356882E-2</v>
      </c>
      <c r="AX34" s="29">
        <f>IF(('Activity data'!AX21*EF!$H34)*kgtoGg=0,"NO",('Activity data'!AX21*EF!$H34)*kgtoGg)</f>
        <v>2.791918268769189E-2</v>
      </c>
      <c r="AY34" s="29">
        <f>IF(('Activity data'!AY21*EF!$H34)*kgtoGg=0,"NO",('Activity data'!AY21*EF!$H34)*kgtoGg)</f>
        <v>2.8266530004810882E-2</v>
      </c>
      <c r="AZ34" s="29">
        <f>IF(('Activity data'!AZ21*EF!$H34)*kgtoGg=0,"NO",('Activity data'!AZ21*EF!$H34)*kgtoGg)</f>
        <v>2.8623681045068555E-2</v>
      </c>
      <c r="BA34" s="29">
        <f>IF(('Activity data'!BA21*EF!$H34)*kgtoGg=0,"NO",('Activity data'!BA21*EF!$H34)*kgtoGg)</f>
        <v>2.8991166431625116E-2</v>
      </c>
      <c r="BB34" s="29">
        <f>IF(('Activity data'!BB21*EF!$H34)*kgtoGg=0,"NO",('Activity data'!BB21*EF!$H34)*kgtoGg)</f>
        <v>2.9371515816673081E-2</v>
      </c>
      <c r="BC34" s="29">
        <f>IF(('Activity data'!BC21*EF!$H34)*kgtoGg=0,"NO",('Activity data'!BC21*EF!$H34)*kgtoGg)</f>
        <v>2.975897347107271E-2</v>
      </c>
      <c r="BD34" s="29">
        <f>IF(('Activity data'!BD21*EF!$H34)*kgtoGg=0,"NO",('Activity data'!BD21*EF!$H34)*kgtoGg)</f>
        <v>3.0149071814996525E-2</v>
      </c>
      <c r="BE34" s="29">
        <f>IF(('Activity data'!BE21*EF!$H34)*kgtoGg=0,"NO",('Activity data'!BE21*EF!$H34)*kgtoGg)</f>
        <v>3.0546345468648432E-2</v>
      </c>
      <c r="BF34" s="29">
        <f>IF(('Activity data'!BF21*EF!$H34)*kgtoGg=0,"NO",('Activity data'!BF21*EF!$H34)*kgtoGg)</f>
        <v>3.0954809638568313E-2</v>
      </c>
      <c r="BG34" s="29">
        <f>IF(('Activity data'!BG21*EF!$H34)*kgtoGg=0,"NO",('Activity data'!BG21*EF!$H34)*kgtoGg)</f>
        <v>3.1401640687419005E-2</v>
      </c>
      <c r="BH34" s="29">
        <f>IF(('Activity data'!BH21*EF!$H34)*kgtoGg=0,"NO",('Activity data'!BH21*EF!$H34)*kgtoGg)</f>
        <v>3.1857062332015386E-2</v>
      </c>
      <c r="BI34" s="29">
        <f>IF(('Activity data'!BI21*EF!$H34)*kgtoGg=0,"NO",('Activity data'!BI21*EF!$H34)*kgtoGg)</f>
        <v>3.2320584868362527E-2</v>
      </c>
      <c r="BJ34" s="29">
        <f>IF(('Activity data'!BJ21*EF!$H34)*kgtoGg=0,"NO",('Activity data'!BJ21*EF!$H34)*kgtoGg)</f>
        <v>3.27934170654645E-2</v>
      </c>
      <c r="BK34" s="29">
        <f>IF(('Activity data'!BK21*EF!$H34)*kgtoGg=0,"NO",('Activity data'!BK21*EF!$H34)*kgtoGg)</f>
        <v>3.3280351390147268E-2</v>
      </c>
      <c r="BL34" s="29">
        <f>IF(('Activity data'!BL21*EF!$H34)*kgtoGg=0,"NO",('Activity data'!BL21*EF!$H34)*kgtoGg)</f>
        <v>3.3770601071065311E-2</v>
      </c>
      <c r="BM34" s="29">
        <f>IF(('Activity data'!BM21*EF!$H34)*kgtoGg=0,"NO",('Activity data'!BM21*EF!$H34)*kgtoGg)</f>
        <v>3.4273010001873841E-2</v>
      </c>
      <c r="BN34" s="29">
        <f>IF(('Activity data'!BN21*EF!$H34)*kgtoGg=0,"NO",('Activity data'!BN21*EF!$H34)*kgtoGg)</f>
        <v>3.4778468052121841E-2</v>
      </c>
      <c r="BO34" s="29">
        <f>IF(('Activity data'!BO21*EF!$H34)*kgtoGg=0,"NO",('Activity data'!BO21*EF!$H34)*kgtoGg)</f>
        <v>3.5297187363942446E-2</v>
      </c>
      <c r="BP34" s="29">
        <f>IF(('Activity data'!BP21*EF!$H34)*kgtoGg=0,"NO",('Activity data'!BP21*EF!$H34)*kgtoGg)</f>
        <v>3.5830274574971073E-2</v>
      </c>
    </row>
    <row r="35" spans="1:68" x14ac:dyDescent="0.25">
      <c r="A35" t="str">
        <f t="shared" si="1"/>
        <v>3A Livestock</v>
      </c>
      <c r="B35" t="str">
        <f t="shared" si="8"/>
        <v>3A2 Manure management (CH4)</v>
      </c>
      <c r="C35" t="str">
        <f>EF!C35</f>
        <v>3A2i Poultry</v>
      </c>
      <c r="D35" t="str">
        <f>EF!D35</f>
        <v>Subsistence broilers</v>
      </c>
      <c r="E35" t="str">
        <f t="shared" si="9"/>
        <v>Manure management Emissions</v>
      </c>
      <c r="F35" t="str">
        <f t="shared" si="6"/>
        <v>CH4</v>
      </c>
      <c r="G35" t="str">
        <f t="shared" si="7"/>
        <v>Gg CH4</v>
      </c>
      <c r="H35" s="29">
        <f>IF(('Activity data'!H22*EF!$H35)*kgtoGg=0,"NO",('Activity data'!H22*EF!$H35)*kgtoGg)</f>
        <v>3.97805297801406E-2</v>
      </c>
      <c r="I35" s="29">
        <f>IF(('Activity data'!I22*EF!$H35)*kgtoGg=0,"NO",('Activity data'!I22*EF!$H35)*kgtoGg)</f>
        <v>3.7393698041596139E-2</v>
      </c>
      <c r="J35" s="29">
        <f>IF(('Activity data'!J22*EF!$H35)*kgtoGg=0,"NO",('Activity data'!J22*EF!$H35)*kgtoGg)</f>
        <v>3.5339719604835972E-2</v>
      </c>
      <c r="K35" s="29">
        <f>IF(('Activity data'!K22*EF!$H35)*kgtoGg=0,"NO",('Activity data'!K22*EF!$H35)*kgtoGg)</f>
        <v>3.974462197314204E-2</v>
      </c>
      <c r="L35" s="29">
        <f>IF(('Activity data'!L22*EF!$H35)*kgtoGg=0,"NO",('Activity data'!L22*EF!$H35)*kgtoGg)</f>
        <v>3.9371867536538138E-2</v>
      </c>
      <c r="M35" s="29">
        <f>IF(('Activity data'!M22*EF!$H35)*kgtoGg=0,"NO",('Activity data'!M22*EF!$H35)*kgtoGg)</f>
        <v>4.5066858026880756E-2</v>
      </c>
      <c r="N35" s="29">
        <f>IF(('Activity data'!N22*EF!$H35)*kgtoGg=0,"NO",('Activity data'!N22*EF!$H35)*kgtoGg)</f>
        <v>5.2401139589808118E-2</v>
      </c>
      <c r="O35" s="29">
        <f>IF(('Activity data'!O22*EF!$H35)*kgtoGg=0,"NO",('Activity data'!O22*EF!$H35)*kgtoGg)</f>
        <v>5.3338370259568474E-2</v>
      </c>
      <c r="P35" s="29">
        <f>IF(('Activity data'!P22*EF!$H35)*kgtoGg=0,"NO",('Activity data'!P22*EF!$H35)*kgtoGg)</f>
        <v>5.8444607566508086E-2</v>
      </c>
      <c r="Q35" s="29">
        <f>IF(('Activity data'!Q22*EF!$H35)*kgtoGg=0,"NO",('Activity data'!Q22*EF!$H35)*kgtoGg)</f>
        <v>6.101551471210033E-2</v>
      </c>
      <c r="R35" s="29">
        <f>IF(('Activity data'!R22*EF!$H35)*kgtoGg=0,"NO",('Activity data'!R22*EF!$H35)*kgtoGg)</f>
        <v>6.5648197664078339E-2</v>
      </c>
      <c r="S35" s="29">
        <f>IF(('Activity data'!S22*EF!$H35)*kgtoGg=0,"NO",('Activity data'!S22*EF!$H35)*kgtoGg)</f>
        <v>6.3390232889346088E-2</v>
      </c>
      <c r="T35" s="29">
        <f>IF(('Activity data'!T22*EF!$H35)*kgtoGg=0,"NO",('Activity data'!T22*EF!$H35)*kgtoGg)</f>
        <v>7.0256939555641371E-2</v>
      </c>
      <c r="U35" s="29">
        <f>IF(('Activity data'!U22*EF!$H35)*kgtoGg=0,"NO",('Activity data'!U22*EF!$H35)*kgtoGg)</f>
        <v>6.6824955655154963E-2</v>
      </c>
      <c r="V35" s="29">
        <f>IF(('Activity data'!V22*EF!$H35)*kgtoGg=0,"NO",('Activity data'!V22*EF!$H35)*kgtoGg)</f>
        <v>6.8438168379586828E-2</v>
      </c>
      <c r="W35" s="29">
        <f>IF(('Activity data'!W22*EF!$H35)*kgtoGg=0,"NO",('Activity data'!W22*EF!$H35)*kgtoGg)</f>
        <v>7.572510178761277E-2</v>
      </c>
      <c r="X35" s="29">
        <f>IF(('Activity data'!X22*EF!$H35)*kgtoGg=0,"NO",('Activity data'!X22*EF!$H35)*kgtoGg)</f>
        <v>8.0995073889202837E-2</v>
      </c>
      <c r="Y35" s="29">
        <f>IF(('Activity data'!Y22*EF!$H35)*kgtoGg=0,"NO",('Activity data'!Y22*EF!$H35)*kgtoGg)</f>
        <v>8.474304869566987E-2</v>
      </c>
      <c r="Z35" s="29">
        <f>IF(('Activity data'!Z22*EF!$H35)*kgtoGg=0,"NO",('Activity data'!Z22*EF!$H35)*kgtoGg)</f>
        <v>9.0228336662730974E-2</v>
      </c>
      <c r="AA35" s="29">
        <f>IF(('Activity data'!AA22*EF!$H35)*kgtoGg=0,"NO",('Activity data'!AA22*EF!$H35)*kgtoGg)</f>
        <v>8.514031348767126E-2</v>
      </c>
      <c r="AB35" s="29">
        <f>IF(('Activity data'!AB22*EF!$H35)*kgtoGg=0,"NO",('Activity data'!AB22*EF!$H35)*kgtoGg)</f>
        <v>8.7281660260828828E-2</v>
      </c>
      <c r="AC35" s="29">
        <f>IF(('Activity data'!AC22*EF!$H35)*kgtoGg=0,"NO",('Activity data'!AC22*EF!$H35)*kgtoGg)</f>
        <v>9.027211937951464E-2</v>
      </c>
      <c r="AD35" s="29">
        <f>IF(('Activity data'!AD22*EF!$H35)*kgtoGg=0,"NO",('Activity data'!AD22*EF!$H35)*kgtoGg)</f>
        <v>9.2283159835951589E-2</v>
      </c>
      <c r="AE35" s="29">
        <f>IF(('Activity data'!AE22*EF!$H35)*kgtoGg=0,"NO",('Activity data'!AE22*EF!$H35)*kgtoGg)</f>
        <v>8.9867717319527099E-2</v>
      </c>
      <c r="AF35" s="29">
        <f>IF(('Activity data'!AF22*EF!$H35)*kgtoGg=0,"NO",('Activity data'!AF22*EF!$H35)*kgtoGg)</f>
        <v>9.3955007211857039E-2</v>
      </c>
      <c r="AG35" s="29">
        <f>IF(('Activity data'!AG22*EF!$H35)*kgtoGg=0,"NO",('Activity data'!AG22*EF!$H35)*kgtoGg)</f>
        <v>9.7745722405511923E-2</v>
      </c>
      <c r="AH35" s="29">
        <f>IF(('Activity data'!AH22*EF!$H35)*kgtoGg=0,"NO",('Activity data'!AH22*EF!$H35)*kgtoGg)</f>
        <v>9.0896663507999992E-2</v>
      </c>
      <c r="AI35" s="29">
        <f>IF(('Activity data'!AI22*EF!$H35)*kgtoGg=0,"NO",('Activity data'!AI22*EF!$H35)*kgtoGg)</f>
        <v>9.0780352467000003E-2</v>
      </c>
      <c r="AJ35" s="29">
        <f>IF(('Activity data'!AJ22*EF!$H35)*kgtoGg=0,"NO",('Activity data'!AJ22*EF!$H35)*kgtoGg)</f>
        <v>9.5915549980957512E-2</v>
      </c>
      <c r="AK35" s="29">
        <f>IF(('Activity data'!AK22*EF!$H35)*kgtoGg=0,"NO",('Activity data'!AK22*EF!$H35)*kgtoGg)</f>
        <v>9.7643987833992515E-2</v>
      </c>
      <c r="AL35" s="29">
        <f>IF(('Activity data'!AL22*EF!$H35)*kgtoGg=0,"NO",('Activity data'!AL22*EF!$H35)*kgtoGg)</f>
        <v>9.9372425687027491E-2</v>
      </c>
      <c r="AM35" s="29">
        <f>IF(('Activity data'!AM22*EF!$H35)*kgtoGg=0,"NO",('Activity data'!AM22*EF!$H35)*kgtoGg)</f>
        <v>0.10112438395195478</v>
      </c>
      <c r="AN35" s="29">
        <f>IF(('Activity data'!AN22*EF!$H35)*kgtoGg=0,"NO",('Activity data'!AN22*EF!$H35)*kgtoGg)</f>
        <v>0.1028763421845437</v>
      </c>
      <c r="AO35" s="29">
        <f>IF(('Activity data'!AO22*EF!$H35)*kgtoGg=0,"NO",('Activity data'!AO22*EF!$H35)*kgtoGg)</f>
        <v>0.10462830041713254</v>
      </c>
      <c r="AP35" s="29">
        <f>IF(('Activity data'!AP22*EF!$H35)*kgtoGg=0,"NO",('Activity data'!AP22*EF!$H35)*kgtoGg)</f>
        <v>0.10638025864972139</v>
      </c>
      <c r="AQ35" s="29">
        <f>IF(('Activity data'!AQ22*EF!$H35)*kgtoGg=0,"NO",('Activity data'!AQ22*EF!$H35)*kgtoGg)</f>
        <v>0.10813221691464864</v>
      </c>
      <c r="AR35" s="29">
        <f>IF(('Activity data'!AR22*EF!$H35)*kgtoGg=0,"NO",('Activity data'!AR22*EF!$H35)*kgtoGg)</f>
        <v>0.1100302757234275</v>
      </c>
      <c r="AS35" s="29">
        <f>IF(('Activity data'!AS22*EF!$H35)*kgtoGg=0,"NO",('Activity data'!AS22*EF!$H35)*kgtoGg)</f>
        <v>0.11192833453220631</v>
      </c>
      <c r="AT35" s="29">
        <f>IF(('Activity data'!AT22*EF!$H35)*kgtoGg=0,"NO",('Activity data'!AT22*EF!$H35)*kgtoGg)</f>
        <v>0.11382639334098511</v>
      </c>
      <c r="AU35" s="29">
        <f>IF(('Activity data'!AU22*EF!$H35)*kgtoGg=0,"NO",('Activity data'!AU22*EF!$H35)*kgtoGg)</f>
        <v>0.11572445214976393</v>
      </c>
      <c r="AV35" s="29">
        <f>IF(('Activity data'!AV22*EF!$H35)*kgtoGg=0,"NO",('Activity data'!AV22*EF!$H35)*kgtoGg)</f>
        <v>0.11762251095854276</v>
      </c>
      <c r="AW35" s="29">
        <f>IF(('Activity data'!AW22*EF!$H35)*kgtoGg=0,"NO",('Activity data'!AW22*EF!$H35)*kgtoGg)</f>
        <v>0.11945613041248178</v>
      </c>
      <c r="AX35" s="29">
        <f>IF(('Activity data'!AX22*EF!$H35)*kgtoGg=0,"NO",('Activity data'!AX22*EF!$H35)*kgtoGg)</f>
        <v>0.12128974983408239</v>
      </c>
      <c r="AY35" s="29">
        <f>IF(('Activity data'!AY22*EF!$H35)*kgtoGg=0,"NO",('Activity data'!AY22*EF!$H35)*kgtoGg)</f>
        <v>0.12312336928802145</v>
      </c>
      <c r="AZ35" s="29">
        <f>IF(('Activity data'!AZ22*EF!$H35)*kgtoGg=0,"NO",('Activity data'!AZ22*EF!$H35)*kgtoGg)</f>
        <v>0.12495698870962213</v>
      </c>
      <c r="BA35" s="29">
        <f>IF(('Activity data'!BA22*EF!$H35)*kgtoGg=0,"NO",('Activity data'!BA22*EF!$H35)*kgtoGg)</f>
        <v>0.12679060813122273</v>
      </c>
      <c r="BB35" s="29">
        <f>IF(('Activity data'!BB22*EF!$H35)*kgtoGg=0,"NO",('Activity data'!BB22*EF!$H35)*kgtoGg)</f>
        <v>0.12869631574191107</v>
      </c>
      <c r="BC35" s="29">
        <f>IF(('Activity data'!BC22*EF!$H35)*kgtoGg=0,"NO",('Activity data'!BC22*EF!$H35)*kgtoGg)</f>
        <v>0.13060202335259929</v>
      </c>
      <c r="BD35" s="29">
        <f>IF(('Activity data'!BD22*EF!$H35)*kgtoGg=0,"NO",('Activity data'!BD22*EF!$H35)*kgtoGg)</f>
        <v>0.13250773093094922</v>
      </c>
      <c r="BE35" s="29">
        <f>IF(('Activity data'!BE22*EF!$H35)*kgtoGg=0,"NO",('Activity data'!BE22*EF!$H35)*kgtoGg)</f>
        <v>0.13441343854163745</v>
      </c>
      <c r="BF35" s="29">
        <f>IF(('Activity data'!BF22*EF!$H35)*kgtoGg=0,"NO",('Activity data'!BF22*EF!$H35)*kgtoGg)</f>
        <v>0.13631914615232577</v>
      </c>
      <c r="BG35" s="29">
        <f>IF(('Activity data'!BG22*EF!$H35)*kgtoGg=0,"NO",('Activity data'!BG22*EF!$H35)*kgtoGg)</f>
        <v>0.13849456541857191</v>
      </c>
      <c r="BH35" s="29">
        <f>IF(('Activity data'!BH22*EF!$H35)*kgtoGg=0,"NO",('Activity data'!BH22*EF!$H35)*kgtoGg)</f>
        <v>0.14066998465247971</v>
      </c>
      <c r="BI35" s="29">
        <f>IF(('Activity data'!BI22*EF!$H35)*kgtoGg=0,"NO",('Activity data'!BI22*EF!$H35)*kgtoGg)</f>
        <v>0.14284540391872586</v>
      </c>
      <c r="BJ35" s="29">
        <f>IF(('Activity data'!BJ22*EF!$H35)*kgtoGg=0,"NO",('Activity data'!BJ22*EF!$H35)*kgtoGg)</f>
        <v>0.145020823184972</v>
      </c>
      <c r="BK35" s="29">
        <f>IF(('Activity data'!BK22*EF!$H35)*kgtoGg=0,"NO",('Activity data'!BK22*EF!$H35)*kgtoGg)</f>
        <v>0.14719624245121815</v>
      </c>
      <c r="BL35" s="29">
        <f>IF(('Activity data'!BL22*EF!$H35)*kgtoGg=0,"NO",('Activity data'!BL22*EF!$H35)*kgtoGg)</f>
        <v>0.14929488213557679</v>
      </c>
      <c r="BM35" s="29">
        <f>IF(('Activity data'!BM22*EF!$H35)*kgtoGg=0,"NO",('Activity data'!BM22*EF!$H35)*kgtoGg)</f>
        <v>0.15139352181993532</v>
      </c>
      <c r="BN35" s="29">
        <f>IF(('Activity data'!BN22*EF!$H35)*kgtoGg=0,"NO",('Activity data'!BN22*EF!$H35)*kgtoGg)</f>
        <v>0.15349216153663231</v>
      </c>
      <c r="BO35" s="29">
        <f>IF(('Activity data'!BO22*EF!$H35)*kgtoGg=0,"NO",('Activity data'!BO22*EF!$H35)*kgtoGg)</f>
        <v>0.15559080122099084</v>
      </c>
      <c r="BP35" s="29">
        <f>IF(('Activity data'!BP22*EF!$H35)*kgtoGg=0,"NO",('Activity data'!BP22*EF!$H35)*kgtoGg)</f>
        <v>0.15768944090534945</v>
      </c>
    </row>
    <row r="36" spans="1:68" x14ac:dyDescent="0.25">
      <c r="A36" t="str">
        <f t="shared" si="1"/>
        <v>3A Livestock</v>
      </c>
      <c r="B36" t="str">
        <f>'IPCC Categories'!B20</f>
        <v>3A2 Manure management (N2O)</v>
      </c>
      <c r="C36" t="str">
        <f>EF!C54</f>
        <v>3A1ai Dairy cattle</v>
      </c>
      <c r="D36" t="str">
        <f>EF!D54</f>
        <v>TMR</v>
      </c>
      <c r="E36" t="str">
        <f t="shared" si="9"/>
        <v>Manure management Emissions</v>
      </c>
      <c r="F36" t="s">
        <v>143</v>
      </c>
      <c r="G36" t="s">
        <v>291</v>
      </c>
      <c r="H36" s="29">
        <f>IF(('Activity data'!H5*EF!$H36*EF!$H54)*NtoN2O*kgtoGg=0,"NO",('Activity data'!H5*EF!$H36*EF!$H54)*NtoN2O*kgtoGg)</f>
        <v>4.916153684584277E-2</v>
      </c>
      <c r="I36" s="29">
        <f>IF(('Activity data'!I5*EF!$H36*EF!$H54)*NtoN2O*kgtoGg=0,"NO",('Activity data'!I5*EF!$H36*EF!$H54)*NtoN2O*kgtoGg)</f>
        <v>5.6597698456454765E-2</v>
      </c>
      <c r="J36" s="29">
        <f>IF(('Activity data'!J5*EF!$H36*EF!$H54)*NtoN2O*kgtoGg=0,"NO",('Activity data'!J5*EF!$H36*EF!$H54)*NtoN2O*kgtoGg)</f>
        <v>4.8964332321604243E-2</v>
      </c>
      <c r="K36" s="29">
        <f>IF(('Activity data'!K5*EF!$H36*EF!$H54)*NtoN2O*kgtoGg=0,"NO",('Activity data'!K5*EF!$H36*EF!$H54)*NtoN2O*kgtoGg)</f>
        <v>5.1931263309866894E-2</v>
      </c>
      <c r="L36" s="29">
        <f>IF(('Activity data'!L5*EF!$H36*EF!$H54)*NtoN2O*kgtoGg=0,"NO",('Activity data'!L5*EF!$H36*EF!$H54)*NtoN2O*kgtoGg)</f>
        <v>4.8175514224650169E-2</v>
      </c>
      <c r="M36" s="29">
        <f>IF(('Activity data'!M5*EF!$H36*EF!$H54)*NtoN2O*kgtoGg=0,"NO",('Activity data'!M5*EF!$H36*EF!$H54)*NtoN2O*kgtoGg)</f>
        <v>5.1536854261389861E-2</v>
      </c>
      <c r="N36" s="29">
        <f>IF(('Activity data'!N5*EF!$H36*EF!$H54)*NtoN2O*kgtoGg=0,"NO",('Activity data'!N5*EF!$H36*EF!$H54)*NtoN2O*kgtoGg)</f>
        <v>5.1734058785628381E-2</v>
      </c>
      <c r="O36" s="29">
        <f>IF(('Activity data'!O5*EF!$H36*EF!$H54)*NtoN2O*kgtoGg=0,"NO",('Activity data'!O5*EF!$H36*EF!$H54)*NtoN2O*kgtoGg)</f>
        <v>4.9875018382975388E-2</v>
      </c>
      <c r="P36" s="29">
        <f>IF(('Activity data'!P5*EF!$H36*EF!$H54)*NtoN2O*kgtoGg=0,"NO",('Activity data'!P5*EF!$H36*EF!$H54)*NtoN2O*kgtoGg)</f>
        <v>4.9283404810259827E-2</v>
      </c>
      <c r="Q36" s="29">
        <f>IF(('Activity data'!Q5*EF!$H36*EF!$H54)*NtoN2O*kgtoGg=0,"NO",('Activity data'!Q5*EF!$H36*EF!$H54)*NtoN2O*kgtoGg)</f>
        <v>4.841038702879942E-2</v>
      </c>
      <c r="R36" s="29">
        <f>IF(('Activity data'!R5*EF!$H36*EF!$H54)*NtoN2O*kgtoGg=0,"NO",('Activity data'!R5*EF!$H36*EF!$H54)*NtoN2O*kgtoGg)</f>
        <v>6.2334355908741548E-2</v>
      </c>
      <c r="S36" s="29">
        <f>IF(('Activity data'!S5*EF!$H36*EF!$H54)*NtoN2O*kgtoGg=0,"NO",('Activity data'!S5*EF!$H36*EF!$H54)*NtoN2O*kgtoGg)</f>
        <v>6.2137151384503035E-2</v>
      </c>
      <c r="T36" s="29">
        <f>IF(('Activity data'!T5*EF!$H36*EF!$H54)*NtoN2O*kgtoGg=0,"NO",('Activity data'!T5*EF!$H36*EF!$H54)*NtoN2O*kgtoGg)</f>
        <v>5.4184712760996942E-2</v>
      </c>
      <c r="U36" s="29">
        <f>IF(('Activity data'!U5*EF!$H36*EF!$H54)*NtoN2O*kgtoGg=0,"NO",('Activity data'!U5*EF!$H36*EF!$H54)*NtoN2O*kgtoGg)</f>
        <v>4.9283404810259827E-2</v>
      </c>
      <c r="V36" s="29">
        <f>IF(('Activity data'!V5*EF!$H36*EF!$H54)*NtoN2O*kgtoGg=0,"NO",('Activity data'!V5*EF!$H36*EF!$H54)*NtoN2O*kgtoGg)</f>
        <v>4.7583900651934616E-2</v>
      </c>
      <c r="W36" s="29">
        <f>IF(('Activity data'!W5*EF!$H36*EF!$H54)*NtoN2O*kgtoGg=0,"NO",('Activity data'!W5*EF!$H36*EF!$H54)*NtoN2O*kgtoGg)</f>
        <v>5.0945240688674294E-2</v>
      </c>
      <c r="X36" s="29">
        <f>IF(('Activity data'!X5*EF!$H36*EF!$H54)*NtoN2O*kgtoGg=0,"NO",('Activity data'!X5*EF!$H36*EF!$H54)*NtoN2O*kgtoGg)</f>
        <v>4.9837350103064657E-2</v>
      </c>
      <c r="Y36" s="29">
        <f>IF(('Activity data'!Y5*EF!$H36*EF!$H54)*NtoN2O*kgtoGg=0,"NO",('Activity data'!Y5*EF!$H36*EF!$H54)*NtoN2O*kgtoGg)</f>
        <v>4.9480609334498347E-2</v>
      </c>
      <c r="Z36" s="29">
        <f>IF(('Activity data'!Z5*EF!$H36*EF!$H54)*NtoN2O*kgtoGg=0,"NO",('Activity data'!Z5*EF!$H36*EF!$H54)*NtoN2O*kgtoGg)</f>
        <v>6.0597183470505606E-2</v>
      </c>
      <c r="AA36" s="29">
        <f>IF(('Activity data'!AA5*EF!$H36*EF!$H54)*NtoN2O*kgtoGg=0,"NO",('Activity data'!AA5*EF!$H36*EF!$H54)*NtoN2O*kgtoGg)</f>
        <v>6.2099483104592297E-2</v>
      </c>
      <c r="AB36" s="29">
        <f>IF(('Activity data'!AB5*EF!$H36*EF!$H54)*NtoN2O*kgtoGg=0,"NO",('Activity data'!AB5*EF!$H36*EF!$H54)*NtoN2O*kgtoGg)</f>
        <v>6.2099483104592297E-2</v>
      </c>
      <c r="AC36" s="29">
        <f>IF(('Activity data'!AC5*EF!$H36*EF!$H54)*NtoN2O*kgtoGg=0,"NO",('Activity data'!AC5*EF!$H36*EF!$H54)*NtoN2O*kgtoGg)</f>
        <v>5.9846033653462256E-2</v>
      </c>
      <c r="AD36" s="29">
        <f>IF(('Activity data'!AD5*EF!$H36*EF!$H54)*NtoN2O*kgtoGg=0,"NO",('Activity data'!AD5*EF!$H36*EF!$H54)*NtoN2O*kgtoGg)</f>
        <v>5.7630252482242954E-2</v>
      </c>
      <c r="AE36" s="29">
        <f>IF(('Activity data'!AE5*EF!$H36*EF!$H54)*NtoN2O*kgtoGg=0,"NO",('Activity data'!AE5*EF!$H36*EF!$H54)*NtoN2O*kgtoGg)</f>
        <v>6.2137151384503035E-2</v>
      </c>
      <c r="AF36" s="29">
        <f>IF(('Activity data'!AF5*EF!$H36*EF!$H54)*NtoN2O*kgtoGg=0,"NO",('Activity data'!AF5*EF!$H36*EF!$H54)*NtoN2O*kgtoGg)</f>
        <v>5.8738143067852598E-2</v>
      </c>
      <c r="AG36" s="29">
        <f>IF(('Activity data'!AG5*EF!$H36*EF!$H54)*NtoN2O*kgtoGg=0,"NO",('Activity data'!AG5*EF!$H36*EF!$H54)*NtoN2O*kgtoGg)</f>
        <v>5.9451624604985223E-2</v>
      </c>
      <c r="AH36" s="29">
        <f>IF(('Activity data'!AH5*EF!$H36*EF!$H54)*NtoN2O*kgtoGg=0,"NO",('Activity data'!AH5*EF!$H36*EF!$H54)*NtoN2O*kgtoGg)</f>
        <v>6.166740577620454E-2</v>
      </c>
      <c r="AI36" s="29">
        <f>IF(('Activity data'!AI5*EF!$H36*EF!H54)*NtoN2O*kgtoGg=0,"NO",('Activity data'!AI5*EF!$H36*EF!H54)*NtoN2O*kgtoGg)</f>
        <v>6.6333840922792389E-2</v>
      </c>
      <c r="AJ36" s="29">
        <f>IF(('Activity data'!AJ5*EF!$H36*EF!I54)*NtoN2O*kgtoGg=0,"NO",('Activity data'!AJ5*EF!$H36*EF!I54)*NtoN2O*kgtoGg)</f>
        <v>6.0549268854399381E-2</v>
      </c>
      <c r="AK36" s="29">
        <f>IF(('Activity data'!AK5*EF!$H36*EF!J54)*NtoN2O*kgtoGg=0,"NO",('Activity data'!AK5*EF!$H36*EF!J54)*NtoN2O*kgtoGg)</f>
        <v>6.0763803629534568E-2</v>
      </c>
      <c r="AL36" s="29">
        <f>IF(('Activity data'!AL5*EF!$H36*EF!K54)*NtoN2O*kgtoGg=0,"NO",('Activity data'!AL5*EF!$H36*EF!K54)*NtoN2O*kgtoGg)</f>
        <v>6.0643625017821258E-2</v>
      </c>
      <c r="AM36" s="29">
        <f>IF(('Activity data'!AM5*EF!$H36*EF!L54)*NtoN2O*kgtoGg=0,"NO",('Activity data'!AM5*EF!$H36*EF!L54)*NtoN2O*kgtoGg)</f>
        <v>6.0910501341777321E-2</v>
      </c>
      <c r="AN36" s="29">
        <f>IF(('Activity data'!AN5*EF!$H36*EF!M54)*NtoN2O*kgtoGg=0,"NO",('Activity data'!AN5*EF!$H36*EF!M54)*NtoN2O*kgtoGg)</f>
        <v>6.1173975217984358E-2</v>
      </c>
      <c r="AO36" s="29">
        <f>IF(('Activity data'!AO5*EF!$H36*EF!N54)*NtoN2O*kgtoGg=0,"NO",('Activity data'!AO5*EF!$H36*EF!N54)*NtoN2O*kgtoGg)</f>
        <v>6.1438212849861229E-2</v>
      </c>
      <c r="AP36" s="29">
        <f>IF(('Activity data'!AP5*EF!$H36*EF!O54)*NtoN2O*kgtoGg=0,"NO",('Activity data'!AP5*EF!$H36*EF!O54)*NtoN2O*kgtoGg)</f>
        <v>6.1699521451439449E-2</v>
      </c>
      <c r="AQ36" s="29">
        <f>IF(('Activity data'!AQ5*EF!$H36*EF!P54)*NtoN2O*kgtoGg=0,"NO",('Activity data'!AQ5*EF!$H36*EF!P54)*NtoN2O*kgtoGg)</f>
        <v>6.1964227429865952E-2</v>
      </c>
      <c r="AR36" s="29">
        <f>IF(('Activity data'!AR5*EF!$H36*EF!Q54)*NtoN2O*kgtoGg=0,"NO",('Activity data'!AR5*EF!$H36*EF!Q54)*NtoN2O*kgtoGg)</f>
        <v>6.2259628906336649E-2</v>
      </c>
      <c r="AS36" s="29">
        <f>IF(('Activity data'!AS5*EF!$H36*EF!R54)*NtoN2O*kgtoGg=0,"NO",('Activity data'!AS5*EF!$H36*EF!R54)*NtoN2O*kgtoGg)</f>
        <v>6.2554129582793633E-2</v>
      </c>
      <c r="AT36" s="29">
        <f>IF(('Activity data'!AT5*EF!$H36*EF!S54)*NtoN2O*kgtoGg=0,"NO",('Activity data'!AT5*EF!$H36*EF!S54)*NtoN2O*kgtoGg)</f>
        <v>6.2853228916133541E-2</v>
      </c>
      <c r="AU36" s="29">
        <f>IF(('Activity data'!AU5*EF!$H36*EF!T54)*NtoN2O*kgtoGg=0,"NO",('Activity data'!AU5*EF!$H36*EF!T54)*NtoN2O*kgtoGg)</f>
        <v>6.315574291603808E-2</v>
      </c>
      <c r="AV36" s="29">
        <f>IF(('Activity data'!AV5*EF!$H36*EF!U54)*NtoN2O*kgtoGg=0,"NO",('Activity data'!AV5*EF!$H36*EF!U54)*NtoN2O*kgtoGg)</f>
        <v>6.3461983247870044E-2</v>
      </c>
      <c r="AW36" s="29">
        <f>IF(('Activity data'!AW5*EF!$H36*EF!V54)*NtoN2O*kgtoGg=0,"NO",('Activity data'!AW5*EF!$H36*EF!V54)*NtoN2O*kgtoGg)</f>
        <v>6.3783420036223823E-2</v>
      </c>
      <c r="AX36" s="29">
        <f>IF(('Activity data'!AX5*EF!$H36*EF!W54)*NtoN2O*kgtoGg=0,"NO",('Activity data'!AX5*EF!$H36*EF!W54)*NtoN2O*kgtoGg)</f>
        <v>6.4098730652999578E-2</v>
      </c>
      <c r="AY36" s="29">
        <f>IF(('Activity data'!AY5*EF!$H36*EF!X54)*NtoN2O*kgtoGg=0,"NO",('Activity data'!AY5*EF!$H36*EF!X54)*NtoN2O*kgtoGg)</f>
        <v>6.4427858827613621E-2</v>
      </c>
      <c r="AZ36" s="29">
        <f>IF(('Activity data'!AZ5*EF!$H36*EF!Y54)*NtoN2O*kgtoGg=0,"NO",('Activity data'!AZ5*EF!$H36*EF!Y54)*NtoN2O*kgtoGg)</f>
        <v>6.4766646674769723E-2</v>
      </c>
      <c r="BA36" s="29">
        <f>IF(('Activity data'!BA5*EF!$H36*EF!Z54)*NtoN2O*kgtoGg=0,"NO",('Activity data'!BA5*EF!$H36*EF!Z54)*NtoN2O*kgtoGg)</f>
        <v>6.5115617020695113E-2</v>
      </c>
      <c r="BB36" s="29">
        <f>IF(('Activity data'!BB5*EF!$H36*EF!AA54)*NtoN2O*kgtoGg=0,"NO",('Activity data'!BB5*EF!$H36*EF!AA54)*NtoN2O*kgtoGg)</f>
        <v>6.547674672019671E-2</v>
      </c>
      <c r="BC36" s="29">
        <f>IF(('Activity data'!BC5*EF!$H36*EF!AB54)*NtoN2O*kgtoGg=0,"NO",('Activity data'!BC5*EF!$H36*EF!AB54)*NtoN2O*kgtoGg)</f>
        <v>6.5844880243823373E-2</v>
      </c>
      <c r="BD36" s="29">
        <f>IF(('Activity data'!BD5*EF!$H36*EF!AC54)*NtoN2O*kgtoGg=0,"NO",('Activity data'!BD5*EF!$H36*EF!AC54)*NtoN2O*kgtoGg)</f>
        <v>6.6215615656281937E-2</v>
      </c>
      <c r="BE36" s="29">
        <f>IF(('Activity data'!BE5*EF!$H36*EF!AD54)*NtoN2O*kgtoGg=0,"NO",('Activity data'!BE5*EF!$H36*EF!AD54)*NtoN2O*kgtoGg)</f>
        <v>6.6593420947954146E-2</v>
      </c>
      <c r="BF36" s="29">
        <f>IF(('Activity data'!BF5*EF!$H36*EF!AE54)*NtoN2O*kgtoGg=0,"NO",('Activity data'!BF5*EF!$H36*EF!AE54)*NtoN2O*kgtoGg)</f>
        <v>6.6982252328246783E-2</v>
      </c>
      <c r="BG36" s="29">
        <f>IF(('Activity data'!BG5*EF!$H36*EF!AF54)*NtoN2O*kgtoGg=0,"NO",('Activity data'!BG5*EF!$H36*EF!AF54)*NtoN2O*kgtoGg)</f>
        <v>6.740695766740841E-2</v>
      </c>
      <c r="BH36" s="29">
        <f>IF(('Activity data'!BH5*EF!$H36*EF!AG54)*NtoN2O*kgtoGg=0,"NO",('Activity data'!BH5*EF!$H36*EF!AG54)*NtoN2O*kgtoGg)</f>
        <v>6.7840127376784479E-2</v>
      </c>
      <c r="BI36" s="29">
        <f>IF(('Activity data'!BI5*EF!$H36*EF!AH54)*NtoN2O*kgtoGg=0,"NO",('Activity data'!BI5*EF!$H36*EF!AH54)*NtoN2O*kgtoGg)</f>
        <v>6.8281278947374194E-2</v>
      </c>
      <c r="BJ36" s="29">
        <f>IF(('Activity data'!BJ5*EF!$H36*EF!AI54)*NtoN2O*kgtoGg=0,"NO",('Activity data'!BJ5*EF!$H36*EF!AI54)*NtoN2O*kgtoGg)</f>
        <v>6.8731603387387583E-2</v>
      </c>
      <c r="BK36" s="29">
        <f>IF(('Activity data'!BK5*EF!$H36*EF!AJ54)*NtoN2O*kgtoGg=0,"NO",('Activity data'!BK5*EF!$H36*EF!AJ54)*NtoN2O*kgtoGg)</f>
        <v>6.9195822745626231E-2</v>
      </c>
      <c r="BL36" s="29">
        <f>IF(('Activity data'!BL5*EF!$H36*EF!AK54)*NtoN2O*kgtoGg=0,"NO",('Activity data'!BL5*EF!$H36*EF!AK54)*NtoN2O*kgtoGg)</f>
        <v>6.9663857930267858E-2</v>
      </c>
      <c r="BM36" s="29">
        <f>IF(('Activity data'!BM5*EF!$H36*EF!AL54)*NtoN2O*kgtoGg=0,"NO",('Activity data'!BM5*EF!$H36*EF!AL54)*NtoN2O*kgtoGg)</f>
        <v>7.0143873703082532E-2</v>
      </c>
      <c r="BN36" s="29">
        <f>IF(('Activity data'!BN5*EF!$H36*EF!AM54)*NtoN2O*kgtoGg=0,"NO",('Activity data'!BN5*EF!$H36*EF!AM54)*NtoN2O*kgtoGg)</f>
        <v>7.062689379292425E-2</v>
      </c>
      <c r="BO36" s="29">
        <f>IF(('Activity data'!BO5*EF!$H36*EF!AN54)*NtoN2O*kgtoGg=0,"NO",('Activity data'!BO5*EF!$H36*EF!AN54)*NtoN2O*kgtoGg)</f>
        <v>7.1122980290463836E-2</v>
      </c>
      <c r="BP36" s="29">
        <f>IF(('Activity data'!BP5*EF!$H36*EF!AO54)*NtoN2O*kgtoGg=0,"NO",('Activity data'!BP5*EF!$H36*EF!AO54)*NtoN2O*kgtoGg)</f>
        <v>7.1633223572745403E-2</v>
      </c>
    </row>
    <row r="37" spans="1:68" x14ac:dyDescent="0.25">
      <c r="A37" t="str">
        <f t="shared" si="1"/>
        <v>3A Livestock</v>
      </c>
      <c r="B37" t="str">
        <f>B36</f>
        <v>3A2 Manure management (N2O)</v>
      </c>
      <c r="C37" t="str">
        <f>EF!C55</f>
        <v>3A1ai Dairy cattle</v>
      </c>
      <c r="D37" t="str">
        <f>EF!D55</f>
        <v>Pasture</v>
      </c>
      <c r="E37" t="str">
        <f t="shared" si="9"/>
        <v>Manure management Emissions</v>
      </c>
      <c r="F37" t="s">
        <v>143</v>
      </c>
      <c r="G37" t="str">
        <f t="shared" ref="G37:G53" si="10">G36</f>
        <v>Gg N2O</v>
      </c>
      <c r="H37" s="29">
        <f>IF(('Activity data'!H6*EF!$H37*EF!$H55)*NtoN2O*kgtoGg=0,"NO",('Activity data'!H6*EF!$H37*EF!$H55)*NtoN2O*kgtoGg)</f>
        <v>0.21291734414122981</v>
      </c>
      <c r="I37" s="29">
        <f>IF(('Activity data'!I6*EF!$H37*EF!$H55)*NtoN2O*kgtoGg=0,"NO",('Activity data'!I6*EF!$H37*EF!$H55)*NtoN2O*kgtoGg)</f>
        <v>0.24512316768375322</v>
      </c>
      <c r="J37" s="29">
        <f>IF(('Activity data'!J6*EF!$H37*EF!$H55)*NtoN2O*kgtoGg=0,"NO",('Activity data'!J6*EF!$H37*EF!$H55)*NtoN2O*kgtoGg)</f>
        <v>0.21206325644895188</v>
      </c>
      <c r="K37" s="29">
        <f>IF(('Activity data'!K6*EF!$H37*EF!$H55)*NtoN2O*kgtoGg=0,"NO",('Activity data'!K6*EF!$H37*EF!$H55)*NtoN2O*kgtoGg)</f>
        <v>0.22491295779681808</v>
      </c>
      <c r="L37" s="29">
        <f>IF(('Activity data'!L6*EF!$H37*EF!$H55)*NtoN2O*kgtoGg=0,"NO",('Activity data'!L6*EF!$H37*EF!$H55)*NtoN2O*kgtoGg)</f>
        <v>0.20864690567984037</v>
      </c>
      <c r="M37" s="29">
        <f>IF(('Activity data'!M6*EF!$H37*EF!$H55)*NtoN2O*kgtoGg=0,"NO",('Activity data'!M6*EF!$H37*EF!$H55)*NtoN2O*kgtoGg)</f>
        <v>0.22320478241226227</v>
      </c>
      <c r="N37" s="29">
        <f>IF(('Activity data'!N6*EF!$H37*EF!$H55)*NtoN2O*kgtoGg=0,"NO",('Activity data'!N6*EF!$H37*EF!$H55)*NtoN2O*kgtoGg)</f>
        <v>0.22405887010454018</v>
      </c>
      <c r="O37" s="29">
        <f>IF(('Activity data'!O6*EF!$H37*EF!$H55)*NtoN2O*kgtoGg=0,"NO",('Activity data'!O6*EF!$H37*EF!$H55)*NtoN2O*kgtoGg)</f>
        <v>0.21600741421890937</v>
      </c>
      <c r="P37" s="29">
        <f>IF(('Activity data'!P6*EF!$H37*EF!$H55)*NtoN2O*kgtoGg=0,"NO",('Activity data'!P6*EF!$H37*EF!$H55)*NtoN2O*kgtoGg)</f>
        <v>0.21344515114207568</v>
      </c>
      <c r="Q37" s="29">
        <f>IF(('Activity data'!Q6*EF!$H37*EF!$H55)*NtoN2O*kgtoGg=0,"NO",('Activity data'!Q6*EF!$H37*EF!$H55)*NtoN2O*kgtoGg)</f>
        <v>0.20966413371783418</v>
      </c>
      <c r="R37" s="29">
        <f>IF(('Activity data'!R6*EF!$H37*EF!$H55)*NtoN2O*kgtoGg=0,"NO",('Activity data'!R6*EF!$H37*EF!$H55)*NtoN2O*kgtoGg)</f>
        <v>0.26996848268720769</v>
      </c>
      <c r="S37" s="29">
        <f>IF(('Activity data'!S6*EF!$H37*EF!$H55)*NtoN2O*kgtoGg=0,"NO",('Activity data'!S6*EF!$H37*EF!$H55)*NtoN2O*kgtoGg)</f>
        <v>0.26911439499492978</v>
      </c>
      <c r="T37" s="29">
        <f>IF(('Activity data'!T6*EF!$H37*EF!$H55)*NtoN2O*kgtoGg=0,"NO",('Activity data'!T6*EF!$H37*EF!$H55)*NtoN2O*kgtoGg)</f>
        <v>0.23467258906700467</v>
      </c>
      <c r="U37" s="29">
        <f>IF(('Activity data'!U6*EF!$H37*EF!$H55)*NtoN2O*kgtoGg=0,"NO",('Activity data'!U6*EF!$H37*EF!$H55)*NtoN2O*kgtoGg)</f>
        <v>0.21344515114207568</v>
      </c>
      <c r="V37" s="29">
        <f>IF(('Activity data'!V6*EF!$H37*EF!$H55)*NtoN2O*kgtoGg=0,"NO",('Activity data'!V6*EF!$H37*EF!$H55)*NtoN2O*kgtoGg)</f>
        <v>0.20608464260300666</v>
      </c>
      <c r="W37" s="29">
        <f>IF(('Activity data'!W6*EF!$H37*EF!$H55)*NtoN2O*kgtoGg=0,"NO",('Activity data'!W6*EF!$H37*EF!$H55)*NtoN2O*kgtoGg)</f>
        <v>0.22064251933542864</v>
      </c>
      <c r="X37" s="29">
        <f>IF(('Activity data'!X6*EF!$H37*EF!$H55)*NtoN2O*kgtoGg=0,"NO",('Activity data'!X6*EF!$H37*EF!$H55)*NtoN2O*kgtoGg)</f>
        <v>0.2158442738731933</v>
      </c>
      <c r="Y37" s="29">
        <f>IF(('Activity data'!Y6*EF!$H37*EF!$H55)*NtoN2O*kgtoGg=0,"NO",('Activity data'!Y6*EF!$H37*EF!$H55)*NtoN2O*kgtoGg)</f>
        <v>0.21429923883435359</v>
      </c>
      <c r="Z37" s="29">
        <f>IF(('Activity data'!Z6*EF!$H37*EF!$H55)*NtoN2O*kgtoGg=0,"NO",('Activity data'!Z6*EF!$H37*EF!$H55)*NtoN2O*kgtoGg)</f>
        <v>0.26244483380242267</v>
      </c>
      <c r="AA37" s="29">
        <f>IF(('Activity data'!AA6*EF!$H37*EF!$H55)*NtoN2O*kgtoGg=0,"NO",('Activity data'!AA6*EF!$H37*EF!$H55)*NtoN2O*kgtoGg)</f>
        <v>0.26895125464921371</v>
      </c>
      <c r="AB37" s="29">
        <f>IF(('Activity data'!AB6*EF!$H37*EF!$H55)*NtoN2O*kgtoGg=0,"NO",('Activity data'!AB6*EF!$H37*EF!$H55)*NtoN2O*kgtoGg)</f>
        <v>0.26895125464921371</v>
      </c>
      <c r="AC37" s="29">
        <f>IF(('Activity data'!AC6*EF!$H37*EF!$H55)*NtoN2O*kgtoGg=0,"NO",('Activity data'!AC6*EF!$H37*EF!$H55)*NtoN2O*kgtoGg)</f>
        <v>0.25919162337902713</v>
      </c>
      <c r="AD37" s="29">
        <f>IF(('Activity data'!AD6*EF!$H37*EF!$H55)*NtoN2O*kgtoGg=0,"NO",('Activity data'!AD6*EF!$H37*EF!$H55)*NtoN2O*kgtoGg)</f>
        <v>0.24959513245455653</v>
      </c>
      <c r="AE37" s="29">
        <f>IF(('Activity data'!AE6*EF!$H37*EF!$H55)*NtoN2O*kgtoGg=0,"NO",('Activity data'!AE6*EF!$H37*EF!$H55)*NtoN2O*kgtoGg)</f>
        <v>0.26911439499492978</v>
      </c>
      <c r="AF37" s="29">
        <f>IF(('Activity data'!AF6*EF!$H37*EF!$H55)*NtoN2O*kgtoGg=0,"NO",('Activity data'!AF6*EF!$H37*EF!$H55)*NtoN2O*kgtoGg)</f>
        <v>0.25439337791679184</v>
      </c>
      <c r="AG37" s="29">
        <f>IF(('Activity data'!AG6*EF!$H37*EF!$H55)*NtoN2O*kgtoGg=0,"NO",('Activity data'!AG6*EF!$H37*EF!$H55)*NtoN2O*kgtoGg)</f>
        <v>0.25748344799447132</v>
      </c>
      <c r="AH37" s="29">
        <f>IF(('Activity data'!AH6*EF!$H37*EF!$H55)*NtoN2O*kgtoGg=0,"NO",('Activity data'!AH6*EF!$H37*EF!$H55)*NtoN2O*kgtoGg)</f>
        <v>0.26707993891894199</v>
      </c>
      <c r="AI37" s="29">
        <f>IF(('Activity data'!AI6*EF!$H37*EF!H55)*NtoN2O*kgtoGg=0,"NO",('Activity data'!AI6*EF!$H37*EF!H55)*NtoN2O*kgtoGg)</f>
        <v>0.28729014880587711</v>
      </c>
      <c r="AJ37" s="29">
        <f>IF(('Activity data'!AJ6*EF!$H37*EF!I55)*NtoN2O*kgtoGg=0,"NO",('Activity data'!AJ6*EF!$H37*EF!I55)*NtoN2O*kgtoGg)</f>
        <v>0.26179854832300115</v>
      </c>
      <c r="AK37" s="29">
        <f>IF(('Activity data'!AK6*EF!$H37*EF!J55)*NtoN2O*kgtoGg=0,"NO",('Activity data'!AK6*EF!$H37*EF!J55)*NtoN2O*kgtoGg)</f>
        <v>0.26272613826352131</v>
      </c>
      <c r="AL37" s="29">
        <f>IF(('Activity data'!AL6*EF!$H37*EF!K55)*NtoN2O*kgtoGg=0,"NO",('Activity data'!AL6*EF!$H37*EF!K55)*NtoN2O*kgtoGg)</f>
        <v>0.26220651867634387</v>
      </c>
      <c r="AM37" s="29">
        <f>IF(('Activity data'!AM6*EF!$H37*EF!L55)*NtoN2O*kgtoGg=0,"NO",('Activity data'!AM6*EF!$H37*EF!L55)*NtoN2O*kgtoGg)</f>
        <v>0.26336041921908188</v>
      </c>
      <c r="AN37" s="29">
        <f>IF(('Activity data'!AN6*EF!$H37*EF!M55)*NtoN2O*kgtoGg=0,"NO",('Activity data'!AN6*EF!$H37*EF!M55)*NtoN2O*kgtoGg)</f>
        <v>0.2644996085043877</v>
      </c>
      <c r="AO37" s="29">
        <f>IF(('Activity data'!AO6*EF!$H37*EF!N55)*NtoN2O*kgtoGg=0,"NO",('Activity data'!AO6*EF!$H37*EF!N55)*NtoN2O*kgtoGg)</f>
        <v>0.26564210006120592</v>
      </c>
      <c r="AP37" s="29">
        <f>IF(('Activity data'!AP6*EF!$H37*EF!O55)*NtoN2O*kgtoGg=0,"NO",('Activity data'!AP6*EF!$H37*EF!O55)*NtoN2O*kgtoGg)</f>
        <v>0.2667719272887154</v>
      </c>
      <c r="AQ37" s="29">
        <f>IF(('Activity data'!AQ6*EF!$H37*EF!P55)*NtoN2O*kgtoGg=0,"NO",('Activity data'!AQ6*EF!$H37*EF!P55)*NtoN2O*kgtoGg)</f>
        <v>0.26791644384846325</v>
      </c>
      <c r="AR37" s="29">
        <f>IF(('Activity data'!AR6*EF!$H37*EF!Q55)*NtoN2O*kgtoGg=0,"NO",('Activity data'!AR6*EF!$H37*EF!Q55)*NtoN2O*kgtoGg)</f>
        <v>0.26919367938203287</v>
      </c>
      <c r="AS37" s="29">
        <f>IF(('Activity data'!AS6*EF!$H37*EF!R55)*NtoN2O*kgtoGg=0,"NO",('Activity data'!AS6*EF!$H37*EF!R55)*NtoN2O*kgtoGg)</f>
        <v>0.27046702010167034</v>
      </c>
      <c r="AT37" s="29">
        <f>IF(('Activity data'!AT6*EF!$H37*EF!S55)*NtoN2O*kgtoGg=0,"NO",('Activity data'!AT6*EF!$H37*EF!S55)*NtoN2O*kgtoGg)</f>
        <v>0.27176024416125483</v>
      </c>
      <c r="AU37" s="29">
        <f>IF(('Activity data'!AU6*EF!$H37*EF!T55)*NtoN2O*kgtoGg=0,"NO",('Activity data'!AU6*EF!$H37*EF!T55)*NtoN2O*kgtoGg)</f>
        <v>0.27306823230910249</v>
      </c>
      <c r="AV37" s="29">
        <f>IF(('Activity data'!AV6*EF!$H37*EF!U55)*NtoN2O*kgtoGg=0,"NO",('Activity data'!AV6*EF!$H37*EF!U55)*NtoN2O*kgtoGg)</f>
        <v>0.27439233210136166</v>
      </c>
      <c r="AW37" s="29">
        <f>IF(('Activity data'!AW6*EF!$H37*EF!V55)*NtoN2O*kgtoGg=0,"NO",('Activity data'!AW6*EF!$H37*EF!V55)*NtoN2O*kgtoGg)</f>
        <v>0.27578213723296424</v>
      </c>
      <c r="AX37" s="29">
        <f>IF(('Activity data'!AX6*EF!$H37*EF!W55)*NtoN2O*kgtoGg=0,"NO",('Activity data'!AX6*EF!$H37*EF!W55)*NtoN2O*kgtoGg)</f>
        <v>0.27714545446708688</v>
      </c>
      <c r="AY37" s="29">
        <f>IF(('Activity data'!AY6*EF!$H37*EF!X55)*NtoN2O*kgtoGg=0,"NO",('Activity data'!AY6*EF!$H37*EF!X55)*NtoN2O*kgtoGg)</f>
        <v>0.27856851505817914</v>
      </c>
      <c r="AZ37" s="29">
        <f>IF(('Activity data'!AZ6*EF!$H37*EF!Y55)*NtoN2O*kgtoGg=0,"NO",('Activity data'!AZ6*EF!$H37*EF!Y55)*NtoN2O*kgtoGg)</f>
        <v>0.28003334144259395</v>
      </c>
      <c r="BA37" s="29">
        <f>IF(('Activity data'!BA6*EF!$H37*EF!Z55)*NtoN2O*kgtoGg=0,"NO",('Activity data'!BA6*EF!$H37*EF!Z55)*NtoN2O*kgtoGg)</f>
        <v>0.28154219417854903</v>
      </c>
      <c r="BB37" s="29">
        <f>IF(('Activity data'!BB6*EF!$H37*EF!AA55)*NtoN2O*kgtoGg=0,"NO",('Activity data'!BB6*EF!$H37*EF!AA55)*NtoN2O*kgtoGg)</f>
        <v>0.28310362064784605</v>
      </c>
      <c r="BC37" s="29">
        <f>IF(('Activity data'!BC6*EF!$H37*EF!AB55)*NtoN2O*kgtoGg=0,"NO",('Activity data'!BC6*EF!$H37*EF!AB55)*NtoN2O*kgtoGg)</f>
        <v>0.28469532974521339</v>
      </c>
      <c r="BD37" s="29">
        <f>IF(('Activity data'!BD6*EF!$H37*EF!AC55)*NtoN2O*kgtoGg=0,"NO",('Activity data'!BD6*EF!$H37*EF!AC55)*NtoN2O*kgtoGg)</f>
        <v>0.28629828870128232</v>
      </c>
      <c r="BE37" s="29">
        <f>IF(('Activity data'!BE6*EF!$H37*EF!AD55)*NtoN2O*kgtoGg=0,"NO",('Activity data'!BE6*EF!$H37*EF!AD55)*NtoN2O*kgtoGg)</f>
        <v>0.28793181588963496</v>
      </c>
      <c r="BF37" s="29">
        <f>IF(('Activity data'!BF6*EF!$H37*EF!AE55)*NtoN2O*kgtoGg=0,"NO",('Activity data'!BF6*EF!$H37*EF!AE55)*NtoN2O*kgtoGg)</f>
        <v>0.28961301688229796</v>
      </c>
      <c r="BG37" s="29">
        <f>IF(('Activity data'!BG6*EF!$H37*EF!AF55)*NtoN2O*kgtoGg=0,"NO",('Activity data'!BG6*EF!$H37*EF!AF55)*NtoN2O*kgtoGg)</f>
        <v>0.29144932710306887</v>
      </c>
      <c r="BH37" s="29">
        <f>IF(('Activity data'!BH6*EF!$H37*EF!AG55)*NtoN2O*kgtoGg=0,"NO",('Activity data'!BH6*EF!$H37*EF!AG55)*NtoN2O*kgtoGg)</f>
        <v>0.29332223495543053</v>
      </c>
      <c r="BI37" s="29">
        <f>IF(('Activity data'!BI6*EF!$H37*EF!AH55)*NtoN2O*kgtoGg=0,"NO",('Activity data'!BI6*EF!$H37*EF!AH55)*NtoN2O*kgtoGg)</f>
        <v>0.29522965420187131</v>
      </c>
      <c r="BJ37" s="29">
        <f>IF(('Activity data'!BJ6*EF!$H37*EF!AI55)*NtoN2O*kgtoGg=0,"NO",('Activity data'!BJ6*EF!$H37*EF!AI55)*NtoN2O*kgtoGg)</f>
        <v>0.29717673443752812</v>
      </c>
      <c r="BK37" s="29">
        <f>IF(('Activity data'!BK6*EF!$H37*EF!AJ55)*NtoN2O*kgtoGg=0,"NO",('Activity data'!BK6*EF!$H37*EF!AJ55)*NtoN2O*kgtoGg)</f>
        <v>0.29918389251539945</v>
      </c>
      <c r="BL37" s="29">
        <f>IF(('Activity data'!BL6*EF!$H37*EF!AK55)*NtoN2O*kgtoGg=0,"NO",('Activity data'!BL6*EF!$H37*EF!AK55)*NtoN2O*kgtoGg)</f>
        <v>0.30120754918742149</v>
      </c>
      <c r="BM37" s="29">
        <f>IF(('Activity data'!BM6*EF!$H37*EF!AL55)*NtoN2O*kgtoGg=0,"NO",('Activity data'!BM6*EF!$H37*EF!AL55)*NtoN2O*kgtoGg)</f>
        <v>0.30328300665986785</v>
      </c>
      <c r="BN37" s="29">
        <f>IF(('Activity data'!BN6*EF!$H37*EF!AM55)*NtoN2O*kgtoGg=0,"NO",('Activity data'!BN6*EF!$H37*EF!AM55)*NtoN2O*kgtoGg)</f>
        <v>0.30537145398093279</v>
      </c>
      <c r="BO37" s="29">
        <f>IF(('Activity data'!BO6*EF!$H37*EF!AN55)*NtoN2O*kgtoGg=0,"NO",('Activity data'!BO6*EF!$H37*EF!AN55)*NtoN2O*kgtoGg)</f>
        <v>0.30751639689033122</v>
      </c>
      <c r="BP37" s="29">
        <f>IF(('Activity data'!BP6*EF!$H37*EF!AO55)*NtoN2O*kgtoGg=0,"NO",('Activity data'!BP6*EF!$H37*EF!AO55)*NtoN2O*kgtoGg)</f>
        <v>0.30972254988144499</v>
      </c>
    </row>
    <row r="38" spans="1:68" x14ac:dyDescent="0.25">
      <c r="A38" t="str">
        <f t="shared" si="1"/>
        <v>3A Livestock</v>
      </c>
      <c r="B38" t="str">
        <f t="shared" ref="B38:B53" si="11">B37</f>
        <v>3A2 Manure management (N2O)</v>
      </c>
      <c r="C38" t="str">
        <f>EF!C56</f>
        <v>3A1aii Other cattle</v>
      </c>
      <c r="D38" t="str">
        <f>EF!D56</f>
        <v>Non-lactating</v>
      </c>
      <c r="E38" t="str">
        <f t="shared" si="9"/>
        <v>Manure management Emissions</v>
      </c>
      <c r="F38" t="s">
        <v>143</v>
      </c>
      <c r="G38" t="str">
        <f t="shared" si="10"/>
        <v>Gg N2O</v>
      </c>
      <c r="H38" s="29">
        <f>IF(('Activity data'!H7*EF!$H38*EF!$H56)*NtoN2O*kgtoGg=0,"NO",('Activity data'!H7*EF!$H38*EF!$H56)*NtoN2O*kgtoGg)</f>
        <v>1.1183611918471593E-2</v>
      </c>
      <c r="I38" s="29">
        <f>IF(('Activity data'!I7*EF!$H38*EF!$H56)*NtoN2O*kgtoGg=0,"NO",('Activity data'!I7*EF!$H38*EF!$H56)*NtoN2O*kgtoGg)</f>
        <v>1.2711960166782875E-2</v>
      </c>
      <c r="J38" s="29">
        <f>IF(('Activity data'!J7*EF!$H38*EF!$H56)*NtoN2O*kgtoGg=0,"NO",('Activity data'!J7*EF!$H38*EF!$H56)*NtoN2O*kgtoGg)</f>
        <v>1.0995878646861469E-2</v>
      </c>
      <c r="K38" s="29">
        <f>IF(('Activity data'!K7*EF!$H38*EF!$H56)*NtoN2O*kgtoGg=0,"NO",('Activity data'!K7*EF!$H38*EF!$H56)*NtoN2O*kgtoGg)</f>
        <v>1.1507534902584429E-2</v>
      </c>
      <c r="L38" s="29">
        <f>IF(('Activity data'!L7*EF!$H38*EF!$H56)*NtoN2O*kgtoGg=0,"NO",('Activity data'!L7*EF!$H38*EF!$H56)*NtoN2O*kgtoGg)</f>
        <v>1.0244945560421E-2</v>
      </c>
      <c r="M38" s="29">
        <f>IF(('Activity data'!M7*EF!$H38*EF!$H56)*NtoN2O*kgtoGg=0,"NO",('Activity data'!M7*EF!$H38*EF!$H56)*NtoN2O*kgtoGg)</f>
        <v>1.1132068359364188E-2</v>
      </c>
      <c r="N38" s="29">
        <f>IF(('Activity data'!N7*EF!$H38*EF!$H56)*NtoN2O*kgtoGg=0,"NO",('Activity data'!N7*EF!$H38*EF!$H56)*NtoN2O*kgtoGg)</f>
        <v>1.1319801630974307E-2</v>
      </c>
      <c r="O38" s="29">
        <f>IF(('Activity data'!O7*EF!$H38*EF!$H56)*NtoN2O*kgtoGg=0,"NO",('Activity data'!O7*EF!$H38*EF!$H56)*NtoN2O*kgtoGg)</f>
        <v>1.0937714568896487E-2</v>
      </c>
      <c r="P38" s="29">
        <f>IF(('Activity data'!P7*EF!$H38*EF!$H56)*NtoN2O*kgtoGg=0,"NO",('Activity data'!P7*EF!$H38*EF!$H56)*NtoN2O*kgtoGg)</f>
        <v>1.0374514754066132E-2</v>
      </c>
      <c r="Q38" s="29">
        <f>IF(('Activity data'!Q7*EF!$H38*EF!$H56)*NtoN2O*kgtoGg=0,"NO",('Activity data'!Q7*EF!$H38*EF!$H56)*NtoN2O*kgtoGg)</f>
        <v>1.0931094050038906E-2</v>
      </c>
      <c r="R38" s="29">
        <f>IF(('Activity data'!R7*EF!$H38*EF!$H56)*NtoN2O*kgtoGg=0,"NO",('Activity data'!R7*EF!$H38*EF!$H56)*NtoN2O*kgtoGg)</f>
        <v>1.3547539406618663E-2</v>
      </c>
      <c r="S38" s="29">
        <f>IF(('Activity data'!S7*EF!$H38*EF!$H56)*NtoN2O*kgtoGg=0,"NO",('Activity data'!S7*EF!$H38*EF!$H56)*NtoN2O*kgtoGg)</f>
        <v>1.3359806135008544E-2</v>
      </c>
      <c r="T38" s="29">
        <f>IF(('Activity data'!T7*EF!$H38*EF!$H56)*NtoN2O*kgtoGg=0,"NO",('Activity data'!T7*EF!$H38*EF!$H56)*NtoN2O*kgtoGg)</f>
        <v>1.2265088507882486E-2</v>
      </c>
      <c r="U38" s="29">
        <f>IF(('Activity data'!U7*EF!$H38*EF!$H56)*NtoN2O*kgtoGg=0,"NO",('Activity data'!U7*EF!$H38*EF!$H56)*NtoN2O*kgtoGg)</f>
        <v>1.0374514754066132E-2</v>
      </c>
      <c r="V38" s="29">
        <f>IF(('Activity data'!V7*EF!$H38*EF!$H56)*NtoN2O*kgtoGg=0,"NO",('Activity data'!V7*EF!$H38*EF!$H56)*NtoN2O*kgtoGg)</f>
        <v>9.6817457455906381E-3</v>
      </c>
      <c r="W38" s="29">
        <f>IF(('Activity data'!W7*EF!$H38*EF!$H56)*NtoN2O*kgtoGg=0,"NO",('Activity data'!W7*EF!$H38*EF!$H56)*NtoN2O*kgtoGg)</f>
        <v>1.0568868544533832E-2</v>
      </c>
      <c r="X38" s="29">
        <f>IF(('Activity data'!X7*EF!$H38*EF!$H56)*NtoN2O*kgtoGg=0,"NO",('Activity data'!X7*EF!$H38*EF!$H56)*NtoN2O*kgtoGg)</f>
        <v>1.0439299350888697E-2</v>
      </c>
      <c r="Y38" s="29">
        <f>IF(('Activity data'!Y7*EF!$H38*EF!$H56)*NtoN2O*kgtoGg=0,"NO",('Activity data'!Y7*EF!$H38*EF!$H56)*NtoN2O*kgtoGg)</f>
        <v>1.0562248025676249E-2</v>
      </c>
      <c r="Z38" s="29">
        <f>IF(('Activity data'!Z7*EF!$H38*EF!$H56)*NtoN2O*kgtoGg=0,"NO",('Activity data'!Z7*EF!$H38*EF!$H56)*NtoN2O*kgtoGg)</f>
        <v>1.2356355180135385E-2</v>
      </c>
      <c r="AA38" s="29">
        <f>IF(('Activity data'!AA7*EF!$H38*EF!$H56)*NtoN2O*kgtoGg=0,"NO",('Activity data'!AA7*EF!$H38*EF!$H56)*NtoN2O*kgtoGg)</f>
        <v>1.2861390917000753E-2</v>
      </c>
      <c r="AB38" s="29">
        <f>IF(('Activity data'!AB7*EF!$H38*EF!$H56)*NtoN2O*kgtoGg=0,"NO",('Activity data'!AB7*EF!$H38*EF!$H56)*NtoN2O*kgtoGg)</f>
        <v>1.2861390917000753E-2</v>
      </c>
      <c r="AC38" s="29">
        <f>IF(('Activity data'!AC7*EF!$H38*EF!$H56)*NtoN2O*kgtoGg=0,"NO",('Activity data'!AC7*EF!$H38*EF!$H56)*NtoN2O*kgtoGg)</f>
        <v>1.2103837311702698E-2</v>
      </c>
      <c r="AD38" s="29">
        <f>IF(('Activity data'!AD7*EF!$H38*EF!$H56)*NtoN2O*kgtoGg=0,"NO",('Activity data'!AD7*EF!$H38*EF!$H56)*NtoN2O*kgtoGg)</f>
        <v>1.1844698924412424E-2</v>
      </c>
      <c r="AE38" s="29">
        <f>IF(('Activity data'!AE7*EF!$H38*EF!$H56)*NtoN2O*kgtoGg=0,"NO",('Activity data'!AE7*EF!$H38*EF!$H56)*NtoN2O*kgtoGg)</f>
        <v>1.3359806135008544E-2</v>
      </c>
      <c r="AF38" s="29">
        <f>IF(('Activity data'!AF7*EF!$H38*EF!$H56)*NtoN2O*kgtoGg=0,"NO",('Activity data'!AF7*EF!$H38*EF!$H56)*NtoN2O*kgtoGg)</f>
        <v>1.197426811805756E-2</v>
      </c>
      <c r="AG38" s="29">
        <f>IF(('Activity data'!AG7*EF!$H38*EF!$H56)*NtoN2O*kgtoGg=0,"NO",('Activity data'!AG7*EF!$H38*EF!$H56)*NtoN2O*kgtoGg)</f>
        <v>1.1728370768482457E-2</v>
      </c>
      <c r="AH38" s="29">
        <f>IF(('Activity data'!AH7*EF!$H38*EF!$H56)*NtoN2O*kgtoGg=0,"NO",('Activity data'!AH7*EF!$H38*EF!$H56)*NtoN2O*kgtoGg)</f>
        <v>1.1987509155772725E-2</v>
      </c>
      <c r="AI38" s="29">
        <f>IF(('Activity data'!AI7*EF!$H38*EF!H56)*NtoN2O*kgtoGg=0,"NO",('Activity data'!AI7*EF!$H38*EF!H56)*NtoN2O*kgtoGg)</f>
        <v>1.319193441997117E-2</v>
      </c>
      <c r="AJ38" s="29">
        <f>IF(('Activity data'!AJ7*EF!$H38*EF!I56)*NtoN2O*kgtoGg=0,"NO",('Activity data'!AJ7*EF!$H38*EF!I56)*NtoN2O*kgtoGg)</f>
        <v>1.2571913908779028E-2</v>
      </c>
      <c r="AK38" s="29">
        <f>IF(('Activity data'!AK7*EF!$H38*EF!J56)*NtoN2O*kgtoGg=0,"NO",('Activity data'!AK7*EF!$H38*EF!J56)*NtoN2O*kgtoGg)</f>
        <v>1.260801646154501E-2</v>
      </c>
      <c r="AL38" s="29">
        <f>IF(('Activity data'!AL7*EF!$H38*EF!K56)*NtoN2O*kgtoGg=0,"NO",('Activity data'!AL7*EF!$H38*EF!K56)*NtoN2O*kgtoGg)</f>
        <v>1.25877924457975E-2</v>
      </c>
      <c r="AM38" s="29">
        <f>IF(('Activity data'!AM7*EF!$H38*EF!L56)*NtoN2O*kgtoGg=0,"NO",('Activity data'!AM7*EF!$H38*EF!L56)*NtoN2O*kgtoGg)</f>
        <v>1.2632703190741045E-2</v>
      </c>
      <c r="AN38" s="29">
        <f>IF(('Activity data'!AN7*EF!$H38*EF!M56)*NtoN2O*kgtoGg=0,"NO",('Activity data'!AN7*EF!$H38*EF!M56)*NtoN2O*kgtoGg)</f>
        <v>1.2677041361614409E-2</v>
      </c>
      <c r="AO38" s="29">
        <f>IF(('Activity data'!AO7*EF!$H38*EF!N56)*NtoN2O*kgtoGg=0,"NO",('Activity data'!AO7*EF!$H38*EF!N56)*NtoN2O*kgtoGg)</f>
        <v>1.2721508059573195E-2</v>
      </c>
      <c r="AP38" s="29">
        <f>IF(('Activity data'!AP7*EF!$H38*EF!O56)*NtoN2O*kgtoGg=0,"NO",('Activity data'!AP7*EF!$H38*EF!O56)*NtoN2O*kgtoGg)</f>
        <v>1.2765481851564444E-2</v>
      </c>
      <c r="AQ38" s="29">
        <f>IF(('Activity data'!AQ7*EF!$H38*EF!P56)*NtoN2O*kgtoGg=0,"NO",('Activity data'!AQ7*EF!$H38*EF!P56)*NtoN2O*kgtoGg)</f>
        <v>1.2810027364279539E-2</v>
      </c>
      <c r="AR38" s="29">
        <f>IF(('Activity data'!AR7*EF!$H38*EF!Q56)*NtoN2O*kgtoGg=0,"NO",('Activity data'!AR7*EF!$H38*EF!Q56)*NtoN2O*kgtoGg)</f>
        <v>1.2859738407091658E-2</v>
      </c>
      <c r="AS38" s="29">
        <f>IF(('Activity data'!AS7*EF!$H38*EF!R56)*NtoN2O*kgtoGg=0,"NO",('Activity data'!AS7*EF!$H38*EF!R56)*NtoN2O*kgtoGg)</f>
        <v>1.2909297860586814E-2</v>
      </c>
      <c r="AT38" s="29">
        <f>IF(('Activity data'!AT7*EF!$H38*EF!S56)*NtoN2O*kgtoGg=0,"NO",('Activity data'!AT7*EF!$H38*EF!S56)*NtoN2O*kgtoGg)</f>
        <v>1.2959631189798222E-2</v>
      </c>
      <c r="AU38" s="29">
        <f>IF(('Activity data'!AU7*EF!$H38*EF!T56)*NtoN2O*kgtoGg=0,"NO",('Activity data'!AU7*EF!$H38*EF!T56)*NtoN2O*kgtoGg)</f>
        <v>1.3010539149298592E-2</v>
      </c>
      <c r="AV38" s="29">
        <f>IF(('Activity data'!AV7*EF!$H38*EF!U56)*NtoN2O*kgtoGg=0,"NO",('Activity data'!AV7*EF!$H38*EF!U56)*NtoN2O*kgtoGg)</f>
        <v>1.3062074187066099E-2</v>
      </c>
      <c r="AW38" s="29">
        <f>IF(('Activity data'!AW7*EF!$H38*EF!V56)*NtoN2O*kgtoGg=0,"NO",('Activity data'!AW7*EF!$H38*EF!V56)*NtoN2O*kgtoGg)</f>
        <v>1.3116166529928268E-2</v>
      </c>
      <c r="AX38" s="29">
        <f>IF(('Activity data'!AX7*EF!$H38*EF!W56)*NtoN2O*kgtoGg=0,"NO",('Activity data'!AX7*EF!$H38*EF!W56)*NtoN2O*kgtoGg)</f>
        <v>1.3169227942338676E-2</v>
      </c>
      <c r="AY38" s="29">
        <f>IF(('Activity data'!AY7*EF!$H38*EF!X56)*NtoN2O*kgtoGg=0,"NO",('Activity data'!AY7*EF!$H38*EF!X56)*NtoN2O*kgtoGg)</f>
        <v>1.3224614614654561E-2</v>
      </c>
      <c r="AZ38" s="29">
        <f>IF(('Activity data'!AZ7*EF!$H38*EF!Y56)*NtoN2O*kgtoGg=0,"NO",('Activity data'!AZ7*EF!$H38*EF!Y56)*NtoN2O*kgtoGg)</f>
        <v>1.3281626845518859E-2</v>
      </c>
      <c r="BA38" s="29">
        <f>IF(('Activity data'!BA7*EF!$H38*EF!Z56)*NtoN2O*kgtoGg=0,"NO",('Activity data'!BA7*EF!$H38*EF!Z56)*NtoN2O*kgtoGg)</f>
        <v>1.3340352617690742E-2</v>
      </c>
      <c r="BB38" s="29">
        <f>IF(('Activity data'!BB7*EF!$H38*EF!AA56)*NtoN2O*kgtoGg=0,"NO",('Activity data'!BB7*EF!$H38*EF!AA56)*NtoN2O*kgtoGg)</f>
        <v>1.3401124602201903E-2</v>
      </c>
      <c r="BC38" s="29">
        <f>IF(('Activity data'!BC7*EF!$H38*EF!AB56)*NtoN2O*kgtoGg=0,"NO",('Activity data'!BC7*EF!$H38*EF!AB56)*NtoN2O*kgtoGg)</f>
        <v>1.3463075211156954E-2</v>
      </c>
      <c r="BD38" s="29">
        <f>IF(('Activity data'!BD7*EF!$H38*EF!AC56)*NtoN2O*kgtoGg=0,"NO",('Activity data'!BD7*EF!$H38*EF!AC56)*NtoN2O*kgtoGg)</f>
        <v>1.3525463673736367E-2</v>
      </c>
      <c r="BE38" s="29">
        <f>IF(('Activity data'!BE7*EF!$H38*EF!AD56)*NtoN2O*kgtoGg=0,"NO",('Activity data'!BE7*EF!$H38*EF!AD56)*NtoN2O*kgtoGg)</f>
        <v>1.3589041876707276E-2</v>
      </c>
      <c r="BF38" s="29">
        <f>IF(('Activity data'!BF7*EF!$H38*EF!AE56)*NtoN2O*kgtoGg=0,"NO",('Activity data'!BF7*EF!$H38*EF!AE56)*NtoN2O*kgtoGg)</f>
        <v>1.3654475582805694E-2</v>
      </c>
      <c r="BG38" s="29">
        <f>IF(('Activity data'!BG7*EF!$H38*EF!AF56)*NtoN2O*kgtoGg=0,"NO",('Activity data'!BG7*EF!$H38*EF!AF56)*NtoN2O*kgtoGg)</f>
        <v>1.3725946265856567E-2</v>
      </c>
      <c r="BH38" s="29">
        <f>IF(('Activity data'!BH7*EF!$H38*EF!AG56)*NtoN2O*kgtoGg=0,"NO",('Activity data'!BH7*EF!$H38*EF!AG56)*NtoN2O*kgtoGg)</f>
        <v>1.379884135840985E-2</v>
      </c>
      <c r="BI38" s="29">
        <f>IF(('Activity data'!BI7*EF!$H38*EF!AH56)*NtoN2O*kgtoGg=0,"NO",('Activity data'!BI7*EF!$H38*EF!AH56)*NtoN2O*kgtoGg)</f>
        <v>1.3873079662409638E-2</v>
      </c>
      <c r="BJ38" s="29">
        <f>IF(('Activity data'!BJ7*EF!$H38*EF!AI56)*NtoN2O*kgtoGg=0,"NO",('Activity data'!BJ7*EF!$H38*EF!AI56)*NtoN2O*kgtoGg)</f>
        <v>1.3948861604275012E-2</v>
      </c>
      <c r="BK38" s="29">
        <f>IF(('Activity data'!BK7*EF!$H38*EF!AJ56)*NtoN2O*kgtoGg=0,"NO",('Activity data'!BK7*EF!$H38*EF!AJ56)*NtoN2O*kgtoGg)</f>
        <v>1.4026981824482858E-2</v>
      </c>
      <c r="BL38" s="29">
        <f>IF(('Activity data'!BL7*EF!$H38*EF!AK56)*NtoN2O*kgtoGg=0,"NO",('Activity data'!BL7*EF!$H38*EF!AK56)*NtoN2O*kgtoGg)</f>
        <v>1.4105744183355515E-2</v>
      </c>
      <c r="BM38" s="29">
        <f>IF(('Activity data'!BM7*EF!$H38*EF!AL56)*NtoN2O*kgtoGg=0,"NO",('Activity data'!BM7*EF!$H38*EF!AL56)*NtoN2O*kgtoGg)</f>
        <v>1.4186522671391432E-2</v>
      </c>
      <c r="BN38" s="29">
        <f>IF(('Activity data'!BN7*EF!$H38*EF!AM56)*NtoN2O*kgtoGg=0,"NO",('Activity data'!BN7*EF!$H38*EF!AM56)*NtoN2O*kgtoGg)</f>
        <v>1.4267806734870431E-2</v>
      </c>
      <c r="BO38" s="29">
        <f>IF(('Activity data'!BO7*EF!$H38*EF!AN56)*NtoN2O*kgtoGg=0,"NO",('Activity data'!BO7*EF!$H38*EF!AN56)*NtoN2O*kgtoGg)</f>
        <v>1.4351289652465633E-2</v>
      </c>
      <c r="BP38" s="29">
        <f>IF(('Activity data'!BP7*EF!$H38*EF!AO56)*NtoN2O*kgtoGg=0,"NO",('Activity data'!BP7*EF!$H38*EF!AO56)*NtoN2O*kgtoGg)</f>
        <v>1.4437154916082929E-2</v>
      </c>
    </row>
    <row r="39" spans="1:68" x14ac:dyDescent="0.25">
      <c r="A39" t="str">
        <f t="shared" si="1"/>
        <v>3A Livestock</v>
      </c>
      <c r="B39" t="str">
        <f t="shared" si="11"/>
        <v>3A2 Manure management (N2O)</v>
      </c>
      <c r="C39" t="str">
        <f>EF!C57</f>
        <v>3A1aii Other cattle</v>
      </c>
      <c r="D39" t="str">
        <f>EF!D57</f>
        <v>Commercial</v>
      </c>
      <c r="E39" t="str">
        <f>E37</f>
        <v>Manure management Emissions</v>
      </c>
      <c r="F39" t="s">
        <v>143</v>
      </c>
      <c r="G39" t="str">
        <f>G37</f>
        <v>Gg N2O</v>
      </c>
      <c r="H39" s="29">
        <f>IF(('Activity data'!H8*EF!$H39*EF!$H57)*NtoN2O*kgtoGg=0,"NO",('Activity data'!H8*EF!$H39*EF!$H57)*NtoN2O*kgtoGg)</f>
        <v>0.60130464628072355</v>
      </c>
      <c r="I39" s="29">
        <f>IF(('Activity data'!I8*EF!$H39*EF!$H57)*NtoN2O*kgtoGg=0,"NO",('Activity data'!I8*EF!$H39*EF!$H57)*NtoN2O*kgtoGg)</f>
        <v>0.57535110604783257</v>
      </c>
      <c r="J39" s="29">
        <f>IF(('Activity data'!J8*EF!$H39*EF!$H57)*NtoN2O*kgtoGg=0,"NO",('Activity data'!J8*EF!$H39*EF!$H57)*NtoN2O*kgtoGg)</f>
        <v>0.57514205938404817</v>
      </c>
      <c r="K39" s="29">
        <f>IF(('Activity data'!K8*EF!$H39*EF!$H57)*NtoN2O*kgtoGg=0,"NO",('Activity data'!K8*EF!$H39*EF!$H57)*NtoN2O*kgtoGg)</f>
        <v>0.53806582535232794</v>
      </c>
      <c r="L39" s="29">
        <f>IF(('Activity data'!L8*EF!$H39*EF!$H57)*NtoN2O*kgtoGg=0,"NO",('Activity data'!L8*EF!$H39*EF!$H57)*NtoN2O*kgtoGg)</f>
        <v>0.55428678799788489</v>
      </c>
      <c r="M39" s="29">
        <f>IF(('Activity data'!M8*EF!$H39*EF!$H57)*NtoN2O*kgtoGg=0,"NO",('Activity data'!M8*EF!$H39*EF!$H57)*NtoN2O*kgtoGg)</f>
        <v>0.56688956745844588</v>
      </c>
      <c r="N39" s="29">
        <f>IF(('Activity data'!N8*EF!$H39*EF!$H57)*NtoN2O*kgtoGg=0,"NO",('Activity data'!N8*EF!$H39*EF!$H57)*NtoN2O*kgtoGg)</f>
        <v>0.59040599405405159</v>
      </c>
      <c r="O39" s="29">
        <f>IF(('Activity data'!O8*EF!$H39*EF!$H57)*NtoN2O*kgtoGg=0,"NO",('Activity data'!O8*EF!$H39*EF!$H57)*NtoN2O*kgtoGg)</f>
        <v>0.61277134091869179</v>
      </c>
      <c r="P39" s="29">
        <f>IF(('Activity data'!P8*EF!$H39*EF!$H57)*NtoN2O*kgtoGg=0,"NO",('Activity data'!P8*EF!$H39*EF!$H57)*NtoN2O*kgtoGg)</f>
        <v>0.6180786564292039</v>
      </c>
      <c r="Q39" s="29">
        <f>IF(('Activity data'!Q8*EF!$H39*EF!$H57)*NtoN2O*kgtoGg=0,"NO",('Activity data'!Q8*EF!$H39*EF!$H57)*NtoN2O*kgtoGg)</f>
        <v>0.60807705254459443</v>
      </c>
      <c r="R39" s="29">
        <f>IF(('Activity data'!R8*EF!$H39*EF!$H57)*NtoN2O*kgtoGg=0,"NO",('Activity data'!R8*EF!$H39*EF!$H57)*NtoN2O*kgtoGg)</f>
        <v>0.56676960819146394</v>
      </c>
      <c r="S39" s="29">
        <f>IF(('Activity data'!S8*EF!$H39*EF!$H57)*NtoN2O*kgtoGg=0,"NO",('Activity data'!S8*EF!$H39*EF!$H57)*NtoN2O*kgtoGg)</f>
        <v>0.56971478460655445</v>
      </c>
      <c r="T39" s="29">
        <f>IF(('Activity data'!T8*EF!$H39*EF!$H57)*NtoN2O*kgtoGg=0,"NO",('Activity data'!T8*EF!$H39*EF!$H57)*NtoN2O*kgtoGg)</f>
        <v>0.53097940806606359</v>
      </c>
      <c r="U39" s="29">
        <f>IF(('Activity data'!U8*EF!$H39*EF!$H57)*NtoN2O*kgtoGg=0,"NO",('Activity data'!U8*EF!$H39*EF!$H57)*NtoN2O*kgtoGg)</f>
        <v>0.54486822143294433</v>
      </c>
      <c r="V39" s="29">
        <f>IF(('Activity data'!V8*EF!$H39*EF!$H57)*NtoN2O*kgtoGg=0,"NO",('Activity data'!V8*EF!$H39*EF!$H57)*NtoN2O*kgtoGg)</f>
        <v>0.54989151573780826</v>
      </c>
      <c r="W39" s="29">
        <f>IF(('Activity data'!W8*EF!$H39*EF!$H57)*NtoN2O*kgtoGg=0,"NO",('Activity data'!W8*EF!$H39*EF!$H57)*NtoN2O*kgtoGg)</f>
        <v>0.55455581429516021</v>
      </c>
      <c r="X39" s="29">
        <f>IF(('Activity data'!X8*EF!$H39*EF!$H57)*NtoN2O*kgtoGg=0,"NO",('Activity data'!X8*EF!$H39*EF!$H57)*NtoN2O*kgtoGg)</f>
        <v>0.54192304501785393</v>
      </c>
      <c r="Y39" s="29">
        <f>IF(('Activity data'!Y8*EF!$H39*EF!$H57)*NtoN2O*kgtoGg=0,"NO",('Activity data'!Y8*EF!$H39*EF!$H57)*NtoN2O*kgtoGg)</f>
        <v>0.55780000682427144</v>
      </c>
      <c r="Z39" s="29">
        <f>IF(('Activity data'!Z8*EF!$H39*EF!$H57)*NtoN2O*kgtoGg=0,"NO",('Activity data'!Z8*EF!$H39*EF!$H57)*NtoN2O*kgtoGg)</f>
        <v>0.54229988029606202</v>
      </c>
      <c r="AA39" s="29">
        <f>IF(('Activity data'!AA8*EF!$H39*EF!$H57)*NtoN2O*kgtoGg=0,"NO",('Activity data'!AA8*EF!$H39*EF!$H57)*NtoN2O*kgtoGg)</f>
        <v>0.53319429569117582</v>
      </c>
      <c r="AB39" s="29">
        <f>IF(('Activity data'!AB8*EF!$H39*EF!$H57)*NtoN2O*kgtoGg=0,"NO",('Activity data'!AB8*EF!$H39*EF!$H57)*NtoN2O*kgtoGg)</f>
        <v>0.53151813690158023</v>
      </c>
      <c r="AC39" s="29">
        <f>IF(('Activity data'!AC8*EF!$H39*EF!$H57)*NtoN2O*kgtoGg=0,"NO",('Activity data'!AC8*EF!$H39*EF!$H57)*NtoN2O*kgtoGg)</f>
        <v>0.52960956438265261</v>
      </c>
      <c r="AD39" s="29">
        <f>IF(('Activity data'!AD8*EF!$H39*EF!$H57)*NtoN2O*kgtoGg=0,"NO",('Activity data'!AD8*EF!$H39*EF!$H57)*NtoN2O*kgtoGg)</f>
        <v>0.62673127719410926</v>
      </c>
      <c r="AE39" s="29">
        <f>IF(('Activity data'!AE8*EF!$H39*EF!$H57)*NtoN2O*kgtoGg=0,"NO",('Activity data'!AE8*EF!$H39*EF!$H57)*NtoN2O*kgtoGg)</f>
        <v>0.52008613636533707</v>
      </c>
      <c r="AF39" s="29">
        <f>IF(('Activity data'!AF8*EF!$H39*EF!$H57)*NtoN2O*kgtoGg=0,"NO",('Activity data'!AF8*EF!$H39*EF!$H57)*NtoN2O*kgtoGg)</f>
        <v>0.53204007732007563</v>
      </c>
      <c r="AG39" s="29">
        <f>IF(('Activity data'!AG8*EF!$H39*EF!$H57)*NtoN2O*kgtoGg=0,"NO",('Activity data'!AG8*EF!$H39*EF!$H57)*NtoN2O*kgtoGg)</f>
        <v>0.51983466293139202</v>
      </c>
      <c r="AH39" s="29">
        <f>IF(('Activity data'!AH8*EF!$H39*EF!$H57)*NtoN2O*kgtoGg=0,"NO",('Activity data'!AH8*EF!$H39*EF!$H57)*NtoN2O*kgtoGg)</f>
        <v>0.49493464731970044</v>
      </c>
      <c r="AI39" s="29">
        <f>IF(('Activity data'!AI8*EF!$H39*EF!$H57)*NtoN2O*kgtoGg=0,"NO",('Activity data'!AI8*EF!$H39*EF!H57)*NtoN2O*kgtoGg)</f>
        <v>0.46046937965704576</v>
      </c>
      <c r="AJ39" s="29">
        <f>IF(('Activity data'!AJ8*EF!$H39*EF!$H57)*NtoN2O*kgtoGg=0,"NO",('Activity data'!AJ8*EF!$H39*EF!I57)*NtoN2O*kgtoGg)</f>
        <v>0.51593467976228902</v>
      </c>
      <c r="AK39" s="29">
        <f>IF(('Activity data'!AK8*EF!$H39*EF!$H57)*NtoN2O*kgtoGg=0,"NO",('Activity data'!AK8*EF!$H39*EF!J57)*NtoN2O*kgtoGg)</f>
        <v>0.51436790852891912</v>
      </c>
      <c r="AL39" s="29">
        <f>IF(('Activity data'!AL8*EF!$H39*EF!$H57)*NtoN2O*kgtoGg=0,"NO",('Activity data'!AL8*EF!$H39*EF!K57)*NtoN2O*kgtoGg)</f>
        <v>0.51507672172751107</v>
      </c>
      <c r="AM39" s="29">
        <f>IF(('Activity data'!AM8*EF!$H39*EF!$H57)*NtoN2O*kgtoGg=0,"NO",('Activity data'!AM8*EF!$H39*EF!L57)*NtoN2O*kgtoGg)</f>
        <v>0.51315262809227624</v>
      </c>
      <c r="AN39" s="29">
        <f>IF(('Activity data'!AN8*EF!$H39*EF!$H57)*NtoN2O*kgtoGg=0,"NO",('Activity data'!AN8*EF!$H39*EF!M57)*NtoN2O*kgtoGg)</f>
        <v>0.51125166636066488</v>
      </c>
      <c r="AO39" s="29">
        <f>IF(('Activity data'!AO8*EF!$H39*EF!$H57)*NtoN2O*kgtoGg=0,"NO",('Activity data'!AO8*EF!$H39*EF!N57)*NtoN2O*kgtoGg)</f>
        <v>0.50934551215519286</v>
      </c>
      <c r="AP39" s="29">
        <f>IF(('Activity data'!AP8*EF!$H39*EF!$H57)*NtoN2O*kgtoGg=0,"NO",('Activity data'!AP8*EF!$H39*EF!O57)*NtoN2O*kgtoGg)</f>
        <v>0.50745927127261181</v>
      </c>
      <c r="AQ39" s="29">
        <f>IF(('Activity data'!AQ8*EF!$H39*EF!$H57)*NtoN2O*kgtoGg=0,"NO",('Activity data'!AQ8*EF!$H39*EF!P57)*NtoN2O*kgtoGg)</f>
        <v>0.50554993296146344</v>
      </c>
      <c r="AR39" s="29">
        <f>IF(('Activity data'!AR8*EF!$H39*EF!$H57)*NtoN2O*kgtoGg=0,"NO",('Activity data'!AR8*EF!$H39*EF!Q57)*NtoN2O*kgtoGg)</f>
        <v>0.50342275931806435</v>
      </c>
      <c r="AS39" s="29">
        <f>IF(('Activity data'!AS8*EF!$H39*EF!$H57)*NtoN2O*kgtoGg=0,"NO",('Activity data'!AS8*EF!$H39*EF!R57)*NtoN2O*kgtoGg)</f>
        <v>0.50130170985902123</v>
      </c>
      <c r="AT39" s="29">
        <f>IF(('Activity data'!AT8*EF!$H39*EF!$H57)*NtoN2O*kgtoGg=0,"NO",('Activity data'!AT8*EF!$H39*EF!S57)*NtoN2O*kgtoGg)</f>
        <v>0.49914939594381408</v>
      </c>
      <c r="AU39" s="29">
        <f>IF(('Activity data'!AU8*EF!$H39*EF!$H57)*NtoN2O*kgtoGg=0,"NO",('Activity data'!AU8*EF!$H39*EF!T57)*NtoN2O*kgtoGg)</f>
        <v>0.49697386705609531</v>
      </c>
      <c r="AV39" s="29">
        <f>IF(('Activity data'!AV8*EF!$H39*EF!$H57)*NtoN2O*kgtoGg=0,"NO",('Activity data'!AV8*EF!$H39*EF!U57)*NtoN2O*kgtoGg)</f>
        <v>0.49477300430586807</v>
      </c>
      <c r="AW39" s="29">
        <f>IF(('Activity data'!AW8*EF!$H39*EF!$H57)*NtoN2O*kgtoGg=0,"NO",('Activity data'!AW8*EF!$H39*EF!V57)*NtoN2O*kgtoGg)</f>
        <v>0.49247286199253404</v>
      </c>
      <c r="AX39" s="29">
        <f>IF(('Activity data'!AX8*EF!$H39*EF!$H57)*NtoN2O*kgtoGg=0,"NO",('Activity data'!AX8*EF!$H39*EF!W57)*NtoN2O*kgtoGg)</f>
        <v>0.49021436910792349</v>
      </c>
      <c r="AY39" s="29">
        <f>IF(('Activity data'!AY8*EF!$H39*EF!$H57)*NtoN2O*kgtoGg=0,"NO",('Activity data'!AY8*EF!$H39*EF!X57)*NtoN2O*kgtoGg)</f>
        <v>0.48786193608999967</v>
      </c>
      <c r="AZ39" s="29">
        <f>IF(('Activity data'!AZ8*EF!$H39*EF!$H57)*NtoN2O*kgtoGg=0,"NO",('Activity data'!AZ8*EF!$H39*EF!Y57)*NtoN2O*kgtoGg)</f>
        <v>0.48544383076663317</v>
      </c>
      <c r="BA39" s="29">
        <f>IF(('Activity data'!BA8*EF!$H39*EF!$H57)*NtoN2O*kgtoGg=0,"NO",('Activity data'!BA8*EF!$H39*EF!Z57)*NtoN2O*kgtoGg)</f>
        <v>0.48295649864628687</v>
      </c>
      <c r="BB39" s="29">
        <f>IF(('Activity data'!BB8*EF!$H39*EF!$H57)*NtoN2O*kgtoGg=0,"NO",('Activity data'!BB8*EF!$H39*EF!AA57)*NtoN2O*kgtoGg)</f>
        <v>0.48038198574924518</v>
      </c>
      <c r="BC39" s="29">
        <f>IF(('Activity data'!BC8*EF!$H39*EF!$H57)*NtoN2O*kgtoGg=0,"NO",('Activity data'!BC8*EF!$H39*EF!AB57)*NtoN2O*kgtoGg)</f>
        <v>0.47775985661165449</v>
      </c>
      <c r="BD39" s="29">
        <f>IF(('Activity data'!BD8*EF!$H39*EF!$H57)*NtoN2O*kgtoGg=0,"NO",('Activity data'!BD8*EF!$H39*EF!AC57)*NtoN2O*kgtoGg)</f>
        <v>0.47512003825912802</v>
      </c>
      <c r="BE39" s="29">
        <f>IF(('Activity data'!BE8*EF!$H39*EF!$H57)*NtoN2O*kgtoGg=0,"NO",('Activity data'!BE8*EF!$H39*EF!AD57)*NtoN2O*kgtoGg)</f>
        <v>0.47243215458150756</v>
      </c>
      <c r="BF39" s="29">
        <f>IF(('Activity data'!BF8*EF!$H39*EF!$H57)*NtoN2O*kgtoGg=0,"NO",('Activity data'!BF8*EF!$H39*EF!AE57)*NtoN2O*kgtoGg)</f>
        <v>0.46966930887190417</v>
      </c>
      <c r="BG39" s="29">
        <f>IF(('Activity data'!BG8*EF!$H39*EF!$H57)*NtoN2O*kgtoGg=0,"NO",('Activity data'!BG8*EF!$H39*EF!AF57)*NtoN2O*kgtoGg)</f>
        <v>0.46664568105541004</v>
      </c>
      <c r="BH39" s="29">
        <f>IF(('Activity data'!BH8*EF!$H39*EF!$H57)*NtoN2O*kgtoGg=0,"NO",('Activity data'!BH8*EF!$H39*EF!AG57)*NtoN2O*kgtoGg)</f>
        <v>0.46356450732302107</v>
      </c>
      <c r="BI39" s="29">
        <f>IF(('Activity data'!BI8*EF!$H39*EF!$H57)*NtoN2O*kgtoGg=0,"NO",('Activity data'!BI8*EF!$H39*EF!AH57)*NtoN2O*kgtoGg)</f>
        <v>0.46042906805926292</v>
      </c>
      <c r="BJ39" s="29">
        <f>IF(('Activity data'!BJ8*EF!$H39*EF!$H57)*NtoN2O*kgtoGg=0,"NO",('Activity data'!BJ8*EF!$H39*EF!AI57)*NtoN2O*kgtoGg)</f>
        <v>0.45723126607062731</v>
      </c>
      <c r="BK39" s="29">
        <f>IF(('Activity data'!BK8*EF!$H39*EF!$H57)*NtoN2O*kgtoGg=0,"NO",('Activity data'!BK8*EF!$H39*EF!AJ57)*NtoN2O*kgtoGg)</f>
        <v>0.45393899800791387</v>
      </c>
      <c r="BL39" s="29">
        <f>IF(('Activity data'!BL8*EF!$H39*EF!$H57)*NtoN2O*kgtoGg=0,"NO",('Activity data'!BL8*EF!$H39*EF!AK57)*NtoN2O*kgtoGg)</f>
        <v>0.45062559554026799</v>
      </c>
      <c r="BM39" s="29">
        <f>IF(('Activity data'!BM8*EF!$H39*EF!$H57)*NtoN2O*kgtoGg=0,"NO",('Activity data'!BM8*EF!$H39*EF!AL57)*NtoN2O*kgtoGg)</f>
        <v>0.44723074177427669</v>
      </c>
      <c r="BN39" s="29">
        <f>IF(('Activity data'!BN8*EF!$H39*EF!$H57)*NtoN2O*kgtoGg=0,"NO",('Activity data'!BN8*EF!$H39*EF!AM57)*NtoN2O*kgtoGg)</f>
        <v>0.44381546283856749</v>
      </c>
      <c r="BO39" s="29">
        <f>IF(('Activity data'!BO8*EF!$H39*EF!$H57)*NtoN2O*kgtoGg=0,"NO",('Activity data'!BO8*EF!$H39*EF!AN57)*NtoN2O*kgtoGg)</f>
        <v>0.44031135054742832</v>
      </c>
      <c r="BP39" s="29">
        <f>IF(('Activity data'!BP8*EF!$H39*EF!$H57)*NtoN2O*kgtoGg=0,"NO",('Activity data'!BP8*EF!$H39*EF!AO57)*NtoN2O*kgtoGg)</f>
        <v>0.436710991854946</v>
      </c>
    </row>
    <row r="40" spans="1:68" x14ac:dyDescent="0.25">
      <c r="A40" t="str">
        <f t="shared" si="1"/>
        <v>3A Livestock</v>
      </c>
      <c r="B40" t="str">
        <f t="shared" si="11"/>
        <v>3A2 Manure management (N2O)</v>
      </c>
      <c r="C40" t="str">
        <f>EF!C58</f>
        <v>3A1aii Other cattle</v>
      </c>
      <c r="D40" t="str">
        <f>EF!D58</f>
        <v>Subsistence</v>
      </c>
      <c r="E40" t="str">
        <f t="shared" si="9"/>
        <v>Manure management Emissions</v>
      </c>
      <c r="F40" t="s">
        <v>143</v>
      </c>
      <c r="G40" t="str">
        <f t="shared" si="10"/>
        <v>Gg N2O</v>
      </c>
      <c r="H40" s="29">
        <f>IF(('Activity data'!H9*EF!$H40*EF!$H58)*NtoN2O*kgtoGg=0,"NO",('Activity data'!H9*EF!$H40*EF!$H58)*NtoN2O*kgtoGg)</f>
        <v>0.86687656456018569</v>
      </c>
      <c r="I40" s="29">
        <f>IF(('Activity data'!I9*EF!$H40*EF!$H58)*NtoN2O*kgtoGg=0,"NO",('Activity data'!I9*EF!$H40*EF!$H58)*NtoN2O*kgtoGg)</f>
        <v>0.93391095619577136</v>
      </c>
      <c r="J40" s="29">
        <f>IF(('Activity data'!J9*EF!$H40*EF!$H58)*NtoN2O*kgtoGg=0,"NO",('Activity data'!J9*EF!$H40*EF!$H58)*NtoN2O*kgtoGg)</f>
        <v>0.94305200960062396</v>
      </c>
      <c r="K40" s="29">
        <f>IF(('Activity data'!K9*EF!$H40*EF!$H58)*NtoN2O*kgtoGg=0,"NO",('Activity data'!K9*EF!$H40*EF!$H58)*NtoN2O*kgtoGg)</f>
        <v>0.94305200960062374</v>
      </c>
      <c r="L40" s="29">
        <f>IF(('Activity data'!L9*EF!$H40*EF!$H58)*NtoN2O*kgtoGg=0,"NO",('Activity data'!L9*EF!$H40*EF!$H58)*NtoN2O*kgtoGg)</f>
        <v>0.82878884203996683</v>
      </c>
      <c r="M40" s="29">
        <f>IF(('Activity data'!M9*EF!$H40*EF!$H58)*NtoN2O*kgtoGg=0,"NO",('Activity data'!M9*EF!$H40*EF!$H58)*NtoN2O*kgtoGg)</f>
        <v>0.81812427973430535</v>
      </c>
      <c r="N40" s="29">
        <f>IF(('Activity data'!N9*EF!$H40*EF!$H58)*NtoN2O*kgtoGg=0,"NO",('Activity data'!N9*EF!$H40*EF!$H58)*NtoN2O*kgtoGg)</f>
        <v>0.83792989544481933</v>
      </c>
      <c r="O40" s="29">
        <f>IF(('Activity data'!O9*EF!$H40*EF!$H58)*NtoN2O*kgtoGg=0,"NO",('Activity data'!O9*EF!$H40*EF!$H58)*NtoN2O*kgtoGg)</f>
        <v>0.8623060378577595</v>
      </c>
      <c r="P40" s="29">
        <f>IF(('Activity data'!P9*EF!$H40*EF!$H58)*NtoN2O*kgtoGg=0,"NO",('Activity data'!P9*EF!$H40*EF!$H58)*NtoN2O*kgtoGg)</f>
        <v>0.9003937603779788</v>
      </c>
      <c r="Q40" s="29">
        <f>IF(('Activity data'!Q9*EF!$H40*EF!$H58)*NtoN2O*kgtoGg=0,"NO",('Activity data'!Q9*EF!$H40*EF!$H58)*NtoN2O*kgtoGg)</f>
        <v>0.93238744729496259</v>
      </c>
      <c r="R40" s="29">
        <f>IF(('Activity data'!R9*EF!$H40*EF!$H58)*NtoN2O*kgtoGg=0,"NO",('Activity data'!R9*EF!$H40*EF!$H58)*NtoN2O*kgtoGg)</f>
        <v>0.95828709860871153</v>
      </c>
      <c r="S40" s="29">
        <f>IF(('Activity data'!S9*EF!$H40*EF!$H58)*NtoN2O*kgtoGg=0,"NO",('Activity data'!S9*EF!$H40*EF!$H58)*NtoN2O*kgtoGg)</f>
        <v>0.93848148289819766</v>
      </c>
      <c r="T40" s="29">
        <f>IF(('Activity data'!T9*EF!$H40*EF!$H58)*NtoN2O*kgtoGg=0,"NO",('Activity data'!T9*EF!$H40*EF!$H58)*NtoN2O*kgtoGg)</f>
        <v>1.0131334190378269</v>
      </c>
      <c r="U40" s="29">
        <f>IF(('Activity data'!U9*EF!$H40*EF!$H58)*NtoN2O*kgtoGg=0,"NO",('Activity data'!U9*EF!$H40*EF!$H58)*NtoN2O*kgtoGg)</f>
        <v>1.0116099101370184</v>
      </c>
      <c r="V40" s="29">
        <f>IF(('Activity data'!V9*EF!$H40*EF!$H58)*NtoN2O*kgtoGg=0,"NO",('Activity data'!V9*EF!$H40*EF!$H58)*NtoN2O*kgtoGg)</f>
        <v>0.99028078552569576</v>
      </c>
      <c r="W40" s="29">
        <f>IF(('Activity data'!W9*EF!$H40*EF!$H58)*NtoN2O*kgtoGg=0,"NO",('Activity data'!W9*EF!$H40*EF!$H58)*NtoN2O*kgtoGg)</f>
        <v>0.9780927143192254</v>
      </c>
      <c r="X40" s="29">
        <f>IF(('Activity data'!X9*EF!$H40*EF!$H58)*NtoN2O*kgtoGg=0,"NO",('Activity data'!X9*EF!$H40*EF!$H58)*NtoN2O*kgtoGg)</f>
        <v>1.000945347831357</v>
      </c>
      <c r="Y40" s="29">
        <f>IF(('Activity data'!Y9*EF!$H40*EF!$H58)*NtoN2O*kgtoGg=0,"NO",('Activity data'!Y9*EF!$H40*EF!$H58)*NtoN2O*kgtoGg)</f>
        <v>1.0344625436491495</v>
      </c>
      <c r="Z40" s="29">
        <f>IF(('Activity data'!Z9*EF!$H40*EF!$H58)*NtoN2O*kgtoGg=0,"NO",('Activity data'!Z9*EF!$H40*EF!$H58)*NtoN2O*kgtoGg)</f>
        <v>1.0542681593596637</v>
      </c>
      <c r="AA40" s="29">
        <f>IF(('Activity data'!AA9*EF!$H40*EF!$H58)*NtoN2O*kgtoGg=0,"NO",('Activity data'!AA9*EF!$H40*EF!$H58)*NtoN2O*kgtoGg)</f>
        <v>1.0512211415580461</v>
      </c>
      <c r="AB40" s="29">
        <f>IF(('Activity data'!AB9*EF!$H40*EF!$H58)*NtoN2O*kgtoGg=0,"NO",('Activity data'!AB9*EF!$H40*EF!$H58)*NtoN2O*kgtoGg)</f>
        <v>1.0390330703515762</v>
      </c>
      <c r="AC40" s="29">
        <f>IF(('Activity data'!AC9*EF!$H40*EF!$H58)*NtoN2O*kgtoGg=0,"NO",('Activity data'!AC9*EF!$H40*EF!$H58)*NtoN2O*kgtoGg)</f>
        <v>1.0359860525499582</v>
      </c>
      <c r="AD40" s="29">
        <f>IF(('Activity data'!AD9*EF!$H40*EF!$H58)*NtoN2O*kgtoGg=0,"NO",('Activity data'!AD9*EF!$H40*EF!$H58)*NtoN2O*kgtoGg)</f>
        <v>0.89734674257636104</v>
      </c>
      <c r="AE40" s="29">
        <f>IF(('Activity data'!AE9*EF!$H40*EF!$H58)*NtoN2O*kgtoGg=0,"NO",('Activity data'!AE9*EF!$H40*EF!$H58)*NtoN2O*kgtoGg)</f>
        <v>1.0725502661693689</v>
      </c>
      <c r="AF40" s="29">
        <f>IF(('Activity data'!AF9*EF!$H40*EF!$H58)*NtoN2O*kgtoGg=0,"NO",('Activity data'!AF9*EF!$H40*EF!$H58)*NtoN2O*kgtoGg)</f>
        <v>1.0542681593596637</v>
      </c>
      <c r="AG40" s="29">
        <f>IF(('Activity data'!AG9*EF!$H40*EF!$H58)*NtoN2O*kgtoGg=0,"NO",('Activity data'!AG9*EF!$H40*EF!$H58)*NtoN2O*kgtoGg)</f>
        <v>1.0420800881531935</v>
      </c>
      <c r="AH40" s="29">
        <f>IF(('Activity data'!AH9*EF!$H40*EF!$H58)*NtoN2O*kgtoGg=0,"NO",('Activity data'!AH9*EF!$H40*EF!$H58)*NtoN2O*kgtoGg)</f>
        <v>1.0329390347483411</v>
      </c>
      <c r="AI40" s="29">
        <f>IF(('Activity data'!AI9*EF!$H40*EF!H58)*NtoN2O*kgtoGg=0,"NO",('Activity data'!AI9*EF!$H40*EF!H58)*NtoN2O*kgtoGg)</f>
        <v>1.0222744724426793</v>
      </c>
      <c r="AJ40" s="29">
        <f>IF(('Activity data'!AJ9*EF!$H40*EF!I58)*NtoN2O*kgtoGg=0,"NO",('Activity data'!AJ9*EF!$H40*EF!I58)*NtoN2O*kgtoGg)</f>
        <v>1.0617108097087247</v>
      </c>
      <c r="AK40" s="29">
        <f>IF(('Activity data'!AK9*EF!$H40*EF!J58)*NtoN2O*kgtoGg=0,"NO",('Activity data'!AK9*EF!$H40*EF!J58)*NtoN2O*kgtoGg)</f>
        <v>1.1665769376136095</v>
      </c>
      <c r="AL40" s="29">
        <f>IF(('Activity data'!AL9*EF!$H40*EF!K58)*NtoN2O*kgtoGg=0,"NO",('Activity data'!AL9*EF!$H40*EF!K58)*NtoN2O*kgtoGg)</f>
        <v>1.1747117221487398</v>
      </c>
      <c r="AM40" s="29">
        <f>IF(('Activity data'!AM9*EF!$H40*EF!L58)*NtoN2O*kgtoGg=0,"NO",('Activity data'!AM9*EF!$H40*EF!L58)*NtoN2O*kgtoGg)</f>
        <v>1.1829572040297915</v>
      </c>
      <c r="AN40" s="29">
        <f>IF(('Activity data'!AN9*EF!$H40*EF!M58)*NtoN2O*kgtoGg=0,"NO",('Activity data'!AN9*EF!$H40*EF!M58)*NtoN2O*kgtoGg)</f>
        <v>1.1912026857586449</v>
      </c>
      <c r="AO40" s="29">
        <f>IF(('Activity data'!AO9*EF!$H40*EF!N58)*NtoN2O*kgtoGg=0,"NO",('Activity data'!AO9*EF!$H40*EF!N58)*NtoN2O*kgtoGg)</f>
        <v>1.1994481674874984</v>
      </c>
      <c r="AP40" s="29">
        <f>IF(('Activity data'!AP9*EF!$H40*EF!O58)*NtoN2O*kgtoGg=0,"NO",('Activity data'!AP9*EF!$H40*EF!O58)*NtoN2O*kgtoGg)</f>
        <v>1.2076936492163515</v>
      </c>
      <c r="AQ40" s="29">
        <f>IF(('Activity data'!AQ9*EF!$H40*EF!P58)*NtoN2O*kgtoGg=0,"NO",('Activity data'!AQ9*EF!$H40*EF!P58)*NtoN2O*kgtoGg)</f>
        <v>1.215939131097403</v>
      </c>
      <c r="AR40" s="29">
        <f>IF(('Activity data'!AR9*EF!$H40*EF!Q58)*NtoN2O*kgtoGg=0,"NO",('Activity data'!AR9*EF!$H40*EF!Q58)*NtoN2O*kgtoGg)</f>
        <v>1.2248722260405105</v>
      </c>
      <c r="AS40" s="29">
        <f>IF(('Activity data'!AS9*EF!$H40*EF!R58)*NtoN2O*kgtoGg=0,"NO",('Activity data'!AS9*EF!$H40*EF!R58)*NtoN2O*kgtoGg)</f>
        <v>1.2338053209836175</v>
      </c>
      <c r="AT40" s="29">
        <f>IF(('Activity data'!AT9*EF!$H40*EF!S58)*NtoN2O*kgtoGg=0,"NO",('Activity data'!AT9*EF!$H40*EF!S58)*NtoN2O*kgtoGg)</f>
        <v>1.242738415926725</v>
      </c>
      <c r="AU40" s="29">
        <f>IF(('Activity data'!AU9*EF!$H40*EF!T58)*NtoN2O*kgtoGg=0,"NO",('Activity data'!AU9*EF!$H40*EF!T58)*NtoN2O*kgtoGg)</f>
        <v>1.2516715108698317</v>
      </c>
      <c r="AV40" s="29">
        <f>IF(('Activity data'!AV9*EF!$H40*EF!U58)*NtoN2O*kgtoGg=0,"NO",('Activity data'!AV9*EF!$H40*EF!U58)*NtoN2O*kgtoGg)</f>
        <v>1.260604605812939</v>
      </c>
      <c r="AW40" s="29">
        <f>IF(('Activity data'!AW9*EF!$H40*EF!V58)*NtoN2O*kgtoGg=0,"NO",('Activity data'!AW9*EF!$H40*EF!V58)*NtoN2O*kgtoGg)</f>
        <v>1.2692344209671409</v>
      </c>
      <c r="AX40" s="29">
        <f>IF(('Activity data'!AX9*EF!$H40*EF!W58)*NtoN2O*kgtoGg=0,"NO",('Activity data'!AX9*EF!$H40*EF!W58)*NtoN2O*kgtoGg)</f>
        <v>1.2778642359691441</v>
      </c>
      <c r="AY40" s="29">
        <f>IF(('Activity data'!AY9*EF!$H40*EF!X58)*NtoN2O*kgtoGg=0,"NO",('Activity data'!AY9*EF!$H40*EF!X58)*NtoN2O*kgtoGg)</f>
        <v>1.2864940511233458</v>
      </c>
      <c r="AZ40" s="29">
        <f>IF(('Activity data'!AZ9*EF!$H40*EF!Y58)*NtoN2O*kgtoGg=0,"NO",('Activity data'!AZ9*EF!$H40*EF!Y58)*NtoN2O*kgtoGg)</f>
        <v>1.2951238661253495</v>
      </c>
      <c r="BA40" s="29">
        <f>IF(('Activity data'!BA9*EF!$H40*EF!Z58)*NtoN2O*kgtoGg=0,"NO",('Activity data'!BA9*EF!$H40*EF!Z58)*NtoN2O*kgtoGg)</f>
        <v>1.3037536811273527</v>
      </c>
      <c r="BB40" s="29">
        <f>IF(('Activity data'!BB9*EF!$H40*EF!AA58)*NtoN2O*kgtoGg=0,"NO",('Activity data'!BB9*EF!$H40*EF!AA58)*NtoN2O*kgtoGg)</f>
        <v>1.3127227746777432</v>
      </c>
      <c r="BC40" s="29">
        <f>IF(('Activity data'!BC9*EF!$H40*EF!AB58)*NtoN2O*kgtoGg=0,"NO",('Activity data'!BC9*EF!$H40*EF!AB58)*NtoN2O*kgtoGg)</f>
        <v>1.321691868228134</v>
      </c>
      <c r="BD40" s="29">
        <f>IF(('Activity data'!BD9*EF!$H40*EF!AC58)*NtoN2O*kgtoGg=0,"NO",('Activity data'!BD9*EF!$H40*EF!AC58)*NtoN2O*kgtoGg)</f>
        <v>1.3306609616263261</v>
      </c>
      <c r="BE40" s="29">
        <f>IF(('Activity data'!BE9*EF!$H40*EF!AD58)*NtoN2O*kgtoGg=0,"NO",('Activity data'!BE9*EF!$H40*EF!AD58)*NtoN2O*kgtoGg)</f>
        <v>1.3396300551767164</v>
      </c>
      <c r="BF40" s="29">
        <f>IF(('Activity data'!BF9*EF!$H40*EF!AE58)*NtoN2O*kgtoGg=0,"NO",('Activity data'!BF9*EF!$H40*EF!AE58)*NtoN2O*kgtoGg)</f>
        <v>1.3485991487271074</v>
      </c>
      <c r="BG40" s="29">
        <f>IF(('Activity data'!BG9*EF!$H40*EF!AF58)*NtoN2O*kgtoGg=0,"NO",('Activity data'!BG9*EF!$H40*EF!AF58)*NtoN2O*kgtoGg)</f>
        <v>1.3588376232973154</v>
      </c>
      <c r="BH40" s="29">
        <f>IF(('Activity data'!BH9*EF!$H40*EF!AG58)*NtoN2O*kgtoGg=0,"NO",('Activity data'!BH9*EF!$H40*EF!AG58)*NtoN2O*kgtoGg)</f>
        <v>1.3690760977153251</v>
      </c>
      <c r="BI40" s="29">
        <f>IF(('Activity data'!BI9*EF!$H40*EF!AH58)*NtoN2O*kgtoGg=0,"NO",('Activity data'!BI9*EF!$H40*EF!AH58)*NtoN2O*kgtoGg)</f>
        <v>1.3793145722855336</v>
      </c>
      <c r="BJ40" s="29">
        <f>IF(('Activity data'!BJ9*EF!$H40*EF!AI58)*NtoN2O*kgtoGg=0,"NO",('Activity data'!BJ9*EF!$H40*EF!AI58)*NtoN2O*kgtoGg)</f>
        <v>1.3895530468557411</v>
      </c>
      <c r="BK40" s="29">
        <f>IF(('Activity data'!BK9*EF!$H40*EF!AJ58)*NtoN2O*kgtoGg=0,"NO",('Activity data'!BK9*EF!$H40*EF!AJ58)*NtoN2O*kgtoGg)</f>
        <v>1.3997915214259493</v>
      </c>
      <c r="BL40" s="29">
        <f>IF(('Activity data'!BL9*EF!$H40*EF!AK58)*NtoN2O*kgtoGg=0,"NO",('Activity data'!BL9*EF!$H40*EF!AK58)*NtoN2O*kgtoGg)</f>
        <v>1.409668637701293</v>
      </c>
      <c r="BM40" s="29">
        <f>IF(('Activity data'!BM9*EF!$H40*EF!AL58)*NtoN2O*kgtoGg=0,"NO",('Activity data'!BM9*EF!$H40*EF!AL58)*NtoN2O*kgtoGg)</f>
        <v>1.4195457539766356</v>
      </c>
      <c r="BN40" s="29">
        <f>IF(('Activity data'!BN9*EF!$H40*EF!AM58)*NtoN2O*kgtoGg=0,"NO",('Activity data'!BN9*EF!$H40*EF!AM58)*NtoN2O*kgtoGg)</f>
        <v>1.4294228704041776</v>
      </c>
      <c r="BO40" s="29">
        <f>IF(('Activity data'!BO9*EF!$H40*EF!AN58)*NtoN2O*kgtoGg=0,"NO",('Activity data'!BO9*EF!$H40*EF!AN58)*NtoN2O*kgtoGg)</f>
        <v>1.4392999866795206</v>
      </c>
      <c r="BP40" s="29">
        <f>IF(('Activity data'!BP9*EF!$H40*EF!AO58)*NtoN2O*kgtoGg=0,"NO",('Activity data'!BP9*EF!$H40*EF!AO58)*NtoN2O*kgtoGg)</f>
        <v>1.4491771029548637</v>
      </c>
    </row>
    <row r="41" spans="1:68" x14ac:dyDescent="0.25">
      <c r="A41" t="str">
        <f t="shared" si="1"/>
        <v>3A Livestock</v>
      </c>
      <c r="B41" t="str">
        <f t="shared" si="11"/>
        <v>3A2 Manure management (N2O)</v>
      </c>
      <c r="C41" t="str">
        <f>EF!C59</f>
        <v>3A1aii Other cattle</v>
      </c>
      <c r="D41" t="str">
        <f>EF!D59</f>
        <v>Feedlot</v>
      </c>
      <c r="E41" t="str">
        <f t="shared" si="9"/>
        <v>Manure management Emissions</v>
      </c>
      <c r="F41" t="s">
        <v>143</v>
      </c>
      <c r="G41" t="str">
        <f t="shared" si="10"/>
        <v>Gg N2O</v>
      </c>
      <c r="H41" s="29">
        <f>IF(('Activity data'!H10*EF!$H41*EF!$H59)*NtoN2O*kgtoGg=0,"NO",('Activity data'!H10*EF!$H41*EF!$H59)*NtoN2O*kgtoGg)</f>
        <v>0.75959383499999988</v>
      </c>
      <c r="I41" s="29">
        <f>IF(('Activity data'!I10*EF!$H41*EF!$H59)*NtoN2O*kgtoGg=0,"NO",('Activity data'!I10*EF!$H41*EF!$H59)*NtoN2O*kgtoGg)</f>
        <v>0.75959383499999988</v>
      </c>
      <c r="J41" s="29">
        <f>IF(('Activity data'!J10*EF!$H41*EF!$H59)*NtoN2O*kgtoGg=0,"NO",('Activity data'!J10*EF!$H41*EF!$H59)*NtoN2O*kgtoGg)</f>
        <v>0.75959383499999988</v>
      </c>
      <c r="K41" s="29">
        <f>IF(('Activity data'!K10*EF!$H41*EF!$H59)*NtoN2O*kgtoGg=0,"NO",('Activity data'!K10*EF!$H41*EF!$H59)*NtoN2O*kgtoGg)</f>
        <v>0.75959383499999988</v>
      </c>
      <c r="L41" s="29">
        <f>IF(('Activity data'!L10*EF!$H41*EF!$H59)*NtoN2O*kgtoGg=0,"NO",('Activity data'!L10*EF!$H41*EF!$H59)*NtoN2O*kgtoGg)</f>
        <v>0.75959383499999988</v>
      </c>
      <c r="M41" s="29">
        <f>IF(('Activity data'!M10*EF!$H41*EF!$H59)*NtoN2O*kgtoGg=0,"NO",('Activity data'!M10*EF!$H41*EF!$H59)*NtoN2O*kgtoGg)</f>
        <v>0.75959383499999988</v>
      </c>
      <c r="N41" s="29">
        <f>IF(('Activity data'!N10*EF!$H41*EF!$H59)*NtoN2O*kgtoGg=0,"NO",('Activity data'!N10*EF!$H41*EF!$H59)*NtoN2O*kgtoGg)</f>
        <v>0.75959383499999988</v>
      </c>
      <c r="O41" s="29">
        <f>IF(('Activity data'!O10*EF!$H41*EF!$H59)*NtoN2O*kgtoGg=0,"NO",('Activity data'!O10*EF!$H41*EF!$H59)*NtoN2O*kgtoGg)</f>
        <v>0.75959383499999988</v>
      </c>
      <c r="P41" s="29">
        <f>IF(('Activity data'!P10*EF!$H41*EF!$H59)*NtoN2O*kgtoGg=0,"NO",('Activity data'!P10*EF!$H41*EF!$H59)*NtoN2O*kgtoGg)</f>
        <v>0.75959383499999988</v>
      </c>
      <c r="Q41" s="29">
        <f>IF(('Activity data'!Q10*EF!$H41*EF!$H59)*NtoN2O*kgtoGg=0,"NO",('Activity data'!Q10*EF!$H41*EF!$H59)*NtoN2O*kgtoGg)</f>
        <v>0.75959383499999988</v>
      </c>
      <c r="R41" s="29">
        <f>IF(('Activity data'!R10*EF!$H41*EF!$H59)*NtoN2O*kgtoGg=0,"NO",('Activity data'!R10*EF!$H41*EF!$H59)*NtoN2O*kgtoGg)</f>
        <v>0.75959383499999988</v>
      </c>
      <c r="S41" s="29">
        <f>IF(('Activity data'!S10*EF!$H41*EF!$H59)*NtoN2O*kgtoGg=0,"NO",('Activity data'!S10*EF!$H41*EF!$H59)*NtoN2O*kgtoGg)</f>
        <v>0.75959383499999988</v>
      </c>
      <c r="T41" s="29">
        <f>IF(('Activity data'!T10*EF!$H41*EF!$H59)*NtoN2O*kgtoGg=0,"NO",('Activity data'!T10*EF!$H41*EF!$H59)*NtoN2O*kgtoGg)</f>
        <v>0.75959383499999988</v>
      </c>
      <c r="U41" s="29">
        <f>IF(('Activity data'!U10*EF!$H41*EF!$H59)*NtoN2O*kgtoGg=0,"NO",('Activity data'!U10*EF!$H41*EF!$H59)*NtoN2O*kgtoGg)</f>
        <v>0.75959383499999988</v>
      </c>
      <c r="V41" s="29">
        <f>IF(('Activity data'!V10*EF!$H41*EF!$H59)*NtoN2O*kgtoGg=0,"NO",('Activity data'!V10*EF!$H41*EF!$H59)*NtoN2O*kgtoGg)</f>
        <v>0.75959383499999988</v>
      </c>
      <c r="W41" s="29">
        <f>IF(('Activity data'!W10*EF!$H41*EF!$H59)*NtoN2O*kgtoGg=0,"NO",('Activity data'!W10*EF!$H41*EF!$H59)*NtoN2O*kgtoGg)</f>
        <v>0.75959383499999988</v>
      </c>
      <c r="X41" s="29">
        <f>IF(('Activity data'!X10*EF!$H41*EF!$H59)*NtoN2O*kgtoGg=0,"NO",('Activity data'!X10*EF!$H41*EF!$H59)*NtoN2O*kgtoGg)</f>
        <v>0.75959383499999988</v>
      </c>
      <c r="Y41" s="29">
        <f>IF(('Activity data'!Y10*EF!$H41*EF!$H59)*NtoN2O*kgtoGg=0,"NO",('Activity data'!Y10*EF!$H41*EF!$H59)*NtoN2O*kgtoGg)</f>
        <v>0.75959383499999988</v>
      </c>
      <c r="Z41" s="29">
        <f>IF(('Activity data'!Z10*EF!$H41*EF!$H59)*NtoN2O*kgtoGg=0,"NO",('Activity data'!Z10*EF!$H41*EF!$H59)*NtoN2O*kgtoGg)</f>
        <v>0.70741290350981256</v>
      </c>
      <c r="AA41" s="29">
        <f>IF(('Activity data'!AA10*EF!$H41*EF!$H59)*NtoN2O*kgtoGg=0,"NO",('Activity data'!AA10*EF!$H41*EF!$H59)*NtoN2O*kgtoGg)</f>
        <v>0.72490466154356248</v>
      </c>
      <c r="AB41" s="29">
        <f>IF(('Activity data'!AB10*EF!$H41*EF!$H59)*NtoN2O*kgtoGg=0,"NO",('Activity data'!AB10*EF!$H41*EF!$H59)*NtoN2O*kgtoGg)</f>
        <v>0.72310137975074984</v>
      </c>
      <c r="AC41" s="29">
        <f>IF(('Activity data'!AC10*EF!$H41*EF!$H59)*NtoN2O*kgtoGg=0,"NO",('Activity data'!AC10*EF!$H41*EF!$H59)*NtoN2O*kgtoGg)</f>
        <v>0.83519180857612507</v>
      </c>
      <c r="AD41" s="29">
        <f>IF(('Activity data'!AD10*EF!$H41*EF!$H59)*NtoN2O*kgtoGg=0,"NO",('Activity data'!AD10*EF!$H41*EF!$H59)*NtoN2O*kgtoGg)</f>
        <v>0.87583640869724999</v>
      </c>
      <c r="AE41" s="29">
        <f>IF(('Activity data'!AE10*EF!$H41*EF!$H59)*NtoN2O*kgtoGg=0,"NO",('Activity data'!AE10*EF!$H41*EF!$H59)*NtoN2O*kgtoGg)</f>
        <v>0.90906924183075</v>
      </c>
      <c r="AF41" s="29">
        <f>IF(('Activity data'!AF10*EF!$H41*EF!$H59)*NtoN2O*kgtoGg=0,"NO",('Activity data'!AF10*EF!$H41*EF!$H59)*NtoN2O*kgtoGg)</f>
        <v>0.94230328066875002</v>
      </c>
      <c r="AG41" s="29">
        <f>IF(('Activity data'!AG10*EF!$H41*EF!$H59)*NtoN2O*kgtoGg=0,"NO",('Activity data'!AG10*EF!$H41*EF!$H59)*NtoN2O*kgtoGg)</f>
        <v>0.97553551095000002</v>
      </c>
      <c r="AH41" s="29">
        <f>IF(('Activity data'!AH10*EF!$H41*EF!$H59)*NtoN2O*kgtoGg=0,"NO",('Activity data'!AH10*EF!$H41*EF!$H59)*NtoN2O*kgtoGg)</f>
        <v>1.0275061977179998</v>
      </c>
      <c r="AI41" s="29">
        <f>IF(('Activity data'!AI10*EF!$H41*EF!H59)*NtoN2O*kgtoGg=0,"NO",('Activity data'!AI10*EF!$H41*EF!H59)*NtoN2O*kgtoGg)</f>
        <v>1.06991504494875</v>
      </c>
      <c r="AJ41" s="29">
        <f>IF(('Activity data'!AJ10*EF!$H41*EF!I59)*NtoN2O*kgtoGg=0,"NO",('Activity data'!AJ10*EF!$H41*EF!I59)*NtoN2O*kgtoGg)</f>
        <v>0.95389469849597741</v>
      </c>
      <c r="AK41" s="29">
        <f>IF(('Activity data'!AK10*EF!$H41*EF!J59)*NtoN2O*kgtoGg=0,"NO",('Activity data'!AK10*EF!$H41*EF!J59)*NtoN2O*kgtoGg)</f>
        <v>0.96481163445270957</v>
      </c>
      <c r="AL41" s="29">
        <f>IF(('Activity data'!AL10*EF!$H41*EF!K59)*NtoN2O*kgtoGg=0,"NO",('Activity data'!AL10*EF!$H41*EF!K59)*NtoN2O*kgtoGg)</f>
        <v>0.95987277156736628</v>
      </c>
      <c r="AM41" s="29">
        <f>IF(('Activity data'!AM10*EF!$H41*EF!L59)*NtoN2O*kgtoGg=0,"NO",('Activity data'!AM10*EF!$H41*EF!L59)*NtoN2O*kgtoGg)</f>
        <v>0.97327945567238128</v>
      </c>
      <c r="AN41" s="29">
        <f>IF(('Activity data'!AN10*EF!$H41*EF!M59)*NtoN2O*kgtoGg=0,"NO",('Activity data'!AN10*EF!$H41*EF!M59)*NtoN2O*kgtoGg)</f>
        <v>0.98652496148599289</v>
      </c>
      <c r="AO41" s="29">
        <f>IF(('Activity data'!AO10*EF!$H41*EF!N59)*NtoN2O*kgtoGg=0,"NO",('Activity data'!AO10*EF!$H41*EF!N59)*NtoN2O*kgtoGg)</f>
        <v>0.99980664737707015</v>
      </c>
      <c r="AP41" s="29">
        <f>IF(('Activity data'!AP10*EF!$H41*EF!O59)*NtoN2O*kgtoGg=0,"NO",('Activity data'!AP10*EF!$H41*EF!O59)*NtoN2O*kgtoGg)</f>
        <v>1.0129495813775993</v>
      </c>
      <c r="AQ41" s="29">
        <f>IF(('Activity data'!AQ10*EF!$H41*EF!P59)*NtoN2O*kgtoGg=0,"NO",('Activity data'!AQ10*EF!$H41*EF!P59)*NtoN2O*kgtoGg)</f>
        <v>1.0262534534545131</v>
      </c>
      <c r="AR41" s="29">
        <f>IF(('Activity data'!AR10*EF!$H41*EF!Q59)*NtoN2O*kgtoGg=0,"NO",('Activity data'!AR10*EF!$H41*EF!Q59)*NtoN2O*kgtoGg)</f>
        <v>1.0410751568016507</v>
      </c>
      <c r="AS41" s="29">
        <f>IF(('Activity data'!AS10*EF!$H41*EF!R59)*NtoN2O*kgtoGg=0,"NO",('Activity data'!AS10*EF!$H41*EF!R59)*NtoN2O*kgtoGg)</f>
        <v>1.0558541881064516</v>
      </c>
      <c r="AT41" s="29">
        <f>IF(('Activity data'!AT10*EF!$H41*EF!S59)*NtoN2O*kgtoGg=0,"NO",('Activity data'!AT10*EF!$H41*EF!S59)*NtoN2O*kgtoGg)</f>
        <v>1.0708510636366229</v>
      </c>
      <c r="AU41" s="29">
        <f>IF(('Activity data'!AU10*EF!$H41*EF!T59)*NtoN2O*kgtoGg=0,"NO",('Activity data'!AU10*EF!$H41*EF!T59)*NtoN2O*kgtoGg)</f>
        <v>1.0860096962649246</v>
      </c>
      <c r="AV41" s="29">
        <f>IF(('Activity data'!AV10*EF!$H41*EF!U59)*NtoN2O*kgtoGg=0,"NO",('Activity data'!AV10*EF!$H41*EF!U59)*NtoN2O*kgtoGg)</f>
        <v>1.1013448499759817</v>
      </c>
      <c r="AW41" s="29">
        <f>IF(('Activity data'!AW10*EF!$H41*EF!V59)*NtoN2O*kgtoGg=0,"NO",('Activity data'!AW10*EF!$H41*EF!V59)*NtoN2O*kgtoGg)</f>
        <v>1.1173717630257114</v>
      </c>
      <c r="AX41" s="29">
        <f>IF(('Activity data'!AX10*EF!$H41*EF!W59)*NtoN2O*kgtoGg=0,"NO",('Activity data'!AX10*EF!$H41*EF!W59)*NtoN2O*kgtoGg)</f>
        <v>1.1331084715220756</v>
      </c>
      <c r="AY41" s="29">
        <f>IF(('Activity data'!AY10*EF!$H41*EF!X59)*NtoN2O*kgtoGg=0,"NO",('Activity data'!AY10*EF!$H41*EF!X59)*NtoN2O*kgtoGg)</f>
        <v>1.1494997353212837</v>
      </c>
      <c r="AZ41" s="29">
        <f>IF(('Activity data'!AZ10*EF!$H41*EF!Y59)*NtoN2O*kgtoGg=0,"NO",('Activity data'!AZ10*EF!$H41*EF!Y59)*NtoN2O*kgtoGg)</f>
        <v>1.1663485900804096</v>
      </c>
      <c r="BA41" s="29">
        <f>IF(('Activity data'!BA10*EF!$H41*EF!Z59)*NtoN2O*kgtoGg=0,"NO",('Activity data'!BA10*EF!$H41*EF!Z59)*NtoN2O*kgtoGg)</f>
        <v>1.183679802756902</v>
      </c>
      <c r="BB41" s="29">
        <f>IF(('Activity data'!BB10*EF!$H41*EF!AA59)*NtoN2O*kgtoGg=0,"NO",('Activity data'!BB10*EF!$H41*EF!AA59)*NtoN2O*kgtoGg)</f>
        <v>1.2016184729457426</v>
      </c>
      <c r="BC41" s="29">
        <f>IF(('Activity data'!BC10*EF!$H41*EF!AB59)*NtoN2O*kgtoGg=0,"NO",('Activity data'!BC10*EF!$H41*EF!AB59)*NtoN2O*kgtoGg)</f>
        <v>1.2198889231912389</v>
      </c>
      <c r="BD41" s="29">
        <f>IF(('Activity data'!BD10*EF!$H41*EF!AC59)*NtoN2O*kgtoGg=0,"NO",('Activity data'!BD10*EF!$H41*EF!AC59)*NtoN2O*kgtoGg)</f>
        <v>1.2382826282058208</v>
      </c>
      <c r="BE41" s="29">
        <f>IF(('Activity data'!BE10*EF!$H41*EF!AD59)*NtoN2O*kgtoGg=0,"NO",('Activity data'!BE10*EF!$H41*EF!AD59)*NtoN2O*kgtoGg)</f>
        <v>1.2570112424047262</v>
      </c>
      <c r="BF41" s="29">
        <f>IF(('Activity data'!BF10*EF!$H41*EF!AE59)*NtoN2O*kgtoGg=0,"NO",('Activity data'!BF10*EF!$H41*EF!AE59)*NtoN2O*kgtoGg)</f>
        <v>1.2762621764451738</v>
      </c>
      <c r="BG41" s="29">
        <f>IF(('Activity data'!BG10*EF!$H41*EF!AF59)*NtoN2O*kgtoGg=0,"NO",('Activity data'!BG10*EF!$H41*EF!AF59)*NtoN2O*kgtoGg)</f>
        <v>1.2973301859456183</v>
      </c>
      <c r="BH41" s="29">
        <f>IF(('Activity data'!BH10*EF!$H41*EF!AG59)*NtoN2O*kgtoGg=0,"NO",('Activity data'!BH10*EF!$H41*EF!AG59)*NtoN2O*kgtoGg)</f>
        <v>1.3187991634144667</v>
      </c>
      <c r="BI41" s="29">
        <f>IF(('Activity data'!BI10*EF!$H41*EF!AH59)*NtoN2O*kgtoGg=0,"NO",('Activity data'!BI10*EF!$H41*EF!AH59)*NtoN2O*kgtoGg)</f>
        <v>1.3406462518148892</v>
      </c>
      <c r="BJ41" s="29">
        <f>IF(('Activity data'!BJ10*EF!$H41*EF!AI59)*NtoN2O*kgtoGg=0,"NO",('Activity data'!BJ10*EF!$H41*EF!AI59)*NtoN2O*kgtoGg)</f>
        <v>1.3629278707064743</v>
      </c>
      <c r="BK41" s="29">
        <f>IF(('Activity data'!BK10*EF!$H41*EF!AJ59)*NtoN2O*kgtoGg=0,"NO",('Activity data'!BK10*EF!$H41*EF!AJ59)*NtoN2O*kgtoGg)</f>
        <v>1.3858677095467198</v>
      </c>
      <c r="BL41" s="29">
        <f>IF(('Activity data'!BL10*EF!$H41*EF!AK59)*NtoN2O*kgtoGg=0,"NO",('Activity data'!BL10*EF!$H41*EF!AK59)*NtoN2O*kgtoGg)</f>
        <v>1.4089548085231089</v>
      </c>
      <c r="BM41" s="29">
        <f>IF(('Activity data'!BM10*EF!$H41*EF!AL59)*NtoN2O*kgtoGg=0,"NO",('Activity data'!BM10*EF!$H41*EF!AL59)*NtoN2O*kgtoGg)</f>
        <v>1.4326094431988332</v>
      </c>
      <c r="BN41" s="29">
        <f>IF(('Activity data'!BN10*EF!$H41*EF!AM59)*NtoN2O*kgtoGg=0,"NO",('Activity data'!BN10*EF!$H41*EF!AM59)*NtoN2O*kgtoGg)</f>
        <v>1.4564063962072955</v>
      </c>
      <c r="BO41" s="29">
        <f>IF(('Activity data'!BO10*EF!$H41*EF!AN59)*NtoN2O*kgtoGg=0,"NO",('Activity data'!BO10*EF!$H41*EF!AN59)*NtoN2O*kgtoGg)</f>
        <v>1.480822321552878</v>
      </c>
      <c r="BP41" s="29">
        <f>IF(('Activity data'!BP10*EF!$H41*EF!AO59)*NtoN2O*kgtoGg=0,"NO",('Activity data'!BP10*EF!$H41*EF!AO59)*NtoN2O*kgtoGg)</f>
        <v>1.5059088717970732</v>
      </c>
    </row>
    <row r="42" spans="1:68" x14ac:dyDescent="0.25">
      <c r="A42" t="str">
        <f t="shared" si="1"/>
        <v>3A Livestock</v>
      </c>
      <c r="B42" t="str">
        <f t="shared" si="11"/>
        <v>3A2 Manure management (N2O)</v>
      </c>
      <c r="C42" t="str">
        <f>EF!C60</f>
        <v>3A1c Sheep</v>
      </c>
      <c r="D42" t="str">
        <f>EF!D60</f>
        <v>Commercial</v>
      </c>
      <c r="E42" t="str">
        <f t="shared" si="9"/>
        <v>Manure management Emissions</v>
      </c>
      <c r="F42" t="s">
        <v>143</v>
      </c>
      <c r="G42" t="str">
        <f t="shared" si="10"/>
        <v>Gg N2O</v>
      </c>
      <c r="H42" s="29">
        <f>IF(('Activity data'!H11*EF!$H42*EF!$H60)*NtoN2O*kgtoGg=0,"NO",('Activity data'!H11*EF!$H42*EF!$H60)*NtoN2O*kgtoGg)</f>
        <v>0.18472261121735453</v>
      </c>
      <c r="I42" s="29">
        <f>IF(('Activity data'!I11*EF!$H42*EF!$H60)*NtoN2O*kgtoGg=0,"NO",('Activity data'!I11*EF!$H42*EF!$H60)*NtoN2O*kgtoGg)</f>
        <v>0.17641659434150833</v>
      </c>
      <c r="J42" s="29">
        <f>IF(('Activity data'!J11*EF!$H42*EF!$H60)*NtoN2O*kgtoGg=0,"NO",('Activity data'!J11*EF!$H42*EF!$H60)*NtoN2O*kgtoGg)</f>
        <v>0.16912726350758692</v>
      </c>
      <c r="K42" s="29">
        <f>IF(('Activity data'!K11*EF!$H42*EF!$H60)*NtoN2O*kgtoGg=0,"NO",('Activity data'!K11*EF!$H42*EF!$H60)*NtoN2O*kgtoGg)</f>
        <v>0.15817170118914878</v>
      </c>
      <c r="L42" s="29">
        <f>IF(('Activity data'!L11*EF!$H42*EF!$H60)*NtoN2O*kgtoGg=0,"NO",('Activity data'!L11*EF!$H42*EF!$H60)*NtoN2O*kgtoGg)</f>
        <v>0.15928697496847238</v>
      </c>
      <c r="M42" s="29">
        <f>IF(('Activity data'!M11*EF!$H42*EF!$H60)*NtoN2O*kgtoGg=0,"NO",('Activity data'!M11*EF!$H42*EF!$H60)*NtoN2O*kgtoGg)</f>
        <v>0.15700713354112583</v>
      </c>
      <c r="N42" s="29">
        <f>IF(('Activity data'!N11*EF!$H42*EF!$H60)*NtoN2O*kgtoGg=0,"NO",('Activity data'!N11*EF!$H42*EF!$H60)*NtoN2O*kgtoGg)</f>
        <v>0.1575308808960568</v>
      </c>
      <c r="O42" s="29">
        <f>IF(('Activity data'!O11*EF!$H42*EF!$H60)*NtoN2O*kgtoGg=0,"NO",('Activity data'!O11*EF!$H42*EF!$H60)*NtoN2O*kgtoGg)</f>
        <v>0.15410495702144961</v>
      </c>
      <c r="P42" s="29">
        <f>IF(('Activity data'!P11*EF!$H42*EF!$H60)*NtoN2O*kgtoGg=0,"NO",('Activity data'!P11*EF!$H42*EF!$H60)*NtoN2O*kgtoGg)</f>
        <v>0.15453011663898178</v>
      </c>
      <c r="Q42" s="29">
        <f>IF(('Activity data'!Q11*EF!$H42*EF!$H60)*NtoN2O*kgtoGg=0,"NO",('Activity data'!Q11*EF!$H42*EF!$H60)*NtoN2O*kgtoGg)</f>
        <v>0.1507344887491292</v>
      </c>
      <c r="R42" s="29">
        <f>IF(('Activity data'!R11*EF!$H42*EF!$H60)*NtoN2O*kgtoGg=0,"NO",('Activity data'!R11*EF!$H42*EF!$H60)*NtoN2O*kgtoGg)</f>
        <v>0.14533064839295923</v>
      </c>
      <c r="S42" s="29">
        <f>IF(('Activity data'!S11*EF!$H42*EF!$H60)*NtoN2O*kgtoGg=0,"NO",('Activity data'!S11*EF!$H42*EF!$H60)*NtoN2O*kgtoGg)</f>
        <v>0.14170754904355451</v>
      </c>
      <c r="T42" s="29">
        <f>IF(('Activity data'!T11*EF!$H42*EF!$H60)*NtoN2O*kgtoGg=0,"NO",('Activity data'!T11*EF!$H42*EF!$H60)*NtoN2O*kgtoGg)</f>
        <v>0.13934144334598406</v>
      </c>
      <c r="U42" s="29">
        <f>IF(('Activity data'!U11*EF!$H42*EF!$H60)*NtoN2O*kgtoGg=0,"NO",('Activity data'!U11*EF!$H42*EF!$H60)*NtoN2O*kgtoGg)</f>
        <v>0.13982822029939046</v>
      </c>
      <c r="V42" s="29">
        <f>IF(('Activity data'!V11*EF!$H42*EF!$H60)*NtoN2O*kgtoGg=0,"NO",('Activity data'!V11*EF!$H42*EF!$H60)*NtoN2O*kgtoGg)</f>
        <v>0.13733887993007157</v>
      </c>
      <c r="W42" s="29">
        <f>IF(('Activity data'!W11*EF!$H42*EF!$H60)*NtoN2O*kgtoGg=0,"NO",('Activity data'!W11*EF!$H42*EF!$H60)*NtoN2O*kgtoGg)</f>
        <v>0.13701230804993814</v>
      </c>
      <c r="X42" s="29">
        <f>IF(('Activity data'!X11*EF!$H42*EF!$H60)*NtoN2O*kgtoGg=0,"NO",('Activity data'!X11*EF!$H42*EF!$H60)*NtoN2O*kgtoGg)</f>
        <v>0.13521924357599804</v>
      </c>
      <c r="Y42" s="29">
        <f>IF(('Activity data'!Y11*EF!$H42*EF!$H60)*NtoN2O*kgtoGg=0,"NO",('Activity data'!Y11*EF!$H42*EF!$H60)*NtoN2O*kgtoGg)</f>
        <v>0.13508984717066219</v>
      </c>
      <c r="Z42" s="29">
        <f>IF(('Activity data'!Z11*EF!$H42*EF!$H60)*NtoN2O*kgtoGg=0,"NO",('Activity data'!Z11*EF!$H42*EF!$H60)*NtoN2O*kgtoGg)</f>
        <v>0.1355273302553692</v>
      </c>
      <c r="AA42" s="29">
        <f>IF(('Activity data'!AA11*EF!$H42*EF!$H60)*NtoN2O*kgtoGg=0,"NO",('Activity data'!AA11*EF!$H42*EF!$H60)*NtoN2O*kgtoGg)</f>
        <v>0.13504671503555021</v>
      </c>
      <c r="AB42" s="29">
        <f>IF(('Activity data'!AB11*EF!$H42*EF!$H60)*NtoN2O*kgtoGg=0,"NO",('Activity data'!AB11*EF!$H42*EF!$H60)*NtoN2O*kgtoGg)</f>
        <v>0.13243413999448284</v>
      </c>
      <c r="AC42" s="29">
        <f>IF(('Activity data'!AC11*EF!$H42*EF!$H60)*NtoN2O*kgtoGg=0,"NO",('Activity data'!AC11*EF!$H42*EF!$H60)*NtoN2O*kgtoGg)</f>
        <v>0.1313989687517958</v>
      </c>
      <c r="AD42" s="29">
        <f>IF(('Activity data'!AD11*EF!$H42*EF!$H60)*NtoN2O*kgtoGg=0,"NO",('Activity data'!AD11*EF!$H42*EF!$H60)*NtoN2O*kgtoGg)</f>
        <v>0.13202746557771294</v>
      </c>
      <c r="AE42" s="29">
        <f>IF(('Activity data'!AE11*EF!$H42*EF!$H60)*NtoN2O*kgtoGg=0,"NO",('Activity data'!AE11*EF!$H42*EF!$H60)*NtoN2O*kgtoGg)</f>
        <v>0.13302566641887548</v>
      </c>
      <c r="AF42" s="29">
        <f>IF(('Activity data'!AF11*EF!$H42*EF!$H60)*NtoN2O*kgtoGg=0,"NO",('Activity data'!AF11*EF!$H42*EF!$H60)*NtoN2O*kgtoGg)</f>
        <v>0.13064107552054277</v>
      </c>
      <c r="AG42" s="29">
        <f>IF(('Activity data'!AG11*EF!$H42*EF!$H60)*NtoN2O*kgtoGg=0,"NO",('Activity data'!AG11*EF!$H42*EF!$H60)*NtoN2O*kgtoGg)</f>
        <v>0.12959974254426826</v>
      </c>
      <c r="AH42" s="29">
        <f>IF(('Activity data'!AH11*EF!$H42*EF!$H60)*NtoN2O*kgtoGg=0,"NO",('Activity data'!AH11*EF!$H42*EF!$H60)*NtoN2O*kgtoGg)</f>
        <v>0.12593351105975159</v>
      </c>
      <c r="AI42" s="29">
        <f>IF(('Activity data'!AI11*EF!$H42*EF!H60)*NtoN2O*kgtoGg=0,"NO",('Activity data'!AI11*EF!$H42*EF!H60)*NtoN2O*kgtoGg)</f>
        <v>0.12287729120038977</v>
      </c>
      <c r="AJ42" s="29">
        <f>IF(('Activity data'!AJ11*EF!$H42*EF!I60)*NtoN2O*kgtoGg=0,"NO",('Activity data'!AJ11*EF!$H42*EF!I60)*NtoN2O*kgtoGg)</f>
        <v>0.13067670911585</v>
      </c>
      <c r="AK42" s="29">
        <f>IF(('Activity data'!AK11*EF!$H42*EF!J60)*NtoN2O*kgtoGg=0,"NO",('Activity data'!AK11*EF!$H42*EF!J60)*NtoN2O*kgtoGg)</f>
        <v>0.13026824336306936</v>
      </c>
      <c r="AL42" s="29">
        <f>IF(('Activity data'!AL11*EF!$H42*EF!K60)*NtoN2O*kgtoGg=0,"NO",('Activity data'!AL11*EF!$H42*EF!K60)*NtoN2O*kgtoGg)</f>
        <v>0.12891165358432596</v>
      </c>
      <c r="AM42" s="29">
        <f>IF(('Activity data'!AM11*EF!$H42*EF!L60)*NtoN2O*kgtoGg=0,"NO",('Activity data'!AM11*EF!$H42*EF!L60)*NtoN2O*kgtoGg)</f>
        <v>0.12863762493710401</v>
      </c>
      <c r="AN42" s="29">
        <f>IF(('Activity data'!AN11*EF!$H42*EF!M60)*NtoN2O*kgtoGg=0,"NO",('Activity data'!AN11*EF!$H42*EF!M60)*NtoN2O*kgtoGg)</f>
        <v>0.12835395838407632</v>
      </c>
      <c r="AO42" s="29">
        <f>IF(('Activity data'!AO11*EF!$H42*EF!N60)*NtoN2O*kgtoGg=0,"NO",('Activity data'!AO11*EF!$H42*EF!N60)*NtoN2O*kgtoGg)</f>
        <v>0.12807245527932701</v>
      </c>
      <c r="AP42" s="29">
        <f>IF(('Activity data'!AP11*EF!$H42*EF!O60)*NtoN2O*kgtoGg=0,"NO",('Activity data'!AP11*EF!$H42*EF!O60)*NtoN2O*kgtoGg)</f>
        <v>0.12778265527308524</v>
      </c>
      <c r="AQ42" s="29">
        <f>IF(('Activity data'!AQ11*EF!$H42*EF!P60)*NtoN2O*kgtoGg=0,"NO",('Activity data'!AQ11*EF!$H42*EF!P60)*NtoN2O*kgtoGg)</f>
        <v>0.12750247880859014</v>
      </c>
      <c r="AR42" s="29">
        <f>IF(('Activity data'!AR11*EF!$H42*EF!Q60)*NtoN2O*kgtoGg=0,"NO",('Activity data'!AR11*EF!$H42*EF!Q60)*NtoN2O*kgtoGg)</f>
        <v>0.12722335775557772</v>
      </c>
      <c r="AS42" s="29">
        <f>IF(('Activity data'!AS11*EF!$H42*EF!R60)*NtoN2O*kgtoGg=0,"NO",('Activity data'!AS11*EF!$H42*EF!R60)*NtoN2O*kgtoGg)</f>
        <v>0.1269416850563834</v>
      </c>
      <c r="AT42" s="29">
        <f>IF(('Activity data'!AT11*EF!$H42*EF!S60)*NtoN2O*kgtoGg=0,"NO",('Activity data'!AT11*EF!$H42*EF!S60)*NtoN2O*kgtoGg)</f>
        <v>0.12667303871720087</v>
      </c>
      <c r="AU42" s="29">
        <f>IF(('Activity data'!AU11*EF!$H42*EF!T60)*NtoN2O*kgtoGg=0,"NO",('Activity data'!AU11*EF!$H42*EF!T60)*NtoN2O*kgtoGg)</f>
        <v>0.12641406491439666</v>
      </c>
      <c r="AV42" s="29">
        <f>IF(('Activity data'!AV11*EF!$H42*EF!U60)*NtoN2O*kgtoGg=0,"NO",('Activity data'!AV11*EF!$H42*EF!U60)*NtoN2O*kgtoGg)</f>
        <v>0.12616564648513848</v>
      </c>
      <c r="AW42" s="29">
        <f>IF(('Activity data'!AW11*EF!$H42*EF!V60)*NtoN2O*kgtoGg=0,"NO",('Activity data'!AW11*EF!$H42*EF!V60)*NtoN2O*kgtoGg)</f>
        <v>0.12599815877796255</v>
      </c>
      <c r="AX42" s="29">
        <f>IF(('Activity data'!AX11*EF!$H42*EF!W60)*NtoN2O*kgtoGg=0,"NO",('Activity data'!AX11*EF!$H42*EF!W60)*NtoN2O*kgtoGg)</f>
        <v>0.12581331782372537</v>
      </c>
      <c r="AY42" s="29">
        <f>IF(('Activity data'!AY11*EF!$H42*EF!X60)*NtoN2O*kgtoGg=0,"NO",('Activity data'!AY11*EF!$H42*EF!X60)*NtoN2O*kgtoGg)</f>
        <v>0.12566761707934451</v>
      </c>
      <c r="AZ42" s="29">
        <f>IF(('Activity data'!AZ11*EF!$H42*EF!Y60)*NtoN2O*kgtoGg=0,"NO",('Activity data'!AZ11*EF!$H42*EF!Y60)*NtoN2O*kgtoGg)</f>
        <v>0.12554927877203231</v>
      </c>
      <c r="BA42" s="29">
        <f>IF(('Activity data'!BA11*EF!$H42*EF!Z60)*NtoN2O*kgtoGg=0,"NO",('Activity data'!BA11*EF!$H42*EF!Z60)*NtoN2O*kgtoGg)</f>
        <v>0.12545978386360054</v>
      </c>
      <c r="BB42" s="29">
        <f>IF(('Activity data'!BB11*EF!$H42*EF!AA60)*NtoN2O*kgtoGg=0,"NO",('Activity data'!BB11*EF!$H42*EF!AA60)*NtoN2O*kgtoGg)</f>
        <v>0.12536235068862162</v>
      </c>
      <c r="BC42" s="29">
        <f>IF(('Activity data'!BC11*EF!$H42*EF!AB60)*NtoN2O*kgtoGg=0,"NO",('Activity data'!BC11*EF!$H42*EF!AB60)*NtoN2O*kgtoGg)</f>
        <v>0.12528475685735441</v>
      </c>
      <c r="BD42" s="29">
        <f>IF(('Activity data'!BD11*EF!$H42*EF!AC60)*NtoN2O*kgtoGg=0,"NO",('Activity data'!BD11*EF!$H42*EF!AC60)*NtoN2O*kgtoGg)</f>
        <v>0.1252145332711235</v>
      </c>
      <c r="BE42" s="29">
        <f>IF(('Activity data'!BE11*EF!$H42*EF!AD60)*NtoN2O*kgtoGg=0,"NO",('Activity data'!BE11*EF!$H42*EF!AD60)*NtoN2O*kgtoGg)</f>
        <v>0.12516433612017397</v>
      </c>
      <c r="BF42" s="29">
        <f>IF(('Activity data'!BF11*EF!$H42*EF!AE60)*NtoN2O*kgtoGg=0,"NO",('Activity data'!BF11*EF!$H42*EF!AE60)*NtoN2O*kgtoGg)</f>
        <v>0.12514537195823583</v>
      </c>
      <c r="BG42" s="29">
        <f>IF(('Activity data'!BG11*EF!$H42*EF!AF60)*NtoN2O*kgtoGg=0,"NO",('Activity data'!BG11*EF!$H42*EF!AF60)*NtoN2O*kgtoGg)</f>
        <v>0.12506945969462593</v>
      </c>
      <c r="BH42" s="29">
        <f>IF(('Activity data'!BH11*EF!$H42*EF!AG60)*NtoN2O*kgtoGg=0,"NO",('Activity data'!BH11*EF!$H42*EF!AG60)*NtoN2O*kgtoGg)</f>
        <v>0.12501752400155031</v>
      </c>
      <c r="BI42" s="29">
        <f>IF(('Activity data'!BI11*EF!$H42*EF!AH60)*NtoN2O*kgtoGg=0,"NO",('Activity data'!BI11*EF!$H42*EF!AH60)*NtoN2O*kgtoGg)</f>
        <v>0.12498819806452963</v>
      </c>
      <c r="BJ42" s="29">
        <f>IF(('Activity data'!BJ11*EF!$H42*EF!AI60)*NtoN2O*kgtoGg=0,"NO",('Activity data'!BJ11*EF!$H42*EF!AI60)*NtoN2O*kgtoGg)</f>
        <v>0.12498485560540169</v>
      </c>
      <c r="BK42" s="29">
        <f>IF(('Activity data'!BK11*EF!$H42*EF!AJ60)*NtoN2O*kgtoGg=0,"NO",('Activity data'!BK11*EF!$H42*EF!AJ60)*NtoN2O*kgtoGg)</f>
        <v>0.12502087250961511</v>
      </c>
      <c r="BL42" s="29">
        <f>IF(('Activity data'!BL11*EF!$H42*EF!AK60)*NtoN2O*kgtoGg=0,"NO",('Activity data'!BL11*EF!$H42*EF!AK60)*NtoN2O*kgtoGg)</f>
        <v>0.12511283780405039</v>
      </c>
      <c r="BM42" s="29">
        <f>IF(('Activity data'!BM11*EF!$H42*EF!AL60)*NtoN2O*kgtoGg=0,"NO",('Activity data'!BM11*EF!$H42*EF!AL60)*NtoN2O*kgtoGg)</f>
        <v>0.12523873984538134</v>
      </c>
      <c r="BN42" s="29">
        <f>IF(('Activity data'!BN11*EF!$H42*EF!AM60)*NtoN2O*kgtoGg=0,"NO",('Activity data'!BN11*EF!$H42*EF!AM60)*NtoN2O*kgtoGg)</f>
        <v>0.12537315202972793</v>
      </c>
      <c r="BO42" s="29">
        <f>IF(('Activity data'!BO11*EF!$H42*EF!AN60)*NtoN2O*kgtoGg=0,"NO",('Activity data'!BO11*EF!$H42*EF!AN60)*NtoN2O*kgtoGg)</f>
        <v>0.12554457672066008</v>
      </c>
      <c r="BP42" s="29">
        <f>IF(('Activity data'!BP11*EF!$H42*EF!AO60)*NtoN2O*kgtoGg=0,"NO",('Activity data'!BP11*EF!$H42*EF!AO60)*NtoN2O*kgtoGg)</f>
        <v>0.12575610254967523</v>
      </c>
    </row>
    <row r="43" spans="1:68" x14ac:dyDescent="0.25">
      <c r="A43" t="str">
        <f t="shared" si="1"/>
        <v>3A Livestock</v>
      </c>
      <c r="B43" t="str">
        <f t="shared" si="11"/>
        <v>3A2 Manure management (N2O)</v>
      </c>
      <c r="C43" t="str">
        <f>EF!C61</f>
        <v>3A1c Sheep</v>
      </c>
      <c r="D43" t="str">
        <f>EF!D61</f>
        <v>Subsistence</v>
      </c>
      <c r="E43" t="str">
        <f t="shared" si="9"/>
        <v>Manure management Emissions</v>
      </c>
      <c r="F43" t="s">
        <v>143</v>
      </c>
      <c r="G43" t="str">
        <f t="shared" si="10"/>
        <v>Gg N2O</v>
      </c>
      <c r="H43" s="29">
        <f>IF(('Activity data'!H12*EF!$H43*EF!$H61)*NtoN2O*kgtoGg=0,"NO",('Activity data'!H12*EF!$H43*EF!$H61)*NtoN2O*kgtoGg)</f>
        <v>9.2257162292800898E-2</v>
      </c>
      <c r="I43" s="29">
        <f>IF(('Activity data'!I12*EF!$H43*EF!$H61)*NtoN2O*kgtoGg=0,"NO",('Activity data'!I12*EF!$H43*EF!$H61)*NtoN2O*kgtoGg)</f>
        <v>8.810883663915349E-2</v>
      </c>
      <c r="J43" s="29">
        <f>IF(('Activity data'!J12*EF!$H43*EF!$H61)*NtoN2O*kgtoGg=0,"NO",('Activity data'!J12*EF!$H43*EF!$H61)*NtoN2O*kgtoGg)</f>
        <v>8.4468280816998517E-2</v>
      </c>
      <c r="K43" s="29">
        <f>IF(('Activity data'!K12*EF!$H43*EF!$H61)*NtoN2O*kgtoGg=0,"NO",('Activity data'!K12*EF!$H43*EF!$H61)*NtoN2O*kgtoGg)</f>
        <v>7.8996676208552608E-2</v>
      </c>
      <c r="L43" s="29">
        <f>IF(('Activity data'!L12*EF!$H43*EF!$H61)*NtoN2O*kgtoGg=0,"NO",('Activity data'!L12*EF!$H43*EF!$H61)*NtoN2O*kgtoGg)</f>
        <v>7.9553684326735249E-2</v>
      </c>
      <c r="M43" s="29">
        <f>IF(('Activity data'!M12*EF!$H43*EF!$H61)*NtoN2O*kgtoGg=0,"NO",('Activity data'!M12*EF!$H43*EF!$H61)*NtoN2O*kgtoGg)</f>
        <v>7.8415048947024904E-2</v>
      </c>
      <c r="N43" s="29">
        <f>IF(('Activity data'!N12*EF!$H43*EF!$H61)*NtoN2O*kgtoGg=0,"NO",('Activity data'!N12*EF!$H43*EF!$H61)*NtoN2O*kgtoGg)</f>
        <v>7.867662734506646E-2</v>
      </c>
      <c r="O43" s="29">
        <f>IF(('Activity data'!O12*EF!$H43*EF!$H61)*NtoN2O*kgtoGg=0,"NO",('Activity data'!O12*EF!$H43*EF!$H61)*NtoN2O*kgtoGg)</f>
        <v>7.6965596882582824E-2</v>
      </c>
      <c r="P43" s="29">
        <f>IF(('Activity data'!P12*EF!$H43*EF!$H61)*NtoN2O*kgtoGg=0,"NO",('Activity data'!P12*EF!$H43*EF!$H61)*NtoN2O*kgtoGg)</f>
        <v>7.7177936993934437E-2</v>
      </c>
      <c r="Q43" s="29">
        <f>IF(('Activity data'!Q12*EF!$H43*EF!$H61)*NtoN2O*kgtoGg=0,"NO",('Activity data'!Q12*EF!$H43*EF!$H61)*NtoN2O*kgtoGg)</f>
        <v>7.5282262956362631E-2</v>
      </c>
      <c r="R43" s="29">
        <f>IF(('Activity data'!R12*EF!$H43*EF!$H61)*NtoN2O*kgtoGg=0,"NO",('Activity data'!R12*EF!$H43*EF!$H61)*NtoN2O*kgtoGg)</f>
        <v>7.2583389367157303E-2</v>
      </c>
      <c r="S43" s="29">
        <f>IF(('Activity data'!S12*EF!$H43*EF!$H61)*NtoN2O*kgtoGg=0,"NO",('Activity data'!S12*EF!$H43*EF!$H61)*NtoN2O*kgtoGg)</f>
        <v>7.0773882331293281E-2</v>
      </c>
      <c r="T43" s="29">
        <f>IF(('Activity data'!T12*EF!$H43*EF!$H61)*NtoN2O*kgtoGg=0,"NO",('Activity data'!T12*EF!$H43*EF!$H61)*NtoN2O*kgtoGg)</f>
        <v>6.9592163450729036E-2</v>
      </c>
      <c r="U43" s="29">
        <f>IF(('Activity data'!U12*EF!$H43*EF!$H61)*NtoN2O*kgtoGg=0,"NO",('Activity data'!U12*EF!$H43*EF!$H61)*NtoN2O*kgtoGg)</f>
        <v>6.9835277491261782E-2</v>
      </c>
      <c r="V43" s="29">
        <f>IF(('Activity data'!V12*EF!$H43*EF!$H61)*NtoN2O*kgtoGg=0,"NO",('Activity data'!V12*EF!$H43*EF!$H61)*NtoN2O*kgtoGg)</f>
        <v>6.8592010752334814E-2</v>
      </c>
      <c r="W43" s="29">
        <f>IF(('Activity data'!W12*EF!$H43*EF!$H61)*NtoN2O*kgtoGg=0,"NO",('Activity data'!W12*EF!$H43*EF!$H61)*NtoN2O*kgtoGg)</f>
        <v>6.8428908927673615E-2</v>
      </c>
      <c r="X43" s="29">
        <f>IF(('Activity data'!X12*EF!$H43*EF!$H61)*NtoN2O*kgtoGg=0,"NO",('Activity data'!X12*EF!$H43*EF!$H61)*NtoN2O*kgtoGg)</f>
        <v>6.7533387588496016E-2</v>
      </c>
      <c r="Y43" s="29">
        <f>IF(('Activity data'!Y12*EF!$H43*EF!$H61)*NtoN2O*kgtoGg=0,"NO",('Activity data'!Y12*EF!$H43*EF!$H61)*NtoN2O*kgtoGg)</f>
        <v>6.746876233721516E-2</v>
      </c>
      <c r="Z43" s="29">
        <f>IF(('Activity data'!Z12*EF!$H43*EF!$H61)*NtoN2O*kgtoGg=0,"NO",('Activity data'!Z12*EF!$H43*EF!$H61)*NtoN2O*kgtoGg)</f>
        <v>6.7687257234402817E-2</v>
      </c>
      <c r="AA43" s="29">
        <f>IF(('Activity data'!AA12*EF!$H43*EF!$H61)*NtoN2O*kgtoGg=0,"NO",('Activity data'!AA12*EF!$H43*EF!$H61)*NtoN2O*kgtoGg)</f>
        <v>6.7447220586788204E-2</v>
      </c>
      <c r="AB43" s="29">
        <f>IF(('Activity data'!AB12*EF!$H43*EF!$H61)*NtoN2O*kgtoGg=0,"NO",('Activity data'!AB12*EF!$H43*EF!$H61)*NtoN2O*kgtoGg)</f>
        <v>6.6142405989498512E-2</v>
      </c>
      <c r="AC43" s="29">
        <f>IF(('Activity data'!AC12*EF!$H43*EF!$H61)*NtoN2O*kgtoGg=0,"NO",('Activity data'!AC12*EF!$H43*EF!$H61)*NtoN2O*kgtoGg)</f>
        <v>6.5625403979251651E-2</v>
      </c>
      <c r="AD43" s="29">
        <f>IF(('Activity data'!AD12*EF!$H43*EF!$H61)*NtoN2O*kgtoGg=0,"NO",('Activity data'!AD12*EF!$H43*EF!$H61)*NtoN2O*kgtoGg)</f>
        <v>6.5939298056901532E-2</v>
      </c>
      <c r="AE43" s="29">
        <f>IF(('Activity data'!AE12*EF!$H43*EF!$H61)*NtoN2O*kgtoGg=0,"NO",('Activity data'!AE12*EF!$H43*EF!$H61)*NtoN2O*kgtoGg)</f>
        <v>6.643783570963957E-2</v>
      </c>
      <c r="AF43" s="29">
        <f>IF(('Activity data'!AF12*EF!$H43*EF!$H61)*NtoN2O*kgtoGg=0,"NO",('Activity data'!AF12*EF!$H43*EF!$H61)*NtoN2O*kgtoGg)</f>
        <v>6.5246884650320927E-2</v>
      </c>
      <c r="AG43" s="29">
        <f>IF(('Activity data'!AG12*EF!$H43*EF!$H61)*NtoN2O*kgtoGg=0,"NO",('Activity data'!AG12*EF!$H43*EF!$H61)*NtoN2O*kgtoGg)</f>
        <v>6.4726805247155919E-2</v>
      </c>
      <c r="AH43" s="29">
        <f>IF(('Activity data'!AH12*EF!$H43*EF!$H61)*NtoN2O*kgtoGg=0,"NO",('Activity data'!AH12*EF!$H43*EF!$H61)*NtoN2O*kgtoGg)</f>
        <v>6.2895756460864954E-2</v>
      </c>
      <c r="AI43" s="29">
        <f>IF(('Activity data'!AI12*EF!$H43*EF!H61)*NtoN2O*kgtoGg=0,"NO",('Activity data'!AI12*EF!$H43*EF!H61)*NtoN2O*kgtoGg)</f>
        <v>6.136936957346948E-2</v>
      </c>
      <c r="AJ43" s="29">
        <f>IF(('Activity data'!AJ12*EF!$H43*EF!I61)*NtoN2O*kgtoGg=0,"NO",('Activity data'!AJ12*EF!$H43*EF!I61)*NtoN2O*kgtoGg)</f>
        <v>6.5470546927479625E-2</v>
      </c>
      <c r="AK43" s="29">
        <f>IF(('Activity data'!AK12*EF!$H43*EF!J61)*NtoN2O*kgtoGg=0,"NO",('Activity data'!AK12*EF!$H43*EF!J61)*NtoN2O*kgtoGg)</f>
        <v>6.526590084772578E-2</v>
      </c>
      <c r="AL43" s="29">
        <f>IF(('Activity data'!AL12*EF!$H43*EF!K61)*NtoN2O*kgtoGg=0,"NO",('Activity data'!AL12*EF!$H43*EF!K61)*NtoN2O*kgtoGg)</f>
        <v>6.4586233634099988E-2</v>
      </c>
      <c r="AM43" s="29">
        <f>IF(('Activity data'!AM12*EF!$H43*EF!L61)*NtoN2O*kgtoGg=0,"NO",('Activity data'!AM12*EF!$H43*EF!L61)*NtoN2O*kgtoGg)</f>
        <v>6.4448942103506615E-2</v>
      </c>
      <c r="AN43" s="29">
        <f>IF(('Activity data'!AN12*EF!$H43*EF!M61)*NtoN2O*kgtoGg=0,"NO",('Activity data'!AN12*EF!$H43*EF!M61)*NtoN2O*kgtoGg)</f>
        <v>6.4306821870318845E-2</v>
      </c>
      <c r="AO43" s="29">
        <f>IF(('Activity data'!AO12*EF!$H43*EF!N61)*NtoN2O*kgtoGg=0,"NO",('Activity data'!AO12*EF!$H43*EF!N61)*NtoN2O*kgtoGg)</f>
        <v>6.4165785549811408E-2</v>
      </c>
      <c r="AP43" s="29">
        <f>IF(('Activity data'!AP12*EF!$H43*EF!O61)*NtoN2O*kgtoGg=0,"NO",('Activity data'!AP12*EF!$H43*EF!O61)*NtoN2O*kgtoGg)</f>
        <v>6.4020592385424208E-2</v>
      </c>
      <c r="AQ43" s="29">
        <f>IF(('Activity data'!AQ12*EF!$H43*EF!P61)*NtoN2O*kgtoGg=0,"NO",('Activity data'!AQ12*EF!$H43*EF!P61)*NtoN2O*kgtoGg)</f>
        <v>6.3880220727071238E-2</v>
      </c>
      <c r="AR43" s="29">
        <f>IF(('Activity data'!AR12*EF!$H43*EF!Q61)*NtoN2O*kgtoGg=0,"NO",('Activity data'!AR12*EF!$H43*EF!Q61)*NtoN2O*kgtoGg)</f>
        <v>6.3740377842112311E-2</v>
      </c>
      <c r="AS43" s="29">
        <f>IF(('Activity data'!AS12*EF!$H43*EF!R61)*NtoN2O*kgtoGg=0,"NO",('Activity data'!AS12*EF!$H43*EF!R61)*NtoN2O*kgtoGg)</f>
        <v>6.3599256552820865E-2</v>
      </c>
      <c r="AT43" s="29">
        <f>IF(('Activity data'!AT12*EF!$H43*EF!S61)*NtoN2O*kgtoGg=0,"NO",('Activity data'!AT12*EF!$H43*EF!S61)*NtoN2O*kgtoGg)</f>
        <v>6.346466162098223E-2</v>
      </c>
      <c r="AU43" s="29">
        <f>IF(('Activity data'!AU12*EF!$H43*EF!T61)*NtoN2O*kgtoGg=0,"NO",('Activity data'!AU12*EF!$H43*EF!T61)*NtoN2O*kgtoGg)</f>
        <v>6.3334912742056521E-2</v>
      </c>
      <c r="AV43" s="29">
        <f>IF(('Activity data'!AV12*EF!$H43*EF!U61)*NtoN2O*kgtoGg=0,"NO",('Activity data'!AV12*EF!$H43*EF!U61)*NtoN2O*kgtoGg)</f>
        <v>6.3210452227704439E-2</v>
      </c>
      <c r="AW43" s="29">
        <f>IF(('Activity data'!AW12*EF!$H43*EF!V61)*NtoN2O*kgtoGg=0,"NO",('Activity data'!AW12*EF!$H43*EF!V61)*NtoN2O*kgtoGg)</f>
        <v>6.3126538943794622E-2</v>
      </c>
      <c r="AX43" s="29">
        <f>IF(('Activity data'!AX12*EF!$H43*EF!W61)*NtoN2O*kgtoGg=0,"NO",('Activity data'!AX12*EF!$H43*EF!W61)*NtoN2O*kgtoGg)</f>
        <v>6.3033931481834615E-2</v>
      </c>
      <c r="AY43" s="29">
        <f>IF(('Activity data'!AY12*EF!$H43*EF!X61)*NtoN2O*kgtoGg=0,"NO",('Activity data'!AY12*EF!$H43*EF!X61)*NtoN2O*kgtoGg)</f>
        <v>6.2960933718982329E-2</v>
      </c>
      <c r="AZ43" s="29">
        <f>IF(('Activity data'!AZ12*EF!$H43*EF!Y61)*NtoN2O*kgtoGg=0,"NO",('Activity data'!AZ12*EF!$H43*EF!Y61)*NtoN2O*kgtoGg)</f>
        <v>6.290164485446606E-2</v>
      </c>
      <c r="BA43" s="29">
        <f>IF(('Activity data'!BA12*EF!$H43*EF!Z61)*NtoN2O*kgtoGg=0,"NO",('Activity data'!BA12*EF!$H43*EF!Z61)*NtoN2O*kgtoGg)</f>
        <v>6.2856806867330542E-2</v>
      </c>
      <c r="BB43" s="29">
        <f>IF(('Activity data'!BB12*EF!$H43*EF!AA61)*NtoN2O*kgtoGg=0,"NO",('Activity data'!BB12*EF!$H43*EF!AA61)*NtoN2O*kgtoGg)</f>
        <v>6.2807991716582454E-2</v>
      </c>
      <c r="BC43" s="29">
        <f>IF(('Activity data'!BC12*EF!$H43*EF!AB61)*NtoN2O*kgtoGg=0,"NO",('Activity data'!BC12*EF!$H43*EF!AB61)*NtoN2O*kgtoGg)</f>
        <v>6.2769116307141576E-2</v>
      </c>
      <c r="BD43" s="29">
        <f>IF(('Activity data'!BD12*EF!$H43*EF!AC61)*NtoN2O*kgtoGg=0,"NO",('Activity data'!BD12*EF!$H43*EF!AC61)*NtoN2O*kgtoGg)</f>
        <v>6.2733933475948106E-2</v>
      </c>
      <c r="BE43" s="29">
        <f>IF(('Activity data'!BE12*EF!$H43*EF!AD61)*NtoN2O*kgtoGg=0,"NO",('Activity data'!BE12*EF!$H43*EF!AD61)*NtoN2O*kgtoGg)</f>
        <v>6.2708784121108155E-2</v>
      </c>
      <c r="BF43" s="29">
        <f>IF(('Activity data'!BF12*EF!$H43*EF!AE61)*NtoN2O*kgtoGg=0,"NO",('Activity data'!BF12*EF!$H43*EF!AE61)*NtoN2O*kgtoGg)</f>
        <v>6.2699282856020375E-2</v>
      </c>
      <c r="BG43" s="29">
        <f>IF(('Activity data'!BG12*EF!$H43*EF!AF61)*NtoN2O*kgtoGg=0,"NO",('Activity data'!BG12*EF!$H43*EF!AF61)*NtoN2O*kgtoGg)</f>
        <v>6.2661249931479562E-2</v>
      </c>
      <c r="BH43" s="29">
        <f>IF(('Activity data'!BH12*EF!$H43*EF!AG61)*NtoN2O*kgtoGg=0,"NO",('Activity data'!BH12*EF!$H43*EF!AG61)*NtoN2O*kgtoGg)</f>
        <v>6.2635229546869897E-2</v>
      </c>
      <c r="BI43" s="29">
        <f>IF(('Activity data'!BI12*EF!$H43*EF!AH61)*NtoN2O*kgtoGg=0,"NO",('Activity data'!BI12*EF!$H43*EF!AH61)*NtoN2O*kgtoGg)</f>
        <v>6.2620536912284169E-2</v>
      </c>
      <c r="BJ43" s="29">
        <f>IF(('Activity data'!BJ12*EF!$H43*EF!AI61)*NtoN2O*kgtoGg=0,"NO",('Activity data'!BJ12*EF!$H43*EF!AI61)*NtoN2O*kgtoGg)</f>
        <v>6.2618862301493383E-2</v>
      </c>
      <c r="BK43" s="29">
        <f>IF(('Activity data'!BK12*EF!$H43*EF!AJ61)*NtoN2O*kgtoGg=0,"NO",('Activity data'!BK12*EF!$H43*EF!AJ61)*NtoN2O*kgtoGg)</f>
        <v>6.2636907188248214E-2</v>
      </c>
      <c r="BL43" s="29">
        <f>IF(('Activity data'!BL12*EF!$H43*EF!AK61)*NtoN2O*kgtoGg=0,"NO",('Activity data'!BL12*EF!$H43*EF!AK61)*NtoN2O*kgtoGg)</f>
        <v>6.2682982867424422E-2</v>
      </c>
      <c r="BM43" s="29">
        <f>IF(('Activity data'!BM12*EF!$H43*EF!AL61)*NtoN2O*kgtoGg=0,"NO",('Activity data'!BM12*EF!$H43*EF!AL61)*NtoN2O*kgtoGg)</f>
        <v>6.2746061250412433E-2</v>
      </c>
      <c r="BN43" s="29">
        <f>IF(('Activity data'!BN12*EF!$H43*EF!AM61)*NtoN2O*kgtoGg=0,"NO",('Activity data'!BN12*EF!$H43*EF!AM61)*NtoN2O*kgtoGg)</f>
        <v>6.2813403313756622E-2</v>
      </c>
      <c r="BO43" s="29">
        <f>IF(('Activity data'!BO12*EF!$H43*EF!AN61)*NtoN2O*kgtoGg=0,"NO",('Activity data'!BO12*EF!$H43*EF!AN61)*NtoN2O*kgtoGg)</f>
        <v>6.2899289072191583E-2</v>
      </c>
      <c r="BP43" s="29">
        <f>IF(('Activity data'!BP12*EF!$H43*EF!AO61)*NtoN2O*kgtoGg=0,"NO",('Activity data'!BP12*EF!$H43*EF!AO61)*NtoN2O*kgtoGg)</f>
        <v>6.3005265965921251E-2</v>
      </c>
    </row>
    <row r="44" spans="1:68" x14ac:dyDescent="0.25">
      <c r="A44" t="str">
        <f t="shared" si="1"/>
        <v>3A Livestock</v>
      </c>
      <c r="B44" t="str">
        <f t="shared" si="11"/>
        <v>3A2 Manure management (N2O)</v>
      </c>
      <c r="C44" t="str">
        <f>EF!C62</f>
        <v>3A1d Goats</v>
      </c>
      <c r="D44" t="str">
        <f>EF!D62</f>
        <v>Commercial</v>
      </c>
      <c r="E44" t="str">
        <f t="shared" si="9"/>
        <v>Manure management Emissions</v>
      </c>
      <c r="F44" t="s">
        <v>143</v>
      </c>
      <c r="G44" t="str">
        <f t="shared" si="10"/>
        <v>Gg N2O</v>
      </c>
      <c r="H44" s="29">
        <f>IF(('Activity data'!H13*EF!$H44*EF!$H62)*NtoN2O*kgtoGg=0,"NO",('Activity data'!H13*EF!$H44*EF!$H62)*NtoN2O*kgtoGg)</f>
        <v>1.9430751682320124E-2</v>
      </c>
      <c r="I44" s="29">
        <f>IF(('Activity data'!I13*EF!$H44*EF!$H62)*NtoN2O*kgtoGg=0,"NO",('Activity data'!I13*EF!$H44*EF!$H62)*NtoN2O*kgtoGg)</f>
        <v>1.7182276091107163E-2</v>
      </c>
      <c r="J44" s="29">
        <f>IF(('Activity data'!J13*EF!$H44*EF!$H62)*NtoN2O*kgtoGg=0,"NO",('Activity data'!J13*EF!$H44*EF!$H62)*NtoN2O*kgtoGg)</f>
        <v>1.6005503819070465E-2</v>
      </c>
      <c r="K44" s="29">
        <f>IF(('Activity data'!K13*EF!$H44*EF!$H62)*NtoN2O*kgtoGg=0,"NO",('Activity data'!K13*EF!$H44*EF!$H62)*NtoN2O*kgtoGg)</f>
        <v>1.5122924615042945E-2</v>
      </c>
      <c r="L44" s="29">
        <f>IF(('Activity data'!L13*EF!$H44*EF!$H62)*NtoN2O*kgtoGg=0,"NO",('Activity data'!L13*EF!$H44*EF!$H62)*NtoN2O*kgtoGg)</f>
        <v>1.6369742855653249E-2</v>
      </c>
      <c r="M44" s="29">
        <f>IF(('Activity data'!M13*EF!$H44*EF!$H62)*NtoN2O*kgtoGg=0,"NO",('Activity data'!M13*EF!$H44*EF!$H62)*NtoN2O*kgtoGg)</f>
        <v>1.6593889955088814E-2</v>
      </c>
      <c r="N44" s="29">
        <f>IF(('Activity data'!N13*EF!$H44*EF!$H62)*NtoN2O*kgtoGg=0,"NO",('Activity data'!N13*EF!$H44*EF!$H62)*NtoN2O*kgtoGg)</f>
        <v>1.6853060038811176E-2</v>
      </c>
      <c r="O44" s="29">
        <f>IF(('Activity data'!O13*EF!$H44*EF!$H62)*NtoN2O*kgtoGg=0,"NO",('Activity data'!O13*EF!$H44*EF!$H62)*NtoN2O*kgtoGg)</f>
        <v>1.6769004876522844E-2</v>
      </c>
      <c r="P44" s="29">
        <f>IF(('Activity data'!P13*EF!$H44*EF!$H62)*NtoN2O*kgtoGg=0,"NO",('Activity data'!P13*EF!$H44*EF!$H62)*NtoN2O*kgtoGg)</f>
        <v>1.6530848583372559E-2</v>
      </c>
      <c r="Q44" s="29">
        <f>IF(('Activity data'!Q13*EF!$H44*EF!$H62)*NtoN2O*kgtoGg=0,"NO",('Activity data'!Q13*EF!$H44*EF!$H62)*NtoN2O*kgtoGg)</f>
        <v>1.6285687693364925E-2</v>
      </c>
      <c r="R44" s="29">
        <f>IF(('Activity data'!R13*EF!$H44*EF!$H62)*NtoN2O*kgtoGg=0,"NO",('Activity data'!R13*EF!$H44*EF!$H62)*NtoN2O*kgtoGg)</f>
        <v>1.6495825599085752E-2</v>
      </c>
      <c r="S44" s="29">
        <f>IF(('Activity data'!S13*EF!$H44*EF!$H62)*NtoN2O*kgtoGg=0,"NO",('Activity data'!S13*EF!$H44*EF!$H62)*NtoN2O*kgtoGg)</f>
        <v>1.7000156572815769E-2</v>
      </c>
      <c r="T44" s="29">
        <f>IF(('Activity data'!T13*EF!$H44*EF!$H62)*NtoN2O*kgtoGg=0,"NO",('Activity data'!T13*EF!$H44*EF!$H62)*NtoN2O*kgtoGg)</f>
        <v>1.5522186635912547E-2</v>
      </c>
      <c r="U44" s="29">
        <f>IF(('Activity data'!U13*EF!$H44*EF!$H62)*NtoN2O*kgtoGg=0,"NO",('Activity data'!U13*EF!$H44*EF!$H62)*NtoN2O*kgtoGg)</f>
        <v>1.512992921190031E-2</v>
      </c>
      <c r="V44" s="29">
        <f>IF(('Activity data'!V13*EF!$H44*EF!$H62)*NtoN2O*kgtoGg=0,"NO",('Activity data'!V13*EF!$H44*EF!$H62)*NtoN2O*kgtoGg)</f>
        <v>1.5157947599329761E-2</v>
      </c>
      <c r="W44" s="29">
        <f>IF(('Activity data'!W13*EF!$H44*EF!$H62)*NtoN2O*kgtoGg=0,"NO",('Activity data'!W13*EF!$H44*EF!$H62)*NtoN2O*kgtoGg)</f>
        <v>1.4961818887323638E-2</v>
      </c>
      <c r="X44" s="29">
        <f>IF(('Activity data'!X13*EF!$H44*EF!$H62)*NtoN2O*kgtoGg=0,"NO",('Activity data'!X13*EF!$H44*EF!$H62)*NtoN2O*kgtoGg)</f>
        <v>1.5277025745904898E-2</v>
      </c>
      <c r="Y44" s="29">
        <f>IF(('Activity data'!Y13*EF!$H44*EF!$H62)*NtoN2O*kgtoGg=0,"NO",('Activity data'!Y13*EF!$H44*EF!$H62)*NtoN2O*kgtoGg)</f>
        <v>1.4821726950176417E-2</v>
      </c>
      <c r="Z44" s="29">
        <f>IF(('Activity data'!Z13*EF!$H44*EF!$H62)*NtoN2O*kgtoGg=0,"NO",('Activity data'!Z13*EF!$H44*EF!$H62)*NtoN2O*kgtoGg)</f>
        <v>1.4807717756461695E-2</v>
      </c>
      <c r="AA44" s="29">
        <f>IF(('Activity data'!AA13*EF!$H44*EF!$H62)*NtoN2O*kgtoGg=0,"NO",('Activity data'!AA13*EF!$H44*EF!$H62)*NtoN2O*kgtoGg)</f>
        <v>1.4548547672739326E-2</v>
      </c>
      <c r="AB44" s="29">
        <f>IF(('Activity data'!AB13*EF!$H44*EF!$H62)*NtoN2O*kgtoGg=0,"NO",('Activity data'!AB13*EF!$H44*EF!$H62)*NtoN2O*kgtoGg)</f>
        <v>1.4373432751305298E-2</v>
      </c>
      <c r="AC44" s="29">
        <f>IF(('Activity data'!AC13*EF!$H44*EF!$H62)*NtoN2O*kgtoGg=0,"NO",('Activity data'!AC13*EF!$H44*EF!$H62)*NtoN2O*kgtoGg)</f>
        <v>1.4240345411015433E-2</v>
      </c>
      <c r="AD44" s="29">
        <f>IF(('Activity data'!AD13*EF!$H44*EF!$H62)*NtoN2O*kgtoGg=0,"NO",('Activity data'!AD13*EF!$H44*EF!$H62)*NtoN2O*kgtoGg)</f>
        <v>1.4205322426728628E-2</v>
      </c>
      <c r="AE44" s="29">
        <f>IF(('Activity data'!AE13*EF!$H44*EF!$H62)*NtoN2O*kgtoGg=0,"NO",('Activity data'!AE13*EF!$H44*EF!$H62)*NtoN2O*kgtoGg)</f>
        <v>1.4044216699009317E-2</v>
      </c>
      <c r="AF44" s="29">
        <f>IF(('Activity data'!AF13*EF!$H44*EF!$H62)*NtoN2O*kgtoGg=0,"NO",('Activity data'!AF13*EF!$H44*EF!$H62)*NtoN2O*kgtoGg)</f>
        <v>1.3918133955576817E-2</v>
      </c>
      <c r="AG44" s="29">
        <f>IF(('Activity data'!AG13*EF!$H44*EF!$H62)*NtoN2O*kgtoGg=0,"NO",('Activity data'!AG13*EF!$H44*EF!$H62)*NtoN2O*kgtoGg)</f>
        <v>1.3729009840428061E-2</v>
      </c>
      <c r="AH44" s="29">
        <f>IF(('Activity data'!AH13*EF!$H44*EF!$H62)*NtoN2O*kgtoGg=0,"NO",('Activity data'!AH13*EF!$H44*EF!$H62)*NtoN2O*kgtoGg)</f>
        <v>1.3315738625843745E-2</v>
      </c>
      <c r="AI44" s="29">
        <f>IF(('Activity data'!AI13*EF!$H44*EF!H62)*NtoN2O*kgtoGg=0,"NO",('Activity data'!AI13*EF!$H44*EF!H62)*NtoN2O*kgtoGg)</f>
        <v>1.2909472008116794E-2</v>
      </c>
      <c r="AJ44" s="29">
        <f>IF(('Activity data'!AJ13*EF!$H44*EF!I62)*NtoN2O*kgtoGg=0,"NO",('Activity data'!AJ13*EF!$H44*EF!I62)*NtoN2O*kgtoGg)</f>
        <v>1.475006800126359E-2</v>
      </c>
      <c r="AK44" s="29">
        <f>IF(('Activity data'!AK13*EF!$H44*EF!J62)*NtoN2O*kgtoGg=0,"NO",('Activity data'!AK13*EF!$H44*EF!J62)*NtoN2O*kgtoGg)</f>
        <v>1.4707545305678447E-2</v>
      </c>
      <c r="AL44" s="29">
        <f>IF(('Activity data'!AL13*EF!$H44*EF!K62)*NtoN2O*kgtoGg=0,"NO",('Activity data'!AL13*EF!$H44*EF!K62)*NtoN2O*kgtoGg)</f>
        <v>1.4666466384287629E-2</v>
      </c>
      <c r="AM44" s="29">
        <f>IF(('Activity data'!AM13*EF!$H44*EF!L62)*NtoN2O*kgtoGg=0,"NO",('Activity data'!AM13*EF!$H44*EF!L62)*NtoN2O*kgtoGg)</f>
        <v>1.4623151863248566E-2</v>
      </c>
      <c r="AN44" s="29">
        <f>IF(('Activity data'!AN13*EF!$H44*EF!M62)*NtoN2O*kgtoGg=0,"NO",('Activity data'!AN13*EF!$H44*EF!M62)*NtoN2O*kgtoGg)</f>
        <v>1.4579852019324152E-2</v>
      </c>
      <c r="AO44" s="29">
        <f>IF(('Activity data'!AO13*EF!$H44*EF!N62)*NtoN2O*kgtoGg=0,"NO",('Activity data'!AO13*EF!$H44*EF!N62)*NtoN2O*kgtoGg)</f>
        <v>1.4536548880967046E-2</v>
      </c>
      <c r="AP44" s="29">
        <f>IF(('Activity data'!AP13*EF!$H44*EF!O62)*NtoN2O*kgtoGg=0,"NO",('Activity data'!AP13*EF!$H44*EF!O62)*NtoN2O*kgtoGg)</f>
        <v>1.4493258376877118E-2</v>
      </c>
      <c r="AQ44" s="29">
        <f>IF(('Activity data'!AQ13*EF!$H44*EF!P62)*NtoN2O*kgtoGg=0,"NO",('Activity data'!AQ13*EF!$H44*EF!P62)*NtoN2O*kgtoGg)</f>
        <v>1.4449953217545686E-2</v>
      </c>
      <c r="AR44" s="29">
        <f>IF(('Activity data'!AR13*EF!$H44*EF!Q62)*NtoN2O*kgtoGg=0,"NO",('Activity data'!AR13*EF!$H44*EF!Q62)*NtoN2O*kgtoGg)</f>
        <v>1.4402999537553803E-2</v>
      </c>
      <c r="AS44" s="29">
        <f>IF(('Activity data'!AS13*EF!$H44*EF!R62)*NtoN2O*kgtoGg=0,"NO",('Activity data'!AS13*EF!$H44*EF!R62)*NtoN2O*kgtoGg)</f>
        <v>1.4356049743130489E-2</v>
      </c>
      <c r="AT44" s="29">
        <f>IF(('Activity data'!AT13*EF!$H44*EF!S62)*NtoN2O*kgtoGg=0,"NO",('Activity data'!AT13*EF!$H44*EF!S62)*NtoN2O*kgtoGg)</f>
        <v>1.4309080112565572E-2</v>
      </c>
      <c r="AU44" s="29">
        <f>IF(('Activity data'!AU13*EF!$H44*EF!T62)*NtoN2O*kgtoGg=0,"NO",('Activity data'!AU13*EF!$H44*EF!T62)*NtoN2O*kgtoGg)</f>
        <v>1.426209575295885E-2</v>
      </c>
      <c r="AV44" s="29">
        <f>IF(('Activity data'!AV13*EF!$H44*EF!U62)*NtoN2O*kgtoGg=0,"NO",('Activity data'!AV13*EF!$H44*EF!U62)*NtoN2O*kgtoGg)</f>
        <v>1.421509531995295E-2</v>
      </c>
      <c r="AW44" s="29">
        <f>IF(('Activity data'!AW13*EF!$H44*EF!V62)*NtoN2O*kgtoGg=0,"NO",('Activity data'!AW13*EF!$H44*EF!V62)*NtoN2O*kgtoGg)</f>
        <v>1.4169580162013421E-2</v>
      </c>
      <c r="AX44" s="29">
        <f>IF(('Activity data'!AX13*EF!$H44*EF!W62)*NtoN2O*kgtoGg=0,"NO",('Activity data'!AX13*EF!$H44*EF!W62)*NtoN2O*kgtoGg)</f>
        <v>1.4124091429873632E-2</v>
      </c>
      <c r="AY44" s="29">
        <f>IF(('Activity data'!AY13*EF!$H44*EF!X62)*NtoN2O*kgtoGg=0,"NO",('Activity data'!AY13*EF!$H44*EF!X62)*NtoN2O*kgtoGg)</f>
        <v>1.4078543095415211E-2</v>
      </c>
      <c r="AZ44" s="29">
        <f>IF(('Activity data'!AZ13*EF!$H44*EF!Y62)*NtoN2O*kgtoGg=0,"NO",('Activity data'!AZ13*EF!$H44*EF!Y62)*NtoN2O*kgtoGg)</f>
        <v>1.403295309508386E-2</v>
      </c>
      <c r="BA44" s="29">
        <f>IF(('Activity data'!BA13*EF!$H44*EF!Z62)*NtoN2O*kgtoGg=0,"NO",('Activity data'!BA13*EF!$H44*EF!Z62)*NtoN2O*kgtoGg)</f>
        <v>1.3987319172909117E-2</v>
      </c>
      <c r="BB44" s="29">
        <f>IF(('Activity data'!BB13*EF!$H44*EF!AA62)*NtoN2O*kgtoGg=0,"NO",('Activity data'!BB13*EF!$H44*EF!AA62)*NtoN2O*kgtoGg)</f>
        <v>1.3939897897321149E-2</v>
      </c>
      <c r="BC44" s="29">
        <f>IF(('Activity data'!BC13*EF!$H44*EF!AB62)*NtoN2O*kgtoGg=0,"NO",('Activity data'!BC13*EF!$H44*EF!AB62)*NtoN2O*kgtoGg)</f>
        <v>1.3892446410988912E-2</v>
      </c>
      <c r="BD44" s="29">
        <f>IF(('Activity data'!BD13*EF!$H44*EF!AC62)*NtoN2O*kgtoGg=0,"NO",('Activity data'!BD13*EF!$H44*EF!AC62)*NtoN2O*kgtoGg)</f>
        <v>1.3844983702280747E-2</v>
      </c>
      <c r="BE44" s="29">
        <f>IF(('Activity data'!BE13*EF!$H44*EF!AD62)*NtoN2O*kgtoGg=0,"NO",('Activity data'!BE13*EF!$H44*EF!AD62)*NtoN2O*kgtoGg)</f>
        <v>1.3797490497123789E-2</v>
      </c>
      <c r="BF44" s="29">
        <f>IF(('Activity data'!BF13*EF!$H44*EF!AE62)*NtoN2O*kgtoGg=0,"NO",('Activity data'!BF13*EF!$H44*EF!AE62)*NtoN2O*kgtoGg)</f>
        <v>1.3749949731328865E-2</v>
      </c>
      <c r="BG44" s="29">
        <f>IF(('Activity data'!BG13*EF!$H44*EF!AF62)*NtoN2O*kgtoGg=0,"NO",('Activity data'!BG13*EF!$H44*EF!AF62)*NtoN2O*kgtoGg)</f>
        <v>1.3695763231108509E-2</v>
      </c>
      <c r="BH44" s="29">
        <f>IF(('Activity data'!BH13*EF!$H44*EF!AG62)*NtoN2O*kgtoGg=0,"NO",('Activity data'!BH13*EF!$H44*EF!AG62)*NtoN2O*kgtoGg)</f>
        <v>1.364154022090896E-2</v>
      </c>
      <c r="BI44" s="29">
        <f>IF(('Activity data'!BI13*EF!$H44*EF!AH62)*NtoN2O*kgtoGg=0,"NO",('Activity data'!BI13*EF!$H44*EF!AH62)*NtoN2O*kgtoGg)</f>
        <v>1.3587282780458955E-2</v>
      </c>
      <c r="BJ44" s="29">
        <f>IF(('Activity data'!BJ13*EF!$H44*EF!AI62)*NtoN2O*kgtoGg=0,"NO",('Activity data'!BJ13*EF!$H44*EF!AI62)*NtoN2O*kgtoGg)</f>
        <v>1.3532985773165548E-2</v>
      </c>
      <c r="BK44" s="29">
        <f>IF(('Activity data'!BK13*EF!$H44*EF!AJ62)*NtoN2O*kgtoGg=0,"NO",('Activity data'!BK13*EF!$H44*EF!AJ62)*NtoN2O*kgtoGg)</f>
        <v>1.3478628830640526E-2</v>
      </c>
      <c r="BL44" s="29">
        <f>IF(('Activity data'!BL13*EF!$H44*EF!AK62)*NtoN2O*kgtoGg=0,"NO",('Activity data'!BL13*EF!$H44*EF!AK62)*NtoN2O*kgtoGg)</f>
        <v>1.3426103238181841E-2</v>
      </c>
      <c r="BM44" s="29">
        <f>IF(('Activity data'!BM13*EF!$H44*EF!AL62)*NtoN2O*kgtoGg=0,"NO",('Activity data'!BM13*EF!$H44*EF!AL62)*NtoN2O*kgtoGg)</f>
        <v>1.3373525967885588E-2</v>
      </c>
      <c r="BN44" s="29">
        <f>IF(('Activity data'!BN13*EF!$H44*EF!AM62)*NtoN2O*kgtoGg=0,"NO",('Activity data'!BN13*EF!$H44*EF!AM62)*NtoN2O*kgtoGg)</f>
        <v>1.3320935737797279E-2</v>
      </c>
      <c r="BO44" s="29">
        <f>IF(('Activity data'!BO13*EF!$H44*EF!AN62)*NtoN2O*kgtoGg=0,"NO",('Activity data'!BO13*EF!$H44*EF!AN62)*NtoN2O*kgtoGg)</f>
        <v>1.3268289147006078E-2</v>
      </c>
      <c r="BP44" s="29">
        <f>IF(('Activity data'!BP13*EF!$H44*EF!AO62)*NtoN2O*kgtoGg=0,"NO",('Activity data'!BP13*EF!$H44*EF!AO62)*NtoN2O*kgtoGg)</f>
        <v>1.3215581491431427E-2</v>
      </c>
    </row>
    <row r="45" spans="1:68" x14ac:dyDescent="0.25">
      <c r="A45" t="str">
        <f t="shared" si="1"/>
        <v>3A Livestock</v>
      </c>
      <c r="B45" t="str">
        <f t="shared" si="11"/>
        <v>3A2 Manure management (N2O)</v>
      </c>
      <c r="C45" t="str">
        <f>EF!C63</f>
        <v>3A1d Goats</v>
      </c>
      <c r="D45" t="str">
        <f>EF!D63</f>
        <v>Subsistence</v>
      </c>
      <c r="E45" t="str">
        <f t="shared" si="9"/>
        <v>Manure management Emissions</v>
      </c>
      <c r="F45" t="s">
        <v>143</v>
      </c>
      <c r="G45" t="str">
        <f t="shared" si="10"/>
        <v>Gg N2O</v>
      </c>
      <c r="H45" s="29">
        <f>IF(('Activity data'!H14*EF!$H45*EF!$H63)*NtoN2O*kgtoGg=0,"NO",('Activity data'!H14*EF!$H45*EF!$H63)*NtoN2O*kgtoGg)</f>
        <v>0.15674707216898293</v>
      </c>
      <c r="I45" s="29">
        <f>IF(('Activity data'!I14*EF!$H45*EF!$H63)*NtoN2O*kgtoGg=0,"NO",('Activity data'!I14*EF!$H45*EF!$H63)*NtoN2O*kgtoGg)</f>
        <v>0.13860871233976757</v>
      </c>
      <c r="J45" s="29">
        <f>IF(('Activity data'!J14*EF!$H45*EF!$H63)*NtoN2O*kgtoGg=0,"NO",('Activity data'!J14*EF!$H45*EF!$H63)*NtoN2O*kgtoGg)</f>
        <v>0.12911573897120623</v>
      </c>
      <c r="K45" s="29">
        <f>IF(('Activity data'!K14*EF!$H45*EF!$H63)*NtoN2O*kgtoGg=0,"NO",('Activity data'!K14*EF!$H45*EF!$H63)*NtoN2O*kgtoGg)</f>
        <v>0.12199600894478523</v>
      </c>
      <c r="L45" s="29">
        <f>IF(('Activity data'!L14*EF!$H45*EF!$H63)*NtoN2O*kgtoGg=0,"NO",('Activity data'!L14*EF!$H45*EF!$H63)*NtoN2O*kgtoGg)</f>
        <v>0.13205404025195139</v>
      </c>
      <c r="M45" s="29">
        <f>IF(('Activity data'!M14*EF!$H45*EF!$H63)*NtoN2O*kgtoGg=0,"NO",('Activity data'!M14*EF!$H45*EF!$H63)*NtoN2O*kgtoGg)</f>
        <v>0.13386222565548689</v>
      </c>
      <c r="N45" s="29">
        <f>IF(('Activity data'!N14*EF!$H45*EF!$H63)*NtoN2O*kgtoGg=0,"NO",('Activity data'!N14*EF!$H45*EF!$H63)*NtoN2O*kgtoGg)</f>
        <v>0.13595294002832481</v>
      </c>
      <c r="O45" s="29">
        <f>IF(('Activity data'!O14*EF!$H45*EF!$H63)*NtoN2O*kgtoGg=0,"NO",('Activity data'!O14*EF!$H45*EF!$H63)*NtoN2O*kgtoGg)</f>
        <v>0.13527487050199902</v>
      </c>
      <c r="P45" s="29">
        <f>IF(('Activity data'!P14*EF!$H45*EF!$H63)*NtoN2O*kgtoGg=0,"NO",('Activity data'!P14*EF!$H45*EF!$H63)*NtoN2O*kgtoGg)</f>
        <v>0.13335367351074254</v>
      </c>
      <c r="Q45" s="29">
        <f>IF(('Activity data'!Q14*EF!$H45*EF!$H63)*NtoN2O*kgtoGg=0,"NO",('Activity data'!Q14*EF!$H45*EF!$H63)*NtoN2O*kgtoGg)</f>
        <v>0.1313759707256256</v>
      </c>
      <c r="R45" s="29">
        <f>IF(('Activity data'!R14*EF!$H45*EF!$H63)*NtoN2O*kgtoGg=0,"NO",('Activity data'!R14*EF!$H45*EF!$H63)*NtoN2O*kgtoGg)</f>
        <v>0.13307114454144012</v>
      </c>
      <c r="S45" s="29">
        <f>IF(('Activity data'!S14*EF!$H45*EF!$H63)*NtoN2O*kgtoGg=0,"NO",('Activity data'!S14*EF!$H45*EF!$H63)*NtoN2O*kgtoGg)</f>
        <v>0.13713956169939495</v>
      </c>
      <c r="T45" s="29">
        <f>IF(('Activity data'!T14*EF!$H45*EF!$H63)*NtoN2O*kgtoGg=0,"NO",('Activity data'!T14*EF!$H45*EF!$H63)*NtoN2O*kgtoGg)</f>
        <v>0.12521683919483284</v>
      </c>
      <c r="U45" s="29">
        <f>IF(('Activity data'!U14*EF!$H45*EF!$H63)*NtoN2O*kgtoGg=0,"NO",('Activity data'!U14*EF!$H45*EF!$H63)*NtoN2O*kgtoGg)</f>
        <v>0.12205251473864571</v>
      </c>
      <c r="V45" s="29">
        <f>IF(('Activity data'!V14*EF!$H45*EF!$H63)*NtoN2O*kgtoGg=0,"NO",('Activity data'!V14*EF!$H45*EF!$H63)*NtoN2O*kgtoGg)</f>
        <v>0.12227853791408765</v>
      </c>
      <c r="W45" s="29">
        <f>IF(('Activity data'!W14*EF!$H45*EF!$H63)*NtoN2O*kgtoGg=0,"NO",('Activity data'!W14*EF!$H45*EF!$H63)*NtoN2O*kgtoGg)</f>
        <v>0.12069637568599409</v>
      </c>
      <c r="X45" s="29">
        <f>IF(('Activity data'!X14*EF!$H45*EF!$H63)*NtoN2O*kgtoGg=0,"NO",('Activity data'!X14*EF!$H45*EF!$H63)*NtoN2O*kgtoGg)</f>
        <v>0.12323913640971589</v>
      </c>
      <c r="Y45" s="29">
        <f>IF(('Activity data'!Y14*EF!$H45*EF!$H63)*NtoN2O*kgtoGg=0,"NO",('Activity data'!Y14*EF!$H45*EF!$H63)*NtoN2O*kgtoGg)</f>
        <v>0.11956625980878442</v>
      </c>
      <c r="Z45" s="29">
        <f>IF(('Activity data'!Z14*EF!$H45*EF!$H63)*NtoN2O*kgtoGg=0,"NO",('Activity data'!Z14*EF!$H45*EF!$H63)*NtoN2O*kgtoGg)</f>
        <v>0.11945324822106343</v>
      </c>
      <c r="AA45" s="29">
        <f>IF(('Activity data'!AA14*EF!$H45*EF!$H63)*NtoN2O*kgtoGg=0,"NO",('Activity data'!AA14*EF!$H45*EF!$H63)*NtoN2O*kgtoGg)</f>
        <v>0.11736253384822554</v>
      </c>
      <c r="AB45" s="29">
        <f>IF(('Activity data'!AB14*EF!$H45*EF!$H63)*NtoN2O*kgtoGg=0,"NO",('Activity data'!AB14*EF!$H45*EF!$H63)*NtoN2O*kgtoGg)</f>
        <v>0.11594988900171342</v>
      </c>
      <c r="AC45" s="29">
        <f>IF(('Activity data'!AC14*EF!$H45*EF!$H63)*NtoN2O*kgtoGg=0,"NO",('Activity data'!AC14*EF!$H45*EF!$H63)*NtoN2O*kgtoGg)</f>
        <v>0.11487627891836423</v>
      </c>
      <c r="AD45" s="29">
        <f>IF(('Activity data'!AD14*EF!$H45*EF!$H63)*NtoN2O*kgtoGg=0,"NO",('Activity data'!AD14*EF!$H45*EF!$H63)*NtoN2O*kgtoGg)</f>
        <v>0.11459374994906181</v>
      </c>
      <c r="AE45" s="29">
        <f>IF(('Activity data'!AE14*EF!$H45*EF!$H63)*NtoN2O*kgtoGg=0,"NO",('Activity data'!AE14*EF!$H45*EF!$H63)*NtoN2O*kgtoGg)</f>
        <v>0.11329411669027069</v>
      </c>
      <c r="AF45" s="29">
        <f>IF(('Activity data'!AF14*EF!$H45*EF!$H63)*NtoN2O*kgtoGg=0,"NO",('Activity data'!AF14*EF!$H45*EF!$H63)*NtoN2O*kgtoGg)</f>
        <v>0.11227701240078196</v>
      </c>
      <c r="AG45" s="29">
        <f>IF(('Activity data'!AG14*EF!$H45*EF!$H63)*NtoN2O*kgtoGg=0,"NO",('Activity data'!AG14*EF!$H45*EF!$H63)*NtoN2O*kgtoGg)</f>
        <v>0.11075135596654888</v>
      </c>
      <c r="AH45" s="29">
        <f>IF(('Activity data'!AH14*EF!$H45*EF!$H63)*NtoN2O*kgtoGg=0,"NO",('Activity data'!AH14*EF!$H45*EF!$H63)*NtoN2O*kgtoGg)</f>
        <v>0.10741751412878033</v>
      </c>
      <c r="AI45" s="29">
        <f>IF(('Activity data'!AI14*EF!$H45*EF!H63)*NtoN2O*kgtoGg=0,"NO",('Activity data'!AI14*EF!$H45*EF!H63)*NtoN2O*kgtoGg)</f>
        <v>0.10414017808487223</v>
      </c>
      <c r="AJ45" s="29">
        <f>IF(('Activity data'!AJ14*EF!$H45*EF!I63)*NtoN2O*kgtoGg=0,"NO",('Activity data'!AJ14*EF!$H45*EF!I63)*NtoN2O*kgtoGg)</f>
        <v>0.10599378803030782</v>
      </c>
      <c r="AK45" s="29">
        <f>IF(('Activity data'!AK14*EF!$H45*EF!J63)*NtoN2O*kgtoGg=0,"NO",('Activity data'!AK14*EF!$H45*EF!J63)*NtoN2O*kgtoGg)</f>
        <v>0.10484639766347718</v>
      </c>
      <c r="AL45" s="29">
        <f>IF(('Activity data'!AL14*EF!$H45*EF!K63)*NtoN2O*kgtoGg=0,"NO",('Activity data'!AL14*EF!$H45*EF!K63)*NtoN2O*kgtoGg)</f>
        <v>0.10369900729664654</v>
      </c>
      <c r="AM45" s="29">
        <f>IF(('Activity data'!AM14*EF!$H45*EF!L63)*NtoN2O*kgtoGg=0,"NO",('Activity data'!AM14*EF!$H45*EF!L63)*NtoN2O*kgtoGg)</f>
        <v>0.10253600335482874</v>
      </c>
      <c r="AN45" s="29">
        <f>IF(('Activity data'!AN14*EF!$H45*EF!M63)*NtoN2O*kgtoGg=0,"NO",('Activity data'!AN14*EF!$H45*EF!M63)*NtoN2O*kgtoGg)</f>
        <v>0.10137299943447813</v>
      </c>
      <c r="AO45" s="29">
        <f>IF(('Activity data'!AO14*EF!$H45*EF!N63)*NtoN2O*kgtoGg=0,"NO",('Activity data'!AO14*EF!$H45*EF!N63)*NtoN2O*kgtoGg)</f>
        <v>0.1002099955141275</v>
      </c>
      <c r="AP45" s="29">
        <f>IF(('Activity data'!AP14*EF!$H45*EF!O63)*NtoN2O*kgtoGg=0,"NO",('Activity data'!AP14*EF!$H45*EF!O63)*NtoN2O*kgtoGg)</f>
        <v>9.9046991593776876E-2</v>
      </c>
      <c r="AQ45" s="29">
        <f>IF(('Activity data'!AQ14*EF!$H45*EF!P63)*NtoN2O*kgtoGg=0,"NO",('Activity data'!AQ14*EF!$H45*EF!P63)*NtoN2O*kgtoGg)</f>
        <v>9.788398765195909E-2</v>
      </c>
      <c r="AR45" s="29">
        <f>IF(('Activity data'!AR14*EF!$H45*EF!Q63)*NtoN2O*kgtoGg=0,"NO",('Activity data'!AR14*EF!$H45*EF!Q63)*NtoN2O*kgtoGg)</f>
        <v>9.6623997662127051E-2</v>
      </c>
      <c r="AS45" s="29">
        <f>IF(('Activity data'!AS14*EF!$H45*EF!R63)*NtoN2O*kgtoGg=0,"NO",('Activity data'!AS14*EF!$H45*EF!R63)*NtoN2O*kgtoGg)</f>
        <v>9.5364007672295054E-2</v>
      </c>
      <c r="AT45" s="29">
        <f>IF(('Activity data'!AT14*EF!$H45*EF!S63)*NtoN2O*kgtoGg=0,"NO",('Activity data'!AT14*EF!$H45*EF!S63)*NtoN2O*kgtoGg)</f>
        <v>9.4104017682463029E-2</v>
      </c>
      <c r="AU45" s="29">
        <f>IF(('Activity data'!AU14*EF!$H45*EF!T63)*NtoN2O*kgtoGg=0,"NO",('Activity data'!AU14*EF!$H45*EF!T63)*NtoN2O*kgtoGg)</f>
        <v>9.2844027692631018E-2</v>
      </c>
      <c r="AV45" s="29">
        <f>IF(('Activity data'!AV14*EF!$H45*EF!U63)*NtoN2O*kgtoGg=0,"NO",('Activity data'!AV14*EF!$H45*EF!U63)*NtoN2O*kgtoGg)</f>
        <v>9.1584037702798993E-2</v>
      </c>
      <c r="AW45" s="29">
        <f>IF(('Activity data'!AW14*EF!$H45*EF!V63)*NtoN2O*kgtoGg=0,"NO",('Activity data'!AW14*EF!$H45*EF!V63)*NtoN2O*kgtoGg)</f>
        <v>9.0366824544577173E-2</v>
      </c>
      <c r="AX45" s="29">
        <f>IF(('Activity data'!AX14*EF!$H45*EF!W63)*NtoN2O*kgtoGg=0,"NO",('Activity data'!AX14*EF!$H45*EF!W63)*NtoN2O*kgtoGg)</f>
        <v>8.9149611407822571E-2</v>
      </c>
      <c r="AY45" s="29">
        <f>IF(('Activity data'!AY14*EF!$H45*EF!X63)*NtoN2O*kgtoGg=0,"NO",('Activity data'!AY14*EF!$H45*EF!X63)*NtoN2O*kgtoGg)</f>
        <v>8.7932398249600752E-2</v>
      </c>
      <c r="AZ45" s="29">
        <f>IF(('Activity data'!AZ14*EF!$H45*EF!Y63)*NtoN2O*kgtoGg=0,"NO",('Activity data'!AZ14*EF!$H45*EF!Y63)*NtoN2O*kgtoGg)</f>
        <v>8.6715185112846135E-2</v>
      </c>
      <c r="BA45" s="29">
        <f>IF(('Activity data'!BA14*EF!$H45*EF!Z63)*NtoN2O*kgtoGg=0,"NO",('Activity data'!BA14*EF!$H45*EF!Z63)*NtoN2O*kgtoGg)</f>
        <v>8.5497971976091533E-2</v>
      </c>
      <c r="BB45" s="29">
        <f>IF(('Activity data'!BB14*EF!$H45*EF!AA63)*NtoN2O*kgtoGg=0,"NO",('Activity data'!BB14*EF!$H45*EF!AA63)*NtoN2O*kgtoGg)</f>
        <v>8.4232904475596712E-2</v>
      </c>
      <c r="BC45" s="29">
        <f>IF(('Activity data'!BC14*EF!$H45*EF!AB63)*NtoN2O*kgtoGg=0,"NO",('Activity data'!BC14*EF!$H45*EF!AB63)*NtoN2O*kgtoGg)</f>
        <v>8.2967836975101961E-2</v>
      </c>
      <c r="BD45" s="29">
        <f>IF(('Activity data'!BD14*EF!$H45*EF!AC63)*NtoN2O*kgtoGg=0,"NO",('Activity data'!BD14*EF!$H45*EF!AC63)*NtoN2O*kgtoGg)</f>
        <v>8.1702769496074384E-2</v>
      </c>
      <c r="BE45" s="29">
        <f>IF(('Activity data'!BE14*EF!$H45*EF!AD63)*NtoN2O*kgtoGg=0,"NO",('Activity data'!BE14*EF!$H45*EF!AD63)*NtoN2O*kgtoGg)</f>
        <v>8.0437701995579619E-2</v>
      </c>
      <c r="BF45" s="29">
        <f>IF(('Activity data'!BF14*EF!$H45*EF!AE63)*NtoN2O*kgtoGg=0,"NO",('Activity data'!BF14*EF!$H45*EF!AE63)*NtoN2O*kgtoGg)</f>
        <v>7.9172634495084812E-2</v>
      </c>
      <c r="BG45" s="29">
        <f>IF(('Activity data'!BG14*EF!$H45*EF!AF63)*NtoN2O*kgtoGg=0,"NO",('Activity data'!BG14*EF!$H45*EF!AF63)*NtoN2O*kgtoGg)</f>
        <v>7.7728524077388436E-2</v>
      </c>
      <c r="BH45" s="29">
        <f>IF(('Activity data'!BH14*EF!$H45*EF!AG63)*NtoN2O*kgtoGg=0,"NO",('Activity data'!BH14*EF!$H45*EF!AG63)*NtoN2O*kgtoGg)</f>
        <v>7.6284413681159291E-2</v>
      </c>
      <c r="BI45" s="29">
        <f>IF(('Activity data'!BI14*EF!$H45*EF!AH63)*NtoN2O*kgtoGg=0,"NO",('Activity data'!BI14*EF!$H45*EF!AH63)*NtoN2O*kgtoGg)</f>
        <v>7.4840303263462887E-2</v>
      </c>
      <c r="BJ45" s="29">
        <f>IF(('Activity data'!BJ14*EF!$H45*EF!AI63)*NtoN2O*kgtoGg=0,"NO",('Activity data'!BJ14*EF!$H45*EF!AI63)*NtoN2O*kgtoGg)</f>
        <v>7.3396192845766539E-2</v>
      </c>
      <c r="BK45" s="29">
        <f>IF(('Activity data'!BK14*EF!$H45*EF!AJ63)*NtoN2O*kgtoGg=0,"NO",('Activity data'!BK14*EF!$H45*EF!AJ63)*NtoN2O*kgtoGg)</f>
        <v>7.1952082428070177E-2</v>
      </c>
      <c r="BL45" s="29">
        <f>IF(('Activity data'!BL14*EF!$H45*EF!AK63)*NtoN2O*kgtoGg=0,"NO",('Activity data'!BL14*EF!$H45*EF!AK63)*NtoN2O*kgtoGg)</f>
        <v>7.0558940665377712E-2</v>
      </c>
      <c r="BM45" s="29">
        <f>IF(('Activity data'!BM14*EF!$H45*EF!AL63)*NtoN2O*kgtoGg=0,"NO",('Activity data'!BM14*EF!$H45*EF!AL63)*NtoN2O*kgtoGg)</f>
        <v>6.9165798902685302E-2</v>
      </c>
      <c r="BN45" s="29">
        <f>IF(('Activity data'!BN14*EF!$H45*EF!AM63)*NtoN2O*kgtoGg=0,"NO",('Activity data'!BN14*EF!$H45*EF!AM63)*NtoN2O*kgtoGg)</f>
        <v>6.7772657118525648E-2</v>
      </c>
      <c r="BO45" s="29">
        <f>IF(('Activity data'!BO14*EF!$H45*EF!AN63)*NtoN2O*kgtoGg=0,"NO",('Activity data'!BO14*EF!$H45*EF!AN63)*NtoN2O*kgtoGg)</f>
        <v>6.6379515355833238E-2</v>
      </c>
      <c r="BP45" s="29">
        <f>IF(('Activity data'!BP14*EF!$H45*EF!AO63)*NtoN2O*kgtoGg=0,"NO",('Activity data'!BP14*EF!$H45*EF!AO63)*NtoN2O*kgtoGg)</f>
        <v>6.4986373593140787E-2</v>
      </c>
    </row>
    <row r="46" spans="1:68" x14ac:dyDescent="0.25">
      <c r="A46" t="str">
        <f t="shared" si="1"/>
        <v>3A Livestock</v>
      </c>
      <c r="B46" t="str">
        <f t="shared" si="11"/>
        <v>3A2 Manure management (N2O)</v>
      </c>
      <c r="C46" t="str">
        <f>EF!C64</f>
        <v>3A1f Horses</v>
      </c>
      <c r="D46" t="str">
        <f>EF!D64</f>
        <v>Horses</v>
      </c>
      <c r="E46" t="str">
        <f t="shared" si="9"/>
        <v>Manure management Emissions</v>
      </c>
      <c r="F46" t="s">
        <v>143</v>
      </c>
      <c r="G46" t="str">
        <f t="shared" si="10"/>
        <v>Gg N2O</v>
      </c>
      <c r="H46" s="29" t="str">
        <f>IF(('Activity data'!H15*EF!$H46*EF!$H64)*NtoN2O*kgtoGg=0,"NO",('Activity data'!H15*EF!$H46*EF!$H64)*NtoN2O*kgtoGg)</f>
        <v>NO</v>
      </c>
      <c r="I46" s="29" t="str">
        <f>IF(('Activity data'!I15*EF!$H46*EF!$H64)*NtoN2O*kgtoGg=0,"NO",('Activity data'!I15*EF!$H46*EF!$H64)*NtoN2O*kgtoGg)</f>
        <v>NO</v>
      </c>
      <c r="J46" s="29" t="str">
        <f>IF(('Activity data'!J15*EF!$H46*EF!$H64)*NtoN2O*kgtoGg=0,"NO",('Activity data'!J15*EF!$H46*EF!$H64)*NtoN2O*kgtoGg)</f>
        <v>NO</v>
      </c>
      <c r="K46" s="29" t="str">
        <f>IF(('Activity data'!K15*EF!$H46*EF!$H64)*NtoN2O*kgtoGg=0,"NO",('Activity data'!K15*EF!$H46*EF!$H64)*NtoN2O*kgtoGg)</f>
        <v>NO</v>
      </c>
      <c r="L46" s="29" t="str">
        <f>IF(('Activity data'!L15*EF!$H46*EF!$H64)*NtoN2O*kgtoGg=0,"NO",('Activity data'!L15*EF!$H46*EF!$H64)*NtoN2O*kgtoGg)</f>
        <v>NO</v>
      </c>
      <c r="M46" s="29" t="str">
        <f>IF(('Activity data'!M15*EF!$H46*EF!$H64)*NtoN2O*kgtoGg=0,"NO",('Activity data'!M15*EF!$H46*EF!$H64)*NtoN2O*kgtoGg)</f>
        <v>NO</v>
      </c>
      <c r="N46" s="29" t="str">
        <f>IF(('Activity data'!N15*EF!$H46*EF!$H64)*NtoN2O*kgtoGg=0,"NO",('Activity data'!N15*EF!$H46*EF!$H64)*NtoN2O*kgtoGg)</f>
        <v>NO</v>
      </c>
      <c r="O46" s="29" t="str">
        <f>IF(('Activity data'!O15*EF!$H46*EF!$H64)*NtoN2O*kgtoGg=0,"NO",('Activity data'!O15*EF!$H46*EF!$H64)*NtoN2O*kgtoGg)</f>
        <v>NO</v>
      </c>
      <c r="P46" s="29" t="str">
        <f>IF(('Activity data'!P15*EF!$H46*EF!$H64)*NtoN2O*kgtoGg=0,"NO",('Activity data'!P15*EF!$H46*EF!$H64)*NtoN2O*kgtoGg)</f>
        <v>NO</v>
      </c>
      <c r="Q46" s="29" t="str">
        <f>IF(('Activity data'!Q15*EF!$H46*EF!$H64)*NtoN2O*kgtoGg=0,"NO",('Activity data'!Q15*EF!$H46*EF!$H64)*NtoN2O*kgtoGg)</f>
        <v>NO</v>
      </c>
      <c r="R46" s="29" t="str">
        <f>IF(('Activity data'!R15*EF!$H46*EF!$H64)*NtoN2O*kgtoGg=0,"NO",('Activity data'!R15*EF!$H46*EF!$H64)*NtoN2O*kgtoGg)</f>
        <v>NO</v>
      </c>
      <c r="S46" s="29" t="str">
        <f>IF(('Activity data'!S15*EF!$H46*EF!$H64)*NtoN2O*kgtoGg=0,"NO",('Activity data'!S15*EF!$H46*EF!$H64)*NtoN2O*kgtoGg)</f>
        <v>NO</v>
      </c>
      <c r="T46" s="29" t="str">
        <f>IF(('Activity data'!T15*EF!$H46*EF!$H64)*NtoN2O*kgtoGg=0,"NO",('Activity data'!T15*EF!$H46*EF!$H64)*NtoN2O*kgtoGg)</f>
        <v>NO</v>
      </c>
      <c r="U46" s="29" t="str">
        <f>IF(('Activity data'!U15*EF!$H46*EF!$H64)*NtoN2O*kgtoGg=0,"NO",('Activity data'!U15*EF!$H46*EF!$H64)*NtoN2O*kgtoGg)</f>
        <v>NO</v>
      </c>
      <c r="V46" s="29" t="str">
        <f>IF(('Activity data'!V15*EF!$H46*EF!$H64)*NtoN2O*kgtoGg=0,"NO",('Activity data'!V15*EF!$H46*EF!$H64)*NtoN2O*kgtoGg)</f>
        <v>NO</v>
      </c>
      <c r="W46" s="29" t="str">
        <f>IF(('Activity data'!W15*EF!$H46*EF!$H64)*NtoN2O*kgtoGg=0,"NO",('Activity data'!W15*EF!$H46*EF!$H64)*NtoN2O*kgtoGg)</f>
        <v>NO</v>
      </c>
      <c r="X46" s="29" t="str">
        <f>IF(('Activity data'!X15*EF!$H46*EF!$H64)*NtoN2O*kgtoGg=0,"NO",('Activity data'!X15*EF!$H46*EF!$H64)*NtoN2O*kgtoGg)</f>
        <v>NO</v>
      </c>
      <c r="Y46" s="29" t="str">
        <f>IF(('Activity data'!Y15*EF!$H46*EF!$H64)*NtoN2O*kgtoGg=0,"NO",('Activity data'!Y15*EF!$H46*EF!$H64)*NtoN2O*kgtoGg)</f>
        <v>NO</v>
      </c>
      <c r="Z46" s="29" t="str">
        <f>IF(('Activity data'!Z15*EF!$H46*EF!$H64)*NtoN2O*kgtoGg=0,"NO",('Activity data'!Z15*EF!$H46*EF!$H64)*NtoN2O*kgtoGg)</f>
        <v>NO</v>
      </c>
      <c r="AA46" s="29" t="str">
        <f>IF(('Activity data'!AA15*EF!$H46*EF!$H64)*NtoN2O*kgtoGg=0,"NO",('Activity data'!AA15*EF!$H46*EF!$H64)*NtoN2O*kgtoGg)</f>
        <v>NO</v>
      </c>
      <c r="AB46" s="29" t="str">
        <f>IF(('Activity data'!AB15*EF!$H46*EF!$H64)*NtoN2O*kgtoGg=0,"NO",('Activity data'!AB15*EF!$H46*EF!$H64)*NtoN2O*kgtoGg)</f>
        <v>NO</v>
      </c>
      <c r="AC46" s="29" t="str">
        <f>IF(('Activity data'!AC15*EF!$H46*EF!$H64)*NtoN2O*kgtoGg=0,"NO",('Activity data'!AC15*EF!$H46*EF!$H64)*NtoN2O*kgtoGg)</f>
        <v>NO</v>
      </c>
      <c r="AD46" s="29" t="str">
        <f>IF(('Activity data'!AD15*EF!$H46*EF!$H64)*NtoN2O*kgtoGg=0,"NO",('Activity data'!AD15*EF!$H46*EF!$H64)*NtoN2O*kgtoGg)</f>
        <v>NO</v>
      </c>
      <c r="AE46" s="29" t="str">
        <f>IF(('Activity data'!AE15*EF!$H46*EF!$H64)*NtoN2O*kgtoGg=0,"NO",('Activity data'!AE15*EF!$H46*EF!$H64)*NtoN2O*kgtoGg)</f>
        <v>NO</v>
      </c>
      <c r="AF46" s="29" t="str">
        <f>IF(('Activity data'!AF15*EF!$H46*EF!$H64)*NtoN2O*kgtoGg=0,"NO",('Activity data'!AF15*EF!$H46*EF!$H64)*NtoN2O*kgtoGg)</f>
        <v>NO</v>
      </c>
      <c r="AG46" s="29" t="str">
        <f>IF(('Activity data'!AG15*EF!$H46*EF!$H64)*NtoN2O*kgtoGg=0,"NO",('Activity data'!AG15*EF!$H46*EF!$H64)*NtoN2O*kgtoGg)</f>
        <v>NO</v>
      </c>
      <c r="AH46" s="29" t="str">
        <f>IF(('Activity data'!AH15*EF!$H46*EF!$H64)*NtoN2O*kgtoGg=0,"NO",('Activity data'!AH15*EF!$H46*EF!$H64)*NtoN2O*kgtoGg)</f>
        <v>NO</v>
      </c>
      <c r="AI46" s="29" t="str">
        <f>IF(('Activity data'!AI15*EF!$H46*EF!H64)*NtoN2O*kgtoGg=0,"NO",('Activity data'!AI15*EF!$H46*EF!H64)*NtoN2O*kgtoGg)</f>
        <v>NO</v>
      </c>
      <c r="AJ46" s="29" t="str">
        <f>IF(('Activity data'!AJ15*EF!$H46*EF!I64)*NtoN2O*kgtoGg=0,"NO",('Activity data'!AJ15*EF!$H46*EF!I64)*NtoN2O*kgtoGg)</f>
        <v>NO</v>
      </c>
      <c r="AK46" s="29" t="str">
        <f>IF(('Activity data'!AK15*EF!$H46*EF!J64)*NtoN2O*kgtoGg=0,"NO",('Activity data'!AK15*EF!$H46*EF!J64)*NtoN2O*kgtoGg)</f>
        <v>NO</v>
      </c>
      <c r="AL46" s="29" t="str">
        <f>IF(('Activity data'!AL15*EF!$H46*EF!K64)*NtoN2O*kgtoGg=0,"NO",('Activity data'!AL15*EF!$H46*EF!K64)*NtoN2O*kgtoGg)</f>
        <v>NO</v>
      </c>
      <c r="AM46" s="29" t="str">
        <f>IF(('Activity data'!AM15*EF!$H46*EF!L64)*NtoN2O*kgtoGg=0,"NO",('Activity data'!AM15*EF!$H46*EF!L64)*NtoN2O*kgtoGg)</f>
        <v>NO</v>
      </c>
      <c r="AN46" s="29" t="str">
        <f>IF(('Activity data'!AN15*EF!$H46*EF!M64)*NtoN2O*kgtoGg=0,"NO",('Activity data'!AN15*EF!$H46*EF!M64)*NtoN2O*kgtoGg)</f>
        <v>NO</v>
      </c>
      <c r="AO46" s="29" t="str">
        <f>IF(('Activity data'!AO15*EF!$H46*EF!N64)*NtoN2O*kgtoGg=0,"NO",('Activity data'!AO15*EF!$H46*EF!N64)*NtoN2O*kgtoGg)</f>
        <v>NO</v>
      </c>
      <c r="AP46" s="29" t="str">
        <f>IF(('Activity data'!AP15*EF!$H46*EF!O64)*NtoN2O*kgtoGg=0,"NO",('Activity data'!AP15*EF!$H46*EF!O64)*NtoN2O*kgtoGg)</f>
        <v>NO</v>
      </c>
      <c r="AQ46" s="29" t="str">
        <f>IF(('Activity data'!AQ15*EF!$H46*EF!P64)*NtoN2O*kgtoGg=0,"NO",('Activity data'!AQ15*EF!$H46*EF!P64)*NtoN2O*kgtoGg)</f>
        <v>NO</v>
      </c>
      <c r="AR46" s="29" t="str">
        <f>IF(('Activity data'!AR15*EF!$H46*EF!Q64)*NtoN2O*kgtoGg=0,"NO",('Activity data'!AR15*EF!$H46*EF!Q64)*NtoN2O*kgtoGg)</f>
        <v>NO</v>
      </c>
      <c r="AS46" s="29" t="str">
        <f>IF(('Activity data'!AS15*EF!$H46*EF!R64)*NtoN2O*kgtoGg=0,"NO",('Activity data'!AS15*EF!$H46*EF!R64)*NtoN2O*kgtoGg)</f>
        <v>NO</v>
      </c>
      <c r="AT46" s="29" t="str">
        <f>IF(('Activity data'!AT15*EF!$H46*EF!S64)*NtoN2O*kgtoGg=0,"NO",('Activity data'!AT15*EF!$H46*EF!S64)*NtoN2O*kgtoGg)</f>
        <v>NO</v>
      </c>
      <c r="AU46" s="29" t="str">
        <f>IF(('Activity data'!AU15*EF!$H46*EF!T64)*NtoN2O*kgtoGg=0,"NO",('Activity data'!AU15*EF!$H46*EF!T64)*NtoN2O*kgtoGg)</f>
        <v>NO</v>
      </c>
      <c r="AV46" s="29" t="str">
        <f>IF(('Activity data'!AV15*EF!$H46*EF!U64)*NtoN2O*kgtoGg=0,"NO",('Activity data'!AV15*EF!$H46*EF!U64)*NtoN2O*kgtoGg)</f>
        <v>NO</v>
      </c>
      <c r="AW46" s="29" t="str">
        <f>IF(('Activity data'!AW15*EF!$H46*EF!V64)*NtoN2O*kgtoGg=0,"NO",('Activity data'!AW15*EF!$H46*EF!V64)*NtoN2O*kgtoGg)</f>
        <v>NO</v>
      </c>
      <c r="AX46" s="29" t="str">
        <f>IF(('Activity data'!AX15*EF!$H46*EF!W64)*NtoN2O*kgtoGg=0,"NO",('Activity data'!AX15*EF!$H46*EF!W64)*NtoN2O*kgtoGg)</f>
        <v>NO</v>
      </c>
      <c r="AY46" s="29" t="str">
        <f>IF(('Activity data'!AY15*EF!$H46*EF!X64)*NtoN2O*kgtoGg=0,"NO",('Activity data'!AY15*EF!$H46*EF!X64)*NtoN2O*kgtoGg)</f>
        <v>NO</v>
      </c>
      <c r="AZ46" s="29" t="str">
        <f>IF(('Activity data'!AZ15*EF!$H46*EF!Y64)*NtoN2O*kgtoGg=0,"NO",('Activity data'!AZ15*EF!$H46*EF!Y64)*NtoN2O*kgtoGg)</f>
        <v>NO</v>
      </c>
      <c r="BA46" s="29" t="str">
        <f>IF(('Activity data'!BA15*EF!$H46*EF!Z64)*NtoN2O*kgtoGg=0,"NO",('Activity data'!BA15*EF!$H46*EF!Z64)*NtoN2O*kgtoGg)</f>
        <v>NO</v>
      </c>
      <c r="BB46" s="29" t="str">
        <f>IF(('Activity data'!BB15*EF!$H46*EF!AA64)*NtoN2O*kgtoGg=0,"NO",('Activity data'!BB15*EF!$H46*EF!AA64)*NtoN2O*kgtoGg)</f>
        <v>NO</v>
      </c>
      <c r="BC46" s="29" t="str">
        <f>IF(('Activity data'!BC15*EF!$H46*EF!AB64)*NtoN2O*kgtoGg=0,"NO",('Activity data'!BC15*EF!$H46*EF!AB64)*NtoN2O*kgtoGg)</f>
        <v>NO</v>
      </c>
      <c r="BD46" s="29" t="str">
        <f>IF(('Activity data'!BD15*EF!$H46*EF!AC64)*NtoN2O*kgtoGg=0,"NO",('Activity data'!BD15*EF!$H46*EF!AC64)*NtoN2O*kgtoGg)</f>
        <v>NO</v>
      </c>
      <c r="BE46" s="29" t="str">
        <f>IF(('Activity data'!BE15*EF!$H46*EF!AD64)*NtoN2O*kgtoGg=0,"NO",('Activity data'!BE15*EF!$H46*EF!AD64)*NtoN2O*kgtoGg)</f>
        <v>NO</v>
      </c>
      <c r="BF46" s="29" t="str">
        <f>IF(('Activity data'!BF15*EF!$H46*EF!AE64)*NtoN2O*kgtoGg=0,"NO",('Activity data'!BF15*EF!$H46*EF!AE64)*NtoN2O*kgtoGg)</f>
        <v>NO</v>
      </c>
      <c r="BG46" s="29" t="str">
        <f>IF(('Activity data'!BG15*EF!$H46*EF!AF64)*NtoN2O*kgtoGg=0,"NO",('Activity data'!BG15*EF!$H46*EF!AF64)*NtoN2O*kgtoGg)</f>
        <v>NO</v>
      </c>
      <c r="BH46" s="29" t="str">
        <f>IF(('Activity data'!BH15*EF!$H46*EF!AG64)*NtoN2O*kgtoGg=0,"NO",('Activity data'!BH15*EF!$H46*EF!AG64)*NtoN2O*kgtoGg)</f>
        <v>NO</v>
      </c>
      <c r="BI46" s="29" t="str">
        <f>IF(('Activity data'!BI15*EF!$H46*EF!AH64)*NtoN2O*kgtoGg=0,"NO",('Activity data'!BI15*EF!$H46*EF!AH64)*NtoN2O*kgtoGg)</f>
        <v>NO</v>
      </c>
      <c r="BJ46" s="29" t="str">
        <f>IF(('Activity data'!BJ15*EF!$H46*EF!AI64)*NtoN2O*kgtoGg=0,"NO",('Activity data'!BJ15*EF!$H46*EF!AI64)*NtoN2O*kgtoGg)</f>
        <v>NO</v>
      </c>
      <c r="BK46" s="29" t="str">
        <f>IF(('Activity data'!BK15*EF!$H46*EF!AJ64)*NtoN2O*kgtoGg=0,"NO",('Activity data'!BK15*EF!$H46*EF!AJ64)*NtoN2O*kgtoGg)</f>
        <v>NO</v>
      </c>
      <c r="BL46" s="29" t="str">
        <f>IF(('Activity data'!BL15*EF!$H46*EF!AK64)*NtoN2O*kgtoGg=0,"NO",('Activity data'!BL15*EF!$H46*EF!AK64)*NtoN2O*kgtoGg)</f>
        <v>NO</v>
      </c>
      <c r="BM46" s="29" t="str">
        <f>IF(('Activity data'!BM15*EF!$H46*EF!AL64)*NtoN2O*kgtoGg=0,"NO",('Activity data'!BM15*EF!$H46*EF!AL64)*NtoN2O*kgtoGg)</f>
        <v>NO</v>
      </c>
      <c r="BN46" s="29" t="str">
        <f>IF(('Activity data'!BN15*EF!$H46*EF!AM64)*NtoN2O*kgtoGg=0,"NO",('Activity data'!BN15*EF!$H46*EF!AM64)*NtoN2O*kgtoGg)</f>
        <v>NO</v>
      </c>
      <c r="BO46" s="29" t="str">
        <f>IF(('Activity data'!BO15*EF!$H46*EF!AN64)*NtoN2O*kgtoGg=0,"NO",('Activity data'!BO15*EF!$H46*EF!AN64)*NtoN2O*kgtoGg)</f>
        <v>NO</v>
      </c>
      <c r="BP46" s="29" t="str">
        <f>IF(('Activity data'!BP15*EF!$H46*EF!AO64)*NtoN2O*kgtoGg=0,"NO",('Activity data'!BP15*EF!$H46*EF!AO64)*NtoN2O*kgtoGg)</f>
        <v>NO</v>
      </c>
    </row>
    <row r="47" spans="1:68" x14ac:dyDescent="0.25">
      <c r="A47" t="str">
        <f t="shared" si="1"/>
        <v>3A Livestock</v>
      </c>
      <c r="B47" t="str">
        <f t="shared" si="11"/>
        <v>3A2 Manure management (N2O)</v>
      </c>
      <c r="C47" t="str">
        <f>EF!C65</f>
        <v>3A1g Mules &amp; asses</v>
      </c>
      <c r="D47" t="str">
        <f>EF!D65</f>
        <v>Mules &amp; Asses</v>
      </c>
      <c r="E47" t="str">
        <f t="shared" si="9"/>
        <v>Manure management Emissions</v>
      </c>
      <c r="F47" t="s">
        <v>143</v>
      </c>
      <c r="G47" t="str">
        <f t="shared" si="10"/>
        <v>Gg N2O</v>
      </c>
      <c r="H47" s="29" t="str">
        <f>IF(('Activity data'!H16*EF!$H47*EF!$H65)*NtoN2O*kgtoGg=0,"NO",('Activity data'!H16*EF!$H47*EF!$H65)*NtoN2O*kgtoGg)</f>
        <v>NO</v>
      </c>
      <c r="I47" s="29" t="str">
        <f>IF(('Activity data'!I16*EF!$H47*EF!$H65)*NtoN2O*kgtoGg=0,"NO",('Activity data'!I16*EF!$H47*EF!$H65)*NtoN2O*kgtoGg)</f>
        <v>NO</v>
      </c>
      <c r="J47" s="29" t="str">
        <f>IF(('Activity data'!J16*EF!$H47*EF!$H65)*NtoN2O*kgtoGg=0,"NO",('Activity data'!J16*EF!$H47*EF!$H65)*NtoN2O*kgtoGg)</f>
        <v>NO</v>
      </c>
      <c r="K47" s="29" t="str">
        <f>IF(('Activity data'!K16*EF!$H47*EF!$H65)*NtoN2O*kgtoGg=0,"NO",('Activity data'!K16*EF!$H47*EF!$H65)*NtoN2O*kgtoGg)</f>
        <v>NO</v>
      </c>
      <c r="L47" s="29" t="str">
        <f>IF(('Activity data'!L16*EF!$H47*EF!$H65)*NtoN2O*kgtoGg=0,"NO",('Activity data'!L16*EF!$H47*EF!$H65)*NtoN2O*kgtoGg)</f>
        <v>NO</v>
      </c>
      <c r="M47" s="29" t="str">
        <f>IF(('Activity data'!M16*EF!$H47*EF!$H65)*NtoN2O*kgtoGg=0,"NO",('Activity data'!M16*EF!$H47*EF!$H65)*NtoN2O*kgtoGg)</f>
        <v>NO</v>
      </c>
      <c r="N47" s="29" t="str">
        <f>IF(('Activity data'!N16*EF!$H47*EF!$H65)*NtoN2O*kgtoGg=0,"NO",('Activity data'!N16*EF!$H47*EF!$H65)*NtoN2O*kgtoGg)</f>
        <v>NO</v>
      </c>
      <c r="O47" s="29" t="str">
        <f>IF(('Activity data'!O16*EF!$H47*EF!$H65)*NtoN2O*kgtoGg=0,"NO",('Activity data'!O16*EF!$H47*EF!$H65)*NtoN2O*kgtoGg)</f>
        <v>NO</v>
      </c>
      <c r="P47" s="29" t="str">
        <f>IF(('Activity data'!P16*EF!$H47*EF!$H65)*NtoN2O*kgtoGg=0,"NO",('Activity data'!P16*EF!$H47*EF!$H65)*NtoN2O*kgtoGg)</f>
        <v>NO</v>
      </c>
      <c r="Q47" s="29" t="str">
        <f>IF(('Activity data'!Q16*EF!$H47*EF!$H65)*NtoN2O*kgtoGg=0,"NO",('Activity data'!Q16*EF!$H47*EF!$H65)*NtoN2O*kgtoGg)</f>
        <v>NO</v>
      </c>
      <c r="R47" s="29" t="str">
        <f>IF(('Activity data'!R16*EF!$H47*EF!$H65)*NtoN2O*kgtoGg=0,"NO",('Activity data'!R16*EF!$H47*EF!$H65)*NtoN2O*kgtoGg)</f>
        <v>NO</v>
      </c>
      <c r="S47" s="29" t="str">
        <f>IF(('Activity data'!S16*EF!$H47*EF!$H65)*NtoN2O*kgtoGg=0,"NO",('Activity data'!S16*EF!$H47*EF!$H65)*NtoN2O*kgtoGg)</f>
        <v>NO</v>
      </c>
      <c r="T47" s="29" t="str">
        <f>IF(('Activity data'!T16*EF!$H47*EF!$H65)*NtoN2O*kgtoGg=0,"NO",('Activity data'!T16*EF!$H47*EF!$H65)*NtoN2O*kgtoGg)</f>
        <v>NO</v>
      </c>
      <c r="U47" s="29" t="str">
        <f>IF(('Activity data'!U16*EF!$H47*EF!$H65)*NtoN2O*kgtoGg=0,"NO",('Activity data'!U16*EF!$H47*EF!$H65)*NtoN2O*kgtoGg)</f>
        <v>NO</v>
      </c>
      <c r="V47" s="29" t="str">
        <f>IF(('Activity data'!V16*EF!$H47*EF!$H65)*NtoN2O*kgtoGg=0,"NO",('Activity data'!V16*EF!$H47*EF!$H65)*NtoN2O*kgtoGg)</f>
        <v>NO</v>
      </c>
      <c r="W47" s="29" t="str">
        <f>IF(('Activity data'!W16*EF!$H47*EF!$H65)*NtoN2O*kgtoGg=0,"NO",('Activity data'!W16*EF!$H47*EF!$H65)*NtoN2O*kgtoGg)</f>
        <v>NO</v>
      </c>
      <c r="X47" s="29" t="str">
        <f>IF(('Activity data'!X16*EF!$H47*EF!$H65)*NtoN2O*kgtoGg=0,"NO",('Activity data'!X16*EF!$H47*EF!$H65)*NtoN2O*kgtoGg)</f>
        <v>NO</v>
      </c>
      <c r="Y47" s="29" t="str">
        <f>IF(('Activity data'!Y16*EF!$H47*EF!$H65)*NtoN2O*kgtoGg=0,"NO",('Activity data'!Y16*EF!$H47*EF!$H65)*NtoN2O*kgtoGg)</f>
        <v>NO</v>
      </c>
      <c r="Z47" s="29" t="str">
        <f>IF(('Activity data'!Z16*EF!$H47*EF!$H65)*NtoN2O*kgtoGg=0,"NO",('Activity data'!Z16*EF!$H47*EF!$H65)*NtoN2O*kgtoGg)</f>
        <v>NO</v>
      </c>
      <c r="AA47" s="29" t="str">
        <f>IF(('Activity data'!AA16*EF!$H47*EF!$H65)*NtoN2O*kgtoGg=0,"NO",('Activity data'!AA16*EF!$H47*EF!$H65)*NtoN2O*kgtoGg)</f>
        <v>NO</v>
      </c>
      <c r="AB47" s="29" t="str">
        <f>IF(('Activity data'!AB16*EF!$H47*EF!$H65)*NtoN2O*kgtoGg=0,"NO",('Activity data'!AB16*EF!$H47*EF!$H65)*NtoN2O*kgtoGg)</f>
        <v>NO</v>
      </c>
      <c r="AC47" s="29" t="str">
        <f>IF(('Activity data'!AC16*EF!$H47*EF!$H65)*NtoN2O*kgtoGg=0,"NO",('Activity data'!AC16*EF!$H47*EF!$H65)*NtoN2O*kgtoGg)</f>
        <v>NO</v>
      </c>
      <c r="AD47" s="29" t="str">
        <f>IF(('Activity data'!AD16*EF!$H47*EF!$H65)*NtoN2O*kgtoGg=0,"NO",('Activity data'!AD16*EF!$H47*EF!$H65)*NtoN2O*kgtoGg)</f>
        <v>NO</v>
      </c>
      <c r="AE47" s="29" t="str">
        <f>IF(('Activity data'!AE16*EF!$H47*EF!$H65)*NtoN2O*kgtoGg=0,"NO",('Activity data'!AE16*EF!$H47*EF!$H65)*NtoN2O*kgtoGg)</f>
        <v>NO</v>
      </c>
      <c r="AF47" s="29" t="str">
        <f>IF(('Activity data'!AF16*EF!$H47*EF!$H65)*NtoN2O*kgtoGg=0,"NO",('Activity data'!AF16*EF!$H47*EF!$H65)*NtoN2O*kgtoGg)</f>
        <v>NO</v>
      </c>
      <c r="AG47" s="29" t="str">
        <f>IF(('Activity data'!AG16*EF!$H47*EF!$H65)*NtoN2O*kgtoGg=0,"NO",('Activity data'!AG16*EF!$H47*EF!$H65)*NtoN2O*kgtoGg)</f>
        <v>NO</v>
      </c>
      <c r="AH47" s="29" t="str">
        <f>IF(('Activity data'!AH16*EF!$H47*EF!$H65)*NtoN2O*kgtoGg=0,"NO",('Activity data'!AH16*EF!$H47*EF!$H65)*NtoN2O*kgtoGg)</f>
        <v>NO</v>
      </c>
      <c r="AI47" s="29" t="str">
        <f>IF(('Activity data'!AI16*EF!$H47*EF!H65)*NtoN2O*kgtoGg=0,"NO",('Activity data'!AI16*EF!$H47*EF!H65)*NtoN2O*kgtoGg)</f>
        <v>NO</v>
      </c>
      <c r="AJ47" s="29" t="str">
        <f>IF(('Activity data'!AJ16*EF!$H47*EF!I65)*NtoN2O*kgtoGg=0,"NO",('Activity data'!AJ16*EF!$H47*EF!I65)*NtoN2O*kgtoGg)</f>
        <v>NO</v>
      </c>
      <c r="AK47" s="29" t="str">
        <f>IF(('Activity data'!AK16*EF!$H47*EF!J65)*NtoN2O*kgtoGg=0,"NO",('Activity data'!AK16*EF!$H47*EF!J65)*NtoN2O*kgtoGg)</f>
        <v>NO</v>
      </c>
      <c r="AL47" s="29" t="str">
        <f>IF(('Activity data'!AL16*EF!$H47*EF!K65)*NtoN2O*kgtoGg=0,"NO",('Activity data'!AL16*EF!$H47*EF!K65)*NtoN2O*kgtoGg)</f>
        <v>NO</v>
      </c>
      <c r="AM47" s="29" t="str">
        <f>IF(('Activity data'!AM16*EF!$H47*EF!L65)*NtoN2O*kgtoGg=0,"NO",('Activity data'!AM16*EF!$H47*EF!L65)*NtoN2O*kgtoGg)</f>
        <v>NO</v>
      </c>
      <c r="AN47" s="29" t="str">
        <f>IF(('Activity data'!AN16*EF!$H47*EF!M65)*NtoN2O*kgtoGg=0,"NO",('Activity data'!AN16*EF!$H47*EF!M65)*NtoN2O*kgtoGg)</f>
        <v>NO</v>
      </c>
      <c r="AO47" s="29" t="str">
        <f>IF(('Activity data'!AO16*EF!$H47*EF!N65)*NtoN2O*kgtoGg=0,"NO",('Activity data'!AO16*EF!$H47*EF!N65)*NtoN2O*kgtoGg)</f>
        <v>NO</v>
      </c>
      <c r="AP47" s="29" t="str">
        <f>IF(('Activity data'!AP16*EF!$H47*EF!O65)*NtoN2O*kgtoGg=0,"NO",('Activity data'!AP16*EF!$H47*EF!O65)*NtoN2O*kgtoGg)</f>
        <v>NO</v>
      </c>
      <c r="AQ47" s="29" t="str">
        <f>IF(('Activity data'!AQ16*EF!$H47*EF!P65)*NtoN2O*kgtoGg=0,"NO",('Activity data'!AQ16*EF!$H47*EF!P65)*NtoN2O*kgtoGg)</f>
        <v>NO</v>
      </c>
      <c r="AR47" s="29" t="str">
        <f>IF(('Activity data'!AR16*EF!$H47*EF!Q65)*NtoN2O*kgtoGg=0,"NO",('Activity data'!AR16*EF!$H47*EF!Q65)*NtoN2O*kgtoGg)</f>
        <v>NO</v>
      </c>
      <c r="AS47" s="29" t="str">
        <f>IF(('Activity data'!AS16*EF!$H47*EF!R65)*NtoN2O*kgtoGg=0,"NO",('Activity data'!AS16*EF!$H47*EF!R65)*NtoN2O*kgtoGg)</f>
        <v>NO</v>
      </c>
      <c r="AT47" s="29" t="str">
        <f>IF(('Activity data'!AT16*EF!$H47*EF!S65)*NtoN2O*kgtoGg=0,"NO",('Activity data'!AT16*EF!$H47*EF!S65)*NtoN2O*kgtoGg)</f>
        <v>NO</v>
      </c>
      <c r="AU47" s="29" t="str">
        <f>IF(('Activity data'!AU16*EF!$H47*EF!T65)*NtoN2O*kgtoGg=0,"NO",('Activity data'!AU16*EF!$H47*EF!T65)*NtoN2O*kgtoGg)</f>
        <v>NO</v>
      </c>
      <c r="AV47" s="29" t="str">
        <f>IF(('Activity data'!AV16*EF!$H47*EF!U65)*NtoN2O*kgtoGg=0,"NO",('Activity data'!AV16*EF!$H47*EF!U65)*NtoN2O*kgtoGg)</f>
        <v>NO</v>
      </c>
      <c r="AW47" s="29" t="str">
        <f>IF(('Activity data'!AW16*EF!$H47*EF!V65)*NtoN2O*kgtoGg=0,"NO",('Activity data'!AW16*EF!$H47*EF!V65)*NtoN2O*kgtoGg)</f>
        <v>NO</v>
      </c>
      <c r="AX47" s="29" t="str">
        <f>IF(('Activity data'!AX16*EF!$H47*EF!W65)*NtoN2O*kgtoGg=0,"NO",('Activity data'!AX16*EF!$H47*EF!W65)*NtoN2O*kgtoGg)</f>
        <v>NO</v>
      </c>
      <c r="AY47" s="29" t="str">
        <f>IF(('Activity data'!AY16*EF!$H47*EF!X65)*NtoN2O*kgtoGg=0,"NO",('Activity data'!AY16*EF!$H47*EF!X65)*NtoN2O*kgtoGg)</f>
        <v>NO</v>
      </c>
      <c r="AZ47" s="29" t="str">
        <f>IF(('Activity data'!AZ16*EF!$H47*EF!Y65)*NtoN2O*kgtoGg=0,"NO",('Activity data'!AZ16*EF!$H47*EF!Y65)*NtoN2O*kgtoGg)</f>
        <v>NO</v>
      </c>
      <c r="BA47" s="29" t="str">
        <f>IF(('Activity data'!BA16*EF!$H47*EF!Z65)*NtoN2O*kgtoGg=0,"NO",('Activity data'!BA16*EF!$H47*EF!Z65)*NtoN2O*kgtoGg)</f>
        <v>NO</v>
      </c>
      <c r="BB47" s="29" t="str">
        <f>IF(('Activity data'!BB16*EF!$H47*EF!AA65)*NtoN2O*kgtoGg=0,"NO",('Activity data'!BB16*EF!$H47*EF!AA65)*NtoN2O*kgtoGg)</f>
        <v>NO</v>
      </c>
      <c r="BC47" s="29" t="str">
        <f>IF(('Activity data'!BC16*EF!$H47*EF!AB65)*NtoN2O*kgtoGg=0,"NO",('Activity data'!BC16*EF!$H47*EF!AB65)*NtoN2O*kgtoGg)</f>
        <v>NO</v>
      </c>
      <c r="BD47" s="29" t="str">
        <f>IF(('Activity data'!BD16*EF!$H47*EF!AC65)*NtoN2O*kgtoGg=0,"NO",('Activity data'!BD16*EF!$H47*EF!AC65)*NtoN2O*kgtoGg)</f>
        <v>NO</v>
      </c>
      <c r="BE47" s="29" t="str">
        <f>IF(('Activity data'!BE16*EF!$H47*EF!AD65)*NtoN2O*kgtoGg=0,"NO",('Activity data'!BE16*EF!$H47*EF!AD65)*NtoN2O*kgtoGg)</f>
        <v>NO</v>
      </c>
      <c r="BF47" s="29" t="str">
        <f>IF(('Activity data'!BF16*EF!$H47*EF!AE65)*NtoN2O*kgtoGg=0,"NO",('Activity data'!BF16*EF!$H47*EF!AE65)*NtoN2O*kgtoGg)</f>
        <v>NO</v>
      </c>
      <c r="BG47" s="29" t="str">
        <f>IF(('Activity data'!BG16*EF!$H47*EF!AF65)*NtoN2O*kgtoGg=0,"NO",('Activity data'!BG16*EF!$H47*EF!AF65)*NtoN2O*kgtoGg)</f>
        <v>NO</v>
      </c>
      <c r="BH47" s="29" t="str">
        <f>IF(('Activity data'!BH16*EF!$H47*EF!AG65)*NtoN2O*kgtoGg=0,"NO",('Activity data'!BH16*EF!$H47*EF!AG65)*NtoN2O*kgtoGg)</f>
        <v>NO</v>
      </c>
      <c r="BI47" s="29" t="str">
        <f>IF(('Activity data'!BI16*EF!$H47*EF!AH65)*NtoN2O*kgtoGg=0,"NO",('Activity data'!BI16*EF!$H47*EF!AH65)*NtoN2O*kgtoGg)</f>
        <v>NO</v>
      </c>
      <c r="BJ47" s="29" t="str">
        <f>IF(('Activity data'!BJ16*EF!$H47*EF!AI65)*NtoN2O*kgtoGg=0,"NO",('Activity data'!BJ16*EF!$H47*EF!AI65)*NtoN2O*kgtoGg)</f>
        <v>NO</v>
      </c>
      <c r="BK47" s="29" t="str">
        <f>IF(('Activity data'!BK16*EF!$H47*EF!AJ65)*NtoN2O*kgtoGg=0,"NO",('Activity data'!BK16*EF!$H47*EF!AJ65)*NtoN2O*kgtoGg)</f>
        <v>NO</v>
      </c>
      <c r="BL47" s="29" t="str">
        <f>IF(('Activity data'!BL16*EF!$H47*EF!AK65)*NtoN2O*kgtoGg=0,"NO",('Activity data'!BL16*EF!$H47*EF!AK65)*NtoN2O*kgtoGg)</f>
        <v>NO</v>
      </c>
      <c r="BM47" s="29" t="str">
        <f>IF(('Activity data'!BM16*EF!$H47*EF!AL65)*NtoN2O*kgtoGg=0,"NO",('Activity data'!BM16*EF!$H47*EF!AL65)*NtoN2O*kgtoGg)</f>
        <v>NO</v>
      </c>
      <c r="BN47" s="29" t="str">
        <f>IF(('Activity data'!BN16*EF!$H47*EF!AM65)*NtoN2O*kgtoGg=0,"NO",('Activity data'!BN16*EF!$H47*EF!AM65)*NtoN2O*kgtoGg)</f>
        <v>NO</v>
      </c>
      <c r="BO47" s="29" t="str">
        <f>IF(('Activity data'!BO16*EF!$H47*EF!AN65)*NtoN2O*kgtoGg=0,"NO",('Activity data'!BO16*EF!$H47*EF!AN65)*NtoN2O*kgtoGg)</f>
        <v>NO</v>
      </c>
      <c r="BP47" s="29" t="str">
        <f>IF(('Activity data'!BP16*EF!$H47*EF!AO65)*NtoN2O*kgtoGg=0,"NO",('Activity data'!BP16*EF!$H47*EF!AO65)*NtoN2O*kgtoGg)</f>
        <v>NO</v>
      </c>
    </row>
    <row r="48" spans="1:68" x14ac:dyDescent="0.25">
      <c r="A48" t="str">
        <f t="shared" si="1"/>
        <v>3A Livestock</v>
      </c>
      <c r="B48" t="str">
        <f t="shared" si="11"/>
        <v>3A2 Manure management (N2O)</v>
      </c>
      <c r="C48" t="str">
        <f>EF!C66</f>
        <v>3A1h Swine</v>
      </c>
      <c r="D48" t="str">
        <f>EF!D66</f>
        <v>Commercial</v>
      </c>
      <c r="E48" t="str">
        <f t="shared" si="9"/>
        <v>Manure management Emissions</v>
      </c>
      <c r="F48" t="s">
        <v>143</v>
      </c>
      <c r="G48" t="str">
        <f t="shared" si="10"/>
        <v>Gg N2O</v>
      </c>
      <c r="H48" s="29">
        <f>IF(('Activity data'!H17*EF!$H48*EF!$H66)*NtoN2O*kgtoGg=0,"NO",('Activity data'!H17*EF!$H48*EF!$H66)*NtoN2O*kgtoGg)</f>
        <v>8.969533176685715E-2</v>
      </c>
      <c r="I48" s="29">
        <f>IF(('Activity data'!I17*EF!$H48*EF!$H66)*NtoN2O*kgtoGg=0,"NO",('Activity data'!I17*EF!$H48*EF!$H66)*NtoN2O*kgtoGg)</f>
        <v>9.7993915611428561E-2</v>
      </c>
      <c r="J48" s="29">
        <f>IF(('Activity data'!J17*EF!$H48*EF!$H66)*NtoN2O*kgtoGg=0,"NO",('Activity data'!J17*EF!$H48*EF!$H66)*NtoN2O*kgtoGg)</f>
        <v>9.7346508361142864E-2</v>
      </c>
      <c r="K48" s="29">
        <f>IF(('Activity data'!K17*EF!$H48*EF!$H66)*NtoN2O*kgtoGg=0,"NO",('Activity data'!K17*EF!$H48*EF!$H66)*NtoN2O*kgtoGg)</f>
        <v>9.7287653156571438E-2</v>
      </c>
      <c r="L48" s="29">
        <f>IF(('Activity data'!L17*EF!$H48*EF!$H66)*NtoN2O*kgtoGg=0,"NO",('Activity data'!L17*EF!$H48*EF!$H66)*NtoN2O*kgtoGg)</f>
        <v>9.2402671177142848E-2</v>
      </c>
      <c r="M48" s="29">
        <f>IF(('Activity data'!M17*EF!$H48*EF!$H66)*NtoN2O*kgtoGg=0,"NO",('Activity data'!M17*EF!$H48*EF!$H66)*NtoN2O*kgtoGg)</f>
        <v>9.328549924571429E-2</v>
      </c>
      <c r="N48" s="29">
        <f>IF(('Activity data'!N17*EF!$H48*EF!$H66)*NtoN2O*kgtoGg=0,"NO",('Activity data'!N17*EF!$H48*EF!$H66)*NtoN2O*kgtoGg)</f>
        <v>0.10046583420342857</v>
      </c>
      <c r="O48" s="29">
        <f>IF(('Activity data'!O17*EF!$H48*EF!$H66)*NtoN2O*kgtoGg=0,"NO",('Activity data'!O17*EF!$H48*EF!$H66)*NtoN2O*kgtoGg)</f>
        <v>9.9994992566857149E-2</v>
      </c>
      <c r="P48" s="29">
        <f>IF(('Activity data'!P17*EF!$H48*EF!$H66)*NtoN2O*kgtoGg=0,"NO",('Activity data'!P17*EF!$H48*EF!$H66)*NtoN2O*kgtoGg)</f>
        <v>0.102172635136</v>
      </c>
      <c r="Q48" s="29">
        <f>IF(('Activity data'!Q17*EF!$H48*EF!$H66)*NtoN2O*kgtoGg=0,"NO",('Activity data'!Q17*EF!$H48*EF!$H66)*NtoN2O*kgtoGg)</f>
        <v>0.10476226413714287</v>
      </c>
      <c r="R48" s="29">
        <f>IF(('Activity data'!R17*EF!$H48*EF!$H66)*NtoN2O*kgtoGg=0,"NO",('Activity data'!R17*EF!$H48*EF!$H66)*NtoN2O*kgtoGg)</f>
        <v>9.6934521929142842E-2</v>
      </c>
      <c r="S48" s="29">
        <f>IF(('Activity data'!S17*EF!$H48*EF!$H66)*NtoN2O*kgtoGg=0,"NO",('Activity data'!S17*EF!$H48*EF!$H66)*NtoN2O*kgtoGg)</f>
        <v>9.8759033270857152E-2</v>
      </c>
      <c r="T48" s="29">
        <f>IF(('Activity data'!T17*EF!$H48*EF!$H66)*NtoN2O*kgtoGg=0,"NO",('Activity data'!T17*EF!$H48*EF!$H66)*NtoN2O*kgtoGg)</f>
        <v>0.10064239981714285</v>
      </c>
      <c r="U48" s="29">
        <f>IF(('Activity data'!U17*EF!$H48*EF!$H66)*NtoN2O*kgtoGg=0,"NO",('Activity data'!U17*EF!$H48*EF!$H66)*NtoN2O*kgtoGg)</f>
        <v>9.7876205202285724E-2</v>
      </c>
      <c r="V48" s="29">
        <f>IF(('Activity data'!V17*EF!$H48*EF!$H66)*NtoN2O*kgtoGg=0,"NO",('Activity data'!V17*EF!$H48*EF!$H66)*NtoN2O*kgtoGg)</f>
        <v>9.7876205202285724E-2</v>
      </c>
      <c r="W48" s="29">
        <f>IF(('Activity data'!W17*EF!$H48*EF!$H66)*NtoN2O*kgtoGg=0,"NO",('Activity data'!W17*EF!$H48*EF!$H66)*NtoN2O*kgtoGg)</f>
        <v>9.7169942747428573E-2</v>
      </c>
      <c r="X48" s="29">
        <f>IF(('Activity data'!X17*EF!$H48*EF!$H66)*NtoN2O*kgtoGg=0,"NO",('Activity data'!X17*EF!$H48*EF!$H66)*NtoN2O*kgtoGg)</f>
        <v>9.5463141814857155E-2</v>
      </c>
      <c r="Y48" s="29">
        <f>IF(('Activity data'!Y17*EF!$H48*EF!$H66)*NtoN2O*kgtoGg=0,"NO",('Activity data'!Y17*EF!$H48*EF!$H66)*NtoN2O*kgtoGg)</f>
        <v>9.7169942747428573E-2</v>
      </c>
      <c r="Z48" s="29">
        <f>IF(('Activity data'!Z17*EF!$H48*EF!$H66)*NtoN2O*kgtoGg=0,"NO",('Activity data'!Z17*EF!$H48*EF!$H66)*NtoN2O*kgtoGg)</f>
        <v>9.5051155382857147E-2</v>
      </c>
      <c r="AA48" s="29">
        <f>IF(('Activity data'!AA17*EF!$H48*EF!$H66)*NtoN2O*kgtoGg=0,"NO",('Activity data'!AA17*EF!$H48*EF!$H66)*NtoN2O*kgtoGg)</f>
        <v>9.4933444973714295E-2</v>
      </c>
      <c r="AB48" s="29">
        <f>IF(('Activity data'!AB17*EF!$H48*EF!$H66)*NtoN2O*kgtoGg=0,"NO",('Activity data'!AB17*EF!$H48*EF!$H66)*NtoN2O*kgtoGg)</f>
        <v>9.381519608685715E-2</v>
      </c>
      <c r="AC48" s="29">
        <f>IF(('Activity data'!AC17*EF!$H48*EF!$H66)*NtoN2O*kgtoGg=0,"NO",('Activity data'!AC17*EF!$H48*EF!$H66)*NtoN2O*kgtoGg)</f>
        <v>9.3226644041142864E-2</v>
      </c>
      <c r="AD48" s="29">
        <f>IF(('Activity data'!AD17*EF!$H48*EF!$H66)*NtoN2O*kgtoGg=0,"NO",('Activity data'!AD17*EF!$H48*EF!$H66)*NtoN2O*kgtoGg)</f>
        <v>9.2932368018285735E-2</v>
      </c>
      <c r="AE48" s="29">
        <f>IF(('Activity data'!AE17*EF!$H48*EF!$H66)*NtoN2O*kgtoGg=0,"NO",('Activity data'!AE17*EF!$H48*EF!$H66)*NtoN2O*kgtoGg)</f>
        <v>9.2638091995428579E-2</v>
      </c>
      <c r="AF48" s="29">
        <f>IF(('Activity data'!AF17*EF!$H48*EF!$H66)*NtoN2O*kgtoGg=0,"NO",('Activity data'!AF17*EF!$H48*EF!$H66)*NtoN2O*kgtoGg)</f>
        <v>9.1931829540571428E-2</v>
      </c>
      <c r="AG48" s="29">
        <f>IF(('Activity data'!AG17*EF!$H48*EF!$H66)*NtoN2O*kgtoGg=0,"NO",('Activity data'!AG17*EF!$H48*EF!$H66)*NtoN2O*kgtoGg)</f>
        <v>8.9636476562285725E-2</v>
      </c>
      <c r="AH48" s="29">
        <f>IF(('Activity data'!AH17*EF!$H48*EF!$H66)*NtoN2O*kgtoGg=0,"NO",('Activity data'!AH17*EF!$H48*EF!$H66)*NtoN2O*kgtoGg)</f>
        <v>8.8989069311999999E-2</v>
      </c>
      <c r="AI48" s="29">
        <f>IF(('Activity data'!AI17*EF!$H48*EF!H66)*NtoN2O*kgtoGg=0,"NO",('Activity data'!AI17*EF!$H48*EF!H66)*NtoN2O*kgtoGg)</f>
        <v>8.7164557970285717E-2</v>
      </c>
      <c r="AJ48" s="29">
        <f>IF(('Activity data'!AJ17*EF!$H48*EF!I66)*NtoN2O*kgtoGg=0,"NO",('Activity data'!AJ17*EF!$H48*EF!I66)*NtoN2O*kgtoGg)</f>
        <v>9.073276296059396E-2</v>
      </c>
      <c r="AK48" s="29">
        <f>IF(('Activity data'!AK17*EF!$H48*EF!J66)*NtoN2O*kgtoGg=0,"NO",('Activity data'!AK17*EF!$H48*EF!J66)*NtoN2O*kgtoGg)</f>
        <v>9.0599407571883284E-2</v>
      </c>
      <c r="AL48" s="29">
        <f>IF(('Activity data'!AL17*EF!$H48*EF!K66)*NtoN2O*kgtoGg=0,"NO",('Activity data'!AL17*EF!$H48*EF!K66)*NtoN2O*kgtoGg)</f>
        <v>9.0957993434558848E-2</v>
      </c>
      <c r="AM48" s="29">
        <f>IF(('Activity data'!AM17*EF!$H48*EF!L66)*NtoN2O*kgtoGg=0,"NO",('Activity data'!AM17*EF!$H48*EF!L66)*NtoN2O*kgtoGg)</f>
        <v>9.0750185662255331E-2</v>
      </c>
      <c r="AN48" s="29">
        <f>IF(('Activity data'!AN17*EF!$H48*EF!M66)*NtoN2O*kgtoGg=0,"NO",('Activity data'!AN17*EF!$H48*EF!M66)*NtoN2O*kgtoGg)</f>
        <v>9.0547378596017733E-2</v>
      </c>
      <c r="AO48" s="29">
        <f>IF(('Activity data'!AO17*EF!$H48*EF!N66)*NtoN2O*kgtoGg=0,"NO",('Activity data'!AO17*EF!$H48*EF!N66)*NtoN2O*kgtoGg)</f>
        <v>9.0343449008438867E-2</v>
      </c>
      <c r="AP48" s="29">
        <f>IF(('Activity data'!AP17*EF!$H48*EF!O66)*NtoN2O*kgtoGg=0,"NO",('Activity data'!AP17*EF!$H48*EF!O66)*NtoN2O*kgtoGg)</f>
        <v>9.0143824330334923E-2</v>
      </c>
      <c r="AQ48" s="29">
        <f>IF(('Activity data'!AQ17*EF!$H48*EF!P66)*NtoN2O*kgtoGg=0,"NO",('Activity data'!AQ17*EF!$H48*EF!P66)*NtoN2O*kgtoGg)</f>
        <v>8.9939206399064664E-2</v>
      </c>
      <c r="AR48" s="29">
        <f>IF(('Activity data'!AR17*EF!$H48*EF!Q66)*NtoN2O*kgtoGg=0,"NO",('Activity data'!AR17*EF!$H48*EF!Q66)*NtoN2O*kgtoGg)</f>
        <v>8.9704854280150223E-2</v>
      </c>
      <c r="AS48" s="29">
        <f>IF(('Activity data'!AS17*EF!$H48*EF!R66)*NtoN2O*kgtoGg=0,"NO",('Activity data'!AS17*EF!$H48*EF!R66)*NtoN2O*kgtoGg)</f>
        <v>8.9471826101966564E-2</v>
      </c>
      <c r="AT48" s="29">
        <f>IF(('Activity data'!AT17*EF!$H48*EF!S66)*NtoN2O*kgtoGg=0,"NO",('Activity data'!AT17*EF!$H48*EF!S66)*NtoN2O*kgtoGg)</f>
        <v>8.9232039099336219E-2</v>
      </c>
      <c r="AU48" s="29">
        <f>IF(('Activity data'!AU17*EF!$H48*EF!T66)*NtoN2O*kgtoGg=0,"NO",('Activity data'!AU17*EF!$H48*EF!T66)*NtoN2O*kgtoGg)</f>
        <v>8.8987233428768187E-2</v>
      </c>
      <c r="AV48" s="29">
        <f>IF(('Activity data'!AV17*EF!$H48*EF!U66)*NtoN2O*kgtoGg=0,"NO",('Activity data'!AV17*EF!$H48*EF!U66)*NtoN2O*kgtoGg)</f>
        <v>8.8736951023586405E-2</v>
      </c>
      <c r="AW48" s="29">
        <f>IF(('Activity data'!AW17*EF!$H48*EF!V66)*NtoN2O*kgtoGg=0,"NO",('Activity data'!AW17*EF!$H48*EF!V66)*NtoN2O*kgtoGg)</f>
        <v>8.8457550189648348E-2</v>
      </c>
      <c r="AX48" s="29">
        <f>IF(('Activity data'!AX17*EF!$H48*EF!W66)*NtoN2O*kgtoGg=0,"NO",('Activity data'!AX17*EF!$H48*EF!W66)*NtoN2O*kgtoGg)</f>
        <v>8.8187153224367015E-2</v>
      </c>
      <c r="AY48" s="29">
        <f>IF(('Activity data'!AY17*EF!$H48*EF!X66)*NtoN2O*kgtoGg=0,"NO",('Activity data'!AY17*EF!$H48*EF!X66)*NtoN2O*kgtoGg)</f>
        <v>8.789644806161985E-2</v>
      </c>
      <c r="AZ48" s="29">
        <f>IF(('Activity data'!AZ17*EF!$H48*EF!Y66)*NtoN2O*kgtoGg=0,"NO",('Activity data'!AZ17*EF!$H48*EF!Y66)*NtoN2O*kgtoGg)</f>
        <v>8.7591545699942111E-2</v>
      </c>
      <c r="BA48" s="29">
        <f>IF(('Activity data'!BA17*EF!$H48*EF!Z66)*NtoN2O*kgtoGg=0,"NO",('Activity data'!BA17*EF!$H48*EF!Z66)*NtoN2O*kgtoGg)</f>
        <v>8.727167772474663E-2</v>
      </c>
      <c r="BB48" s="29">
        <f>IF(('Activity data'!BB17*EF!$H48*EF!AA66)*NtoN2O*kgtoGg=0,"NO",('Activity data'!BB17*EF!$H48*EF!AA66)*NtoN2O*kgtoGg)</f>
        <v>8.6941527484627593E-2</v>
      </c>
      <c r="BC48" s="29">
        <f>IF(('Activity data'!BC17*EF!$H48*EF!AB66)*NtoN2O*kgtoGg=0,"NO",('Activity data'!BC17*EF!$H48*EF!AB66)*NtoN2O*kgtoGg)</f>
        <v>8.6601083452446631E-2</v>
      </c>
      <c r="BD48" s="29">
        <f>IF(('Activity data'!BD17*EF!$H48*EF!AC66)*NtoN2O*kgtoGg=0,"NO",('Activity data'!BD17*EF!$H48*EF!AC66)*NtoN2O*kgtoGg)</f>
        <v>8.6256815319892904E-2</v>
      </c>
      <c r="BE48" s="29">
        <f>IF(('Activity data'!BE17*EF!$H48*EF!AD66)*NtoN2O*kgtoGg=0,"NO",('Activity data'!BE17*EF!$H48*EF!AD66)*NtoN2O*kgtoGg)</f>
        <v>8.5902156314954958E-2</v>
      </c>
      <c r="BF48" s="29">
        <f>IF(('Activity data'!BF17*EF!$H48*EF!AE66)*NtoN2O*kgtoGg=0,"NO",('Activity data'!BF17*EF!$H48*EF!AE66)*NtoN2O*kgtoGg)</f>
        <v>8.5531291839764059E-2</v>
      </c>
      <c r="BG48" s="29">
        <f>IF(('Activity data'!BG17*EF!$H48*EF!AF66)*NtoN2O*kgtoGg=0,"NO",('Activity data'!BG17*EF!$H48*EF!AF66)*NtoN2O*kgtoGg)</f>
        <v>8.5136094879853075E-2</v>
      </c>
      <c r="BH48" s="29">
        <f>IF(('Activity data'!BH17*EF!$H48*EF!AG66)*NtoN2O*kgtoGg=0,"NO",('Activity data'!BH17*EF!$H48*EF!AG66)*NtoN2O*kgtoGg)</f>
        <v>8.4728457503219709E-2</v>
      </c>
      <c r="BI48" s="29">
        <f>IF(('Activity data'!BI17*EF!$H48*EF!AH66)*NtoN2O*kgtoGg=0,"NO",('Activity data'!BI17*EF!$H48*EF!AH66)*NtoN2O*kgtoGg)</f>
        <v>8.4309088878872188E-2</v>
      </c>
      <c r="BJ48" s="29">
        <f>IF(('Activity data'!BJ17*EF!$H48*EF!AI66)*NtoN2O*kgtoGg=0,"NO",('Activity data'!BJ17*EF!$H48*EF!AI66)*NtoN2O*kgtoGg)</f>
        <v>8.3876238532429342E-2</v>
      </c>
      <c r="BK48" s="29">
        <f>IF(('Activity data'!BK17*EF!$H48*EF!AJ66)*NtoN2O*kgtoGg=0,"NO",('Activity data'!BK17*EF!$H48*EF!AJ66)*NtoN2O*kgtoGg)</f>
        <v>8.3422966285553943E-2</v>
      </c>
      <c r="BL48" s="29">
        <f>IF(('Activity data'!BL17*EF!$H48*EF!AK66)*NtoN2O*kgtoGg=0,"NO",('Activity data'!BL17*EF!$H48*EF!AK66)*NtoN2O*kgtoGg)</f>
        <v>8.2956003093295816E-2</v>
      </c>
      <c r="BM48" s="29">
        <f>IF(('Activity data'!BM17*EF!$H48*EF!AL66)*NtoN2O*kgtoGg=0,"NO",('Activity data'!BM17*EF!$H48*EF!AL66)*NtoN2O*kgtoGg)</f>
        <v>8.2471431565758105E-2</v>
      </c>
      <c r="BN48" s="29">
        <f>IF(('Activity data'!BN17*EF!$H48*EF!AM66)*NtoN2O*kgtoGg=0,"NO",('Activity data'!BN17*EF!$H48*EF!AM66)*NtoN2O*kgtoGg)</f>
        <v>8.1982444480323796E-2</v>
      </c>
      <c r="BO48" s="29">
        <f>IF(('Activity data'!BO17*EF!$H48*EF!AN66)*NtoN2O*kgtoGg=0,"NO",('Activity data'!BO17*EF!$H48*EF!AN66)*NtoN2O*kgtoGg)</f>
        <v>8.1474253185120679E-2</v>
      </c>
      <c r="BP48" s="29">
        <f>IF(('Activity data'!BP17*EF!$H48*EF!AO66)*NtoN2O*kgtoGg=0,"NO",('Activity data'!BP17*EF!$H48*EF!AO66)*NtoN2O*kgtoGg)</f>
        <v>8.0945255114105136E-2</v>
      </c>
    </row>
    <row r="49" spans="1:68" x14ac:dyDescent="0.25">
      <c r="A49" t="str">
        <f t="shared" si="1"/>
        <v>3A Livestock</v>
      </c>
      <c r="B49" t="str">
        <f t="shared" si="11"/>
        <v>3A2 Manure management (N2O)</v>
      </c>
      <c r="C49" t="str">
        <f>EF!C67</f>
        <v>3A1h Swine</v>
      </c>
      <c r="D49" t="str">
        <f>EF!D67</f>
        <v>Subsistence</v>
      </c>
      <c r="E49" t="str">
        <f t="shared" si="9"/>
        <v>Manure management Emissions</v>
      </c>
      <c r="F49" t="s">
        <v>143</v>
      </c>
      <c r="G49" t="str">
        <f t="shared" si="10"/>
        <v>Gg N2O</v>
      </c>
      <c r="H49" s="29">
        <f>IF(('Activity data'!H18*EF!$H49*EF!$H67)*NtoN2O*kgtoGg=0,"NO",('Activity data'!H18*EF!$H49*EF!$H67)*NtoN2O*kgtoGg)</f>
        <v>3.3603344466422339E-2</v>
      </c>
      <c r="I49" s="29">
        <f>IF(('Activity data'!I18*EF!$H49*EF!$H67)*NtoN2O*kgtoGg=0,"NO",('Activity data'!I18*EF!$H49*EF!$H67)*NtoN2O*kgtoGg)</f>
        <v>3.6712315312725202E-2</v>
      </c>
      <c r="J49" s="29">
        <f>IF(('Activity data'!J18*EF!$H49*EF!$H67)*NtoN2O*kgtoGg=0,"NO",('Activity data'!J18*EF!$H49*EF!$H67)*NtoN2O*kgtoGg)</f>
        <v>3.6469771487836318E-2</v>
      </c>
      <c r="K49" s="29">
        <f>IF(('Activity data'!K18*EF!$H49*EF!$H67)*NtoN2O*kgtoGg=0,"NO",('Activity data'!K18*EF!$H49*EF!$H67)*NtoN2O*kgtoGg)</f>
        <v>3.6447722049210061E-2</v>
      </c>
      <c r="L49" s="29">
        <f>IF(('Activity data'!L18*EF!$H49*EF!$H67)*NtoN2O*kgtoGg=0,"NO",('Activity data'!L18*EF!$H49*EF!$H67)*NtoN2O*kgtoGg)</f>
        <v>3.4617618643230354E-2</v>
      </c>
      <c r="M49" s="29">
        <f>IF(('Activity data'!M18*EF!$H49*EF!$H67)*NtoN2O*kgtoGg=0,"NO",('Activity data'!M18*EF!$H49*EF!$H67)*NtoN2O*kgtoGg)</f>
        <v>3.4948360222624285E-2</v>
      </c>
      <c r="N49" s="29">
        <f>IF(('Activity data'!N18*EF!$H49*EF!$H67)*NtoN2O*kgtoGg=0,"NO",('Activity data'!N18*EF!$H49*EF!$H67)*NtoN2O*kgtoGg)</f>
        <v>3.763839173502817E-2</v>
      </c>
      <c r="O49" s="29">
        <f>IF(('Activity data'!O18*EF!$H49*EF!$H67)*NtoN2O*kgtoGg=0,"NO",('Activity data'!O18*EF!$H49*EF!$H67)*NtoN2O*kgtoGg)</f>
        <v>3.7461996226018084E-2</v>
      </c>
      <c r="P49" s="29">
        <f>IF(('Activity data'!P18*EF!$H49*EF!$H67)*NtoN2O*kgtoGg=0,"NO",('Activity data'!P18*EF!$H49*EF!$H67)*NtoN2O*kgtoGg)</f>
        <v>3.8277825455189748E-2</v>
      </c>
      <c r="Q49" s="29">
        <f>IF(('Activity data'!Q18*EF!$H49*EF!$H67)*NtoN2O*kgtoGg=0,"NO",('Activity data'!Q18*EF!$H49*EF!$H67)*NtoN2O*kgtoGg)</f>
        <v>3.9248000754745251E-2</v>
      </c>
      <c r="R49" s="29">
        <f>IF(('Activity data'!R18*EF!$H49*EF!$H67)*NtoN2O*kgtoGg=0,"NO",('Activity data'!R18*EF!$H49*EF!$H67)*NtoN2O*kgtoGg)</f>
        <v>3.6315425417452488E-2</v>
      </c>
      <c r="S49" s="29">
        <f>IF(('Activity data'!S18*EF!$H49*EF!$H67)*NtoN2O*kgtoGg=0,"NO",('Activity data'!S18*EF!$H49*EF!$H67)*NtoN2O*kgtoGg)</f>
        <v>3.6998958014866593E-2</v>
      </c>
      <c r="T49" s="29">
        <f>IF(('Activity data'!T18*EF!$H49*EF!$H67)*NtoN2O*kgtoGg=0,"NO",('Activity data'!T18*EF!$H49*EF!$H67)*NtoN2O*kgtoGg)</f>
        <v>3.7704540050906954E-2</v>
      </c>
      <c r="U49" s="29">
        <f>IF(('Activity data'!U18*EF!$H49*EF!$H67)*NtoN2O*kgtoGg=0,"NO",('Activity data'!U18*EF!$H49*EF!$H67)*NtoN2O*kgtoGg)</f>
        <v>3.6668216435472668E-2</v>
      </c>
      <c r="V49" s="29">
        <f>IF(('Activity data'!V18*EF!$H49*EF!$H67)*NtoN2O*kgtoGg=0,"NO",('Activity data'!V18*EF!$H49*EF!$H67)*NtoN2O*kgtoGg)</f>
        <v>3.6668216435472668E-2</v>
      </c>
      <c r="W49" s="29">
        <f>IF(('Activity data'!W18*EF!$H49*EF!$H67)*NtoN2O*kgtoGg=0,"NO",('Activity data'!W18*EF!$H49*EF!$H67)*NtoN2O*kgtoGg)</f>
        <v>3.6403623171957535E-2</v>
      </c>
      <c r="X49" s="29">
        <f>IF(('Activity data'!X18*EF!$H49*EF!$H67)*NtoN2O*kgtoGg=0,"NO",('Activity data'!X18*EF!$H49*EF!$H67)*NtoN2O*kgtoGg)</f>
        <v>3.576418945179595E-2</v>
      </c>
      <c r="Y49" s="29">
        <f>IF(('Activity data'!Y18*EF!$H49*EF!$H67)*NtoN2O*kgtoGg=0,"NO",('Activity data'!Y18*EF!$H49*EF!$H67)*NtoN2O*kgtoGg)</f>
        <v>3.6403623171957535E-2</v>
      </c>
      <c r="Z49" s="29">
        <f>IF(('Activity data'!Z18*EF!$H49*EF!$H67)*NtoN2O*kgtoGg=0,"NO",('Activity data'!Z18*EF!$H49*EF!$H67)*NtoN2O*kgtoGg)</f>
        <v>3.5609843381412126E-2</v>
      </c>
      <c r="AA49" s="29">
        <f>IF(('Activity data'!AA18*EF!$H49*EF!$H67)*NtoN2O*kgtoGg=0,"NO",('Activity data'!AA18*EF!$H49*EF!$H67)*NtoN2O*kgtoGg)</f>
        <v>3.5565744504159599E-2</v>
      </c>
      <c r="AB49" s="29">
        <f>IF(('Activity data'!AB18*EF!$H49*EF!$H67)*NtoN2O*kgtoGg=0,"NO",('Activity data'!AB18*EF!$H49*EF!$H67)*NtoN2O*kgtoGg)</f>
        <v>3.5146805170260635E-2</v>
      </c>
      <c r="AC49" s="29">
        <f>IF(('Activity data'!AC18*EF!$H49*EF!$H67)*NtoN2O*kgtoGg=0,"NO",('Activity data'!AC18*EF!$H49*EF!$H67)*NtoN2O*kgtoGg)</f>
        <v>3.4926310783998021E-2</v>
      </c>
      <c r="AD49" s="29">
        <f>IF(('Activity data'!AD18*EF!$H49*EF!$H67)*NtoN2O*kgtoGg=0,"NO",('Activity data'!AD18*EF!$H49*EF!$H67)*NtoN2O*kgtoGg)</f>
        <v>3.4816063590866718E-2</v>
      </c>
      <c r="AE49" s="29">
        <f>IF(('Activity data'!AE18*EF!$H49*EF!$H67)*NtoN2O*kgtoGg=0,"NO",('Activity data'!AE18*EF!$H49*EF!$H67)*NtoN2O*kgtoGg)</f>
        <v>3.4705816397735401E-2</v>
      </c>
      <c r="AF49" s="29">
        <f>IF(('Activity data'!AF18*EF!$H49*EF!$H67)*NtoN2O*kgtoGg=0,"NO",('Activity data'!AF18*EF!$H49*EF!$H67)*NtoN2O*kgtoGg)</f>
        <v>3.4441223134220274E-2</v>
      </c>
      <c r="AG49" s="29">
        <f>IF(('Activity data'!AG18*EF!$H49*EF!$H67)*NtoN2O*kgtoGg=0,"NO",('Activity data'!AG18*EF!$H49*EF!$H67)*NtoN2O*kgtoGg)</f>
        <v>3.3581295027796075E-2</v>
      </c>
      <c r="AH49" s="29">
        <f>IF(('Activity data'!AH18*EF!$H49*EF!$H67)*NtoN2O*kgtoGg=0,"NO",('Activity data'!AH18*EF!$H49*EF!$H67)*NtoN2O*kgtoGg)</f>
        <v>3.3338751202907198E-2</v>
      </c>
      <c r="AI49" s="29">
        <f>IF(('Activity data'!AI18*EF!$H49*EF!H67)*NtoN2O*kgtoGg=0,"NO",('Activity data'!AI18*EF!$H49*EF!H67)*NtoN2O*kgtoGg)</f>
        <v>3.26552186054931E-2</v>
      </c>
      <c r="AJ49" s="29">
        <f>IF(('Activity data'!AJ18*EF!$H49*EF!I67)*NtoN2O*kgtoGg=0,"NO",('Activity data'!AJ18*EF!$H49*EF!I67)*NtoN2O*kgtoGg)</f>
        <v>3.410029848971724E-2</v>
      </c>
      <c r="AK49" s="29">
        <f>IF(('Activity data'!AK18*EF!$H49*EF!J67)*NtoN2O*kgtoGg=0,"NO",('Activity data'!AK18*EF!$H49*EF!J67)*NtoN2O*kgtoGg)</f>
        <v>3.4050179233873337E-2</v>
      </c>
      <c r="AL49" s="29">
        <f>IF(('Activity data'!AL18*EF!$H49*EF!K67)*NtoN2O*kgtoGg=0,"NO",('Activity data'!AL18*EF!$H49*EF!K67)*NtoN2O*kgtoGg)</f>
        <v>3.4184947365609175E-2</v>
      </c>
      <c r="AM49" s="29">
        <f>IF(('Activity data'!AM18*EF!$H49*EF!L67)*NtoN2O*kgtoGg=0,"NO",('Activity data'!AM18*EF!$H49*EF!L67)*NtoN2O*kgtoGg)</f>
        <v>3.410684650289092E-2</v>
      </c>
      <c r="AN49" s="29">
        <f>IF(('Activity data'!AN18*EF!$H49*EF!M67)*NtoN2O*kgtoGg=0,"NO",('Activity data'!AN18*EF!$H49*EF!M67)*NtoN2O*kgtoGg)</f>
        <v>3.4030625066787085E-2</v>
      </c>
      <c r="AO49" s="29">
        <f>IF(('Activity data'!AO18*EF!$H49*EF!N67)*NtoN2O*kgtoGg=0,"NO",('Activity data'!AO18*EF!$H49*EF!N67)*NtoN2O*kgtoGg)</f>
        <v>3.3953981750961405E-2</v>
      </c>
      <c r="AP49" s="29">
        <f>IF(('Activity data'!AP18*EF!$H49*EF!O67)*NtoN2O*kgtoGg=0,"NO",('Activity data'!AP18*EF!$H49*EF!O67)*NtoN2O*kgtoGg)</f>
        <v>3.3878956358951537E-2</v>
      </c>
      <c r="AQ49" s="29">
        <f>IF(('Activity data'!AQ18*EF!$H49*EF!P67)*NtoN2O*kgtoGg=0,"NO",('Activity data'!AQ18*EF!$H49*EF!P67)*NtoN2O*kgtoGg)</f>
        <v>3.3802054341367273E-2</v>
      </c>
      <c r="AR49" s="29">
        <f>IF(('Activity data'!AR18*EF!$H49*EF!Q67)*NtoN2O*kgtoGg=0,"NO",('Activity data'!AR18*EF!$H49*EF!Q67)*NtoN2O*kgtoGg)</f>
        <v>3.3713977257126472E-2</v>
      </c>
      <c r="AS49" s="29">
        <f>IF(('Activity data'!AS18*EF!$H49*EF!R67)*NtoN2O*kgtoGg=0,"NO",('Activity data'!AS18*EF!$H49*EF!R67)*NtoN2O*kgtoGg)</f>
        <v>3.3626397752509946E-2</v>
      </c>
      <c r="AT49" s="29">
        <f>IF(('Activity data'!AT18*EF!$H49*EF!S67)*NtoN2O*kgtoGg=0,"NO",('Activity data'!AT18*EF!$H49*EF!S67)*NtoN2O*kgtoGg)</f>
        <v>3.3536278063691465E-2</v>
      </c>
      <c r="AU49" s="29">
        <f>IF(('Activity data'!AU18*EF!$H49*EF!T67)*NtoN2O*kgtoGg=0,"NO",('Activity data'!AU18*EF!$H49*EF!T67)*NtoN2O*kgtoGg)</f>
        <v>3.3444272197607892E-2</v>
      </c>
      <c r="AV49" s="29">
        <f>IF(('Activity data'!AV18*EF!$H49*EF!U67)*NtoN2O*kgtoGg=0,"NO",('Activity data'!AV18*EF!$H49*EF!U67)*NtoN2O*kgtoGg)</f>
        <v>3.3350207998029513E-2</v>
      </c>
      <c r="AW49" s="29">
        <f>IF(('Activity data'!AW18*EF!$H49*EF!V67)*NtoN2O*kgtoGg=0,"NO",('Activity data'!AW18*EF!$H49*EF!V67)*NtoN2O*kgtoGg)</f>
        <v>3.3245200153843156E-2</v>
      </c>
      <c r="AX49" s="29">
        <f>IF(('Activity data'!AX18*EF!$H49*EF!W67)*NtoN2O*kgtoGg=0,"NO",('Activity data'!AX18*EF!$H49*EF!W67)*NtoN2O*kgtoGg)</f>
        <v>3.314357625387649E-2</v>
      </c>
      <c r="AY49" s="29">
        <f>IF(('Activity data'!AY18*EF!$H49*EF!X67)*NtoN2O*kgtoGg=0,"NO",('Activity data'!AY18*EF!$H49*EF!X67)*NtoN2O*kgtoGg)</f>
        <v>3.3034319878354382E-2</v>
      </c>
      <c r="AZ49" s="29">
        <f>IF(('Activity data'!AZ18*EF!$H49*EF!Y67)*NtoN2O*kgtoGg=0,"NO",('Activity data'!AZ18*EF!$H49*EF!Y67)*NtoN2O*kgtoGg)</f>
        <v>3.2919727737608644E-2</v>
      </c>
      <c r="BA49" s="29">
        <f>IF(('Activity data'!BA18*EF!$H49*EF!Z67)*NtoN2O*kgtoGg=0,"NO",('Activity data'!BA18*EF!$H49*EF!Z67)*NtoN2O*kgtoGg)</f>
        <v>3.279951103665571E-2</v>
      </c>
      <c r="BB49" s="29">
        <f>IF(('Activity data'!BB18*EF!$H49*EF!AA67)*NtoN2O*kgtoGg=0,"NO",('Activity data'!BB18*EF!$H49*EF!AA67)*NtoN2O*kgtoGg)</f>
        <v>3.2675429928937204E-2</v>
      </c>
      <c r="BC49" s="29">
        <f>IF(('Activity data'!BC18*EF!$H49*EF!AB67)*NtoN2O*kgtoGg=0,"NO",('Activity data'!BC18*EF!$H49*EF!AB67)*NtoN2O*kgtoGg)</f>
        <v>3.2547480082182778E-2</v>
      </c>
      <c r="BD49" s="29">
        <f>IF(('Activity data'!BD18*EF!$H49*EF!AC67)*NtoN2O*kgtoGg=0,"NO",('Activity data'!BD18*EF!$H49*EF!AC67)*NtoN2O*kgtoGg)</f>
        <v>3.241809301517945E-2</v>
      </c>
      <c r="BE49" s="29">
        <f>IF(('Activity data'!BE18*EF!$H49*EF!AD67)*NtoN2O*kgtoGg=0,"NO",('Activity data'!BE18*EF!$H49*EF!AD67)*NtoN2O*kgtoGg)</f>
        <v>3.2284800723224191E-2</v>
      </c>
      <c r="BF49" s="29">
        <f>IF(('Activity data'!BF18*EF!$H49*EF!AE67)*NtoN2O*kgtoGg=0,"NO",('Activity data'!BF18*EF!$H49*EF!AE67)*NtoN2O*kgtoGg)</f>
        <v>3.2145417892914765E-2</v>
      </c>
      <c r="BG49" s="29">
        <f>IF(('Activity data'!BG18*EF!$H49*EF!AF67)*NtoN2O*kgtoGg=0,"NO",('Activity data'!BG18*EF!$H49*EF!AF67)*NtoN2O*kgtoGg)</f>
        <v>3.1996890130114836E-2</v>
      </c>
      <c r="BH49" s="29">
        <f>IF(('Activity data'!BH18*EF!$H49*EF!AG67)*NtoN2O*kgtoGg=0,"NO",('Activity data'!BH18*EF!$H49*EF!AG67)*NtoN2O*kgtoGg)</f>
        <v>3.1843686857502058E-2</v>
      </c>
      <c r="BI49" s="29">
        <f>IF(('Activity data'!BI18*EF!$H49*EF!AH67)*NtoN2O*kgtoGg=0,"NO",('Activity data'!BI18*EF!$H49*EF!AH67)*NtoN2O*kgtoGg)</f>
        <v>3.1686074603660692E-2</v>
      </c>
      <c r="BJ49" s="29">
        <f>IF(('Activity data'!BJ18*EF!$H49*EF!AI67)*NtoN2O*kgtoGg=0,"NO",('Activity data'!BJ18*EF!$H49*EF!AI67)*NtoN2O*kgtoGg)</f>
        <v>3.1523395483864805E-2</v>
      </c>
      <c r="BK49" s="29">
        <f>IF(('Activity data'!BK18*EF!$H49*EF!AJ67)*NtoN2O*kgtoGg=0,"NO",('Activity data'!BK18*EF!$H49*EF!AJ67)*NtoN2O*kgtoGg)</f>
        <v>3.1353041155271634E-2</v>
      </c>
      <c r="BL49" s="29">
        <f>IF(('Activity data'!BL18*EF!$H49*EF!AK67)*NtoN2O*kgtoGg=0,"NO",('Activity data'!BL18*EF!$H49*EF!AK67)*NtoN2O*kgtoGg)</f>
        <v>3.1177541327864978E-2</v>
      </c>
      <c r="BM49" s="29">
        <f>IF(('Activity data'!BM18*EF!$H49*EF!AL67)*NtoN2O*kgtoGg=0,"NO",('Activity data'!BM18*EF!$H49*EF!AL67)*NtoN2O*kgtoGg)</f>
        <v>3.0995423720184153E-2</v>
      </c>
      <c r="BN49" s="29">
        <f>IF(('Activity data'!BN18*EF!$H49*EF!AM67)*NtoN2O*kgtoGg=0,"NO",('Activity data'!BN18*EF!$H49*EF!AM67)*NtoN2O*kgtoGg)</f>
        <v>3.0811646603442232E-2</v>
      </c>
      <c r="BO49" s="29">
        <f>IF(('Activity data'!BO18*EF!$H49*EF!AN67)*NtoN2O*kgtoGg=0,"NO",('Activity data'!BO18*EF!$H49*EF!AN67)*NtoN2O*kgtoGg)</f>
        <v>3.0620651925325475E-2</v>
      </c>
      <c r="BP49" s="29">
        <f>IF(('Activity data'!BP18*EF!$H49*EF!AO67)*NtoN2O*kgtoGg=0,"NO",('Activity data'!BP18*EF!$H49*EF!AO67)*NtoN2O*kgtoGg)</f>
        <v>3.0421837389831285E-2</v>
      </c>
    </row>
    <row r="50" spans="1:68" x14ac:dyDescent="0.25">
      <c r="A50" t="str">
        <f t="shared" si="1"/>
        <v>3A Livestock</v>
      </c>
      <c r="B50" t="str">
        <f t="shared" si="11"/>
        <v>3A2 Manure management (N2O)</v>
      </c>
      <c r="C50" t="str">
        <f>EF!C68</f>
        <v>3A2i Poultry</v>
      </c>
      <c r="D50" t="str">
        <f>EF!D68</f>
        <v>Commercial layers</v>
      </c>
      <c r="E50" t="str">
        <f t="shared" si="9"/>
        <v>Manure management Emissions</v>
      </c>
      <c r="F50" t="s">
        <v>143</v>
      </c>
      <c r="G50" t="str">
        <f t="shared" si="10"/>
        <v>Gg N2O</v>
      </c>
      <c r="H50" s="29">
        <f>IF(('Activity data'!H19*EF!$H50*EF!$H68)*NtoN2O*kgtoGg=0,"NO",('Activity data'!H19*EF!$H50*EF!$H68)*NtoN2O*kgtoGg)</f>
        <v>0.20296133454737286</v>
      </c>
      <c r="I50" s="29">
        <f>IF(('Activity data'!I19*EF!$H50*EF!$H68)*NtoN2O*kgtoGg=0,"NO",('Activity data'!I19*EF!$H50*EF!$H68)*NtoN2O*kgtoGg)</f>
        <v>0.19717389585886808</v>
      </c>
      <c r="J50" s="29">
        <f>IF(('Activity data'!J19*EF!$H50*EF!$H68)*NtoN2O*kgtoGg=0,"NO",('Activity data'!J19*EF!$H50*EF!$H68)*NtoN2O*kgtoGg)</f>
        <v>0.18700572466593463</v>
      </c>
      <c r="K50" s="29">
        <f>IF(('Activity data'!K19*EF!$H50*EF!$H68)*NtoN2O*kgtoGg=0,"NO",('Activity data'!K19*EF!$H50*EF!$H68)*NtoN2O*kgtoGg)</f>
        <v>0.1840653888057816</v>
      </c>
      <c r="L50" s="29">
        <f>IF(('Activity data'!L19*EF!$H50*EF!$H68)*NtoN2O*kgtoGg=0,"NO",('Activity data'!L19*EF!$H50*EF!$H68)*NtoN2O*kgtoGg)</f>
        <v>0.17605920711970463</v>
      </c>
      <c r="M50" s="29">
        <f>IF(('Activity data'!M19*EF!$H50*EF!$H68)*NtoN2O*kgtoGg=0,"NO",('Activity data'!M19*EF!$H50*EF!$H68)*NtoN2O*kgtoGg)</f>
        <v>0.19210250795483447</v>
      </c>
      <c r="N50" s="29">
        <f>IF(('Activity data'!N19*EF!$H50*EF!$H68)*NtoN2O*kgtoGg=0,"NO",('Activity data'!N19*EF!$H50*EF!$H68)*NtoN2O*kgtoGg)</f>
        <v>0.20291887626044761</v>
      </c>
      <c r="O50" s="29">
        <f>IF(('Activity data'!O19*EF!$H50*EF!$H68)*NtoN2O*kgtoGg=0,"NO",('Activity data'!O19*EF!$H50*EF!$H68)*NtoN2O*kgtoGg)</f>
        <v>0.20358614843156064</v>
      </c>
      <c r="P50" s="29">
        <f>IF(('Activity data'!P19*EF!$H50*EF!$H68)*NtoN2O*kgtoGg=0,"NO",('Activity data'!P19*EF!$H50*EF!$H68)*NtoN2O*kgtoGg)</f>
        <v>0.22922082424272011</v>
      </c>
      <c r="Q50" s="29">
        <f>IF(('Activity data'!Q19*EF!$H50*EF!$H68)*NtoN2O*kgtoGg=0,"NO",('Activity data'!Q19*EF!$H50*EF!$H68)*NtoN2O*kgtoGg)</f>
        <v>0.24574772569354431</v>
      </c>
      <c r="R50" s="29">
        <f>IF(('Activity data'!R19*EF!$H50*EF!$H68)*NtoN2O*kgtoGg=0,"NO",('Activity data'!R19*EF!$H50*EF!$H68)*NtoN2O*kgtoGg)</f>
        <v>0.24054072570239549</v>
      </c>
      <c r="S50" s="29">
        <f>IF(('Activity data'!S19*EF!$H50*EF!$H68)*NtoN2O*kgtoGg=0,"NO",('Activity data'!S19*EF!$H50*EF!$H68)*NtoN2O*kgtoGg)</f>
        <v>0.24695749420493165</v>
      </c>
      <c r="T50" s="29">
        <f>IF(('Activity data'!T19*EF!$H50*EF!$H68)*NtoN2O*kgtoGg=0,"NO",('Activity data'!T19*EF!$H50*EF!$H68)*NtoN2O*kgtoGg)</f>
        <v>0.24501923229562322</v>
      </c>
      <c r="U50" s="29">
        <f>IF(('Activity data'!U19*EF!$H50*EF!$H68)*NtoN2O*kgtoGg=0,"NO",('Activity data'!U19*EF!$H50*EF!$H68)*NtoN2O*kgtoGg)</f>
        <v>0.23523745158495141</v>
      </c>
      <c r="V50" s="29">
        <f>IF(('Activity data'!V19*EF!$H50*EF!$H68)*NtoN2O*kgtoGg=0,"NO",('Activity data'!V19*EF!$H50*EF!$H68)*NtoN2O*kgtoGg)</f>
        <v>0.24376740544300249</v>
      </c>
      <c r="W50" s="29">
        <f>IF(('Activity data'!W19*EF!$H50*EF!$H68)*NtoN2O*kgtoGg=0,"NO",('Activity data'!W19*EF!$H50*EF!$H68)*NtoN2O*kgtoGg)</f>
        <v>0.25846670786599002</v>
      </c>
      <c r="X50" s="29">
        <f>IF(('Activity data'!X19*EF!$H50*EF!$H68)*NtoN2O*kgtoGg=0,"NO",('Activity data'!X19*EF!$H50*EF!$H68)*NtoN2O*kgtoGg)</f>
        <v>0.28524838842815914</v>
      </c>
      <c r="Y50" s="29">
        <f>IF(('Activity data'!Y19*EF!$H50*EF!$H68)*NtoN2O*kgtoGg=0,"NO",('Activity data'!Y19*EF!$H50*EF!$H68)*NtoN2O*kgtoGg)</f>
        <v>0.3156764917693638</v>
      </c>
      <c r="Z50" s="29">
        <f>IF(('Activity data'!Z19*EF!$H50*EF!$H68)*NtoN2O*kgtoGg=0,"NO",('Activity data'!Z19*EF!$H50*EF!$H68)*NtoN2O*kgtoGg)</f>
        <v>0.31983391250576138</v>
      </c>
      <c r="AA50" s="29">
        <f>IF(('Activity data'!AA19*EF!$H50*EF!$H68)*NtoN2O*kgtoGg=0,"NO",('Activity data'!AA19*EF!$H50*EF!$H68)*NtoN2O*kgtoGg)</f>
        <v>0.30804277788191292</v>
      </c>
      <c r="AB50" s="29">
        <f>IF(('Activity data'!AB19*EF!$H50*EF!$H68)*NtoN2O*kgtoGg=0,"NO",('Activity data'!AB19*EF!$H50*EF!$H68)*NtoN2O*kgtoGg)</f>
        <v>0.32004210844863845</v>
      </c>
      <c r="AC50" s="29">
        <f>IF(('Activity data'!AC19*EF!$H50*EF!$H68)*NtoN2O*kgtoGg=0,"NO",('Activity data'!AC19*EF!$H50*EF!$H68)*NtoN2O*kgtoGg)</f>
        <v>0.33481439404248187</v>
      </c>
      <c r="AD50" s="29">
        <f>IF(('Activity data'!AD19*EF!$H50*EF!$H68)*NtoN2O*kgtoGg=0,"NO",('Activity data'!AD19*EF!$H50*EF!$H68)*NtoN2O*kgtoGg)</f>
        <v>0.34701102378735482</v>
      </c>
      <c r="AE50" s="29">
        <f>IF(('Activity data'!AE19*EF!$H50*EF!$H68)*NtoN2O*kgtoGg=0,"NO",('Activity data'!AE19*EF!$H50*EF!$H68)*NtoN2O*kgtoGg)</f>
        <v>0.34025713190012397</v>
      </c>
      <c r="AF50" s="29">
        <f>IF(('Activity data'!AF19*EF!$H50*EF!$H68)*NtoN2O*kgtoGg=0,"NO",('Activity data'!AF19*EF!$H50*EF!$H68)*NtoN2O*kgtoGg)</f>
        <v>0.33735932780121541</v>
      </c>
      <c r="AG50" s="29">
        <f>IF(('Activity data'!AG19*EF!$H50*EF!$H68)*NtoN2O*kgtoGg=0,"NO",('Activity data'!AG19*EF!$H50*EF!$H68)*NtoN2O*kgtoGg)</f>
        <v>0.34443708758754554</v>
      </c>
      <c r="AH50" s="29">
        <f>IF(('Activity data'!AH19*EF!$H50*EF!$H68)*NtoN2O*kgtoGg=0,"NO",('Activity data'!AH19*EF!$H50*EF!$H68)*NtoN2O*kgtoGg)</f>
        <v>0.34372800000000003</v>
      </c>
      <c r="AI50" s="29">
        <f>IF(('Activity data'!AI19*EF!$H50*EF!H68)*NtoN2O*kgtoGg=0,"NO",('Activity data'!AI19*EF!$H50*EF!H68)*NtoN2O*kgtoGg)</f>
        <v>0.32099759999999999</v>
      </c>
      <c r="AJ50" s="29">
        <f>IF(('Activity data'!AJ19*EF!$H50*EF!I68)*NtoN2O*kgtoGg=0,"NO",('Activity data'!AJ19*EF!$H50*EF!I68)*NtoN2O*kgtoGg)</f>
        <v>0.35582730226004156</v>
      </c>
      <c r="AK50" s="29">
        <f>IF(('Activity data'!AK19*EF!$H50*EF!J68)*NtoN2O*kgtoGg=0,"NO",('Activity data'!AK19*EF!$H50*EF!J68)*NtoN2O*kgtoGg)</f>
        <v>0.3592227291342463</v>
      </c>
      <c r="AL50" s="29">
        <f>IF(('Activity data'!AL19*EF!$H50*EF!K68)*NtoN2O*kgtoGg=0,"NO",('Activity data'!AL19*EF!$H50*EF!K68)*NtoN2O*kgtoGg)</f>
        <v>0.35760931665269174</v>
      </c>
      <c r="AM50" s="29">
        <f>IF(('Activity data'!AM19*EF!$H50*EF!L68)*NtoN2O*kgtoGg=0,"NO",('Activity data'!AM19*EF!$H50*EF!L68)*NtoN2O*kgtoGg)</f>
        <v>0.36179052946769058</v>
      </c>
      <c r="AN50" s="29">
        <f>IF(('Activity data'!AN19*EF!$H50*EF!M68)*NtoN2O*kgtoGg=0,"NO",('Activity data'!AN19*EF!$H50*EF!M68)*NtoN2O*kgtoGg)</f>
        <v>0.36592082613765459</v>
      </c>
      <c r="AO50" s="29">
        <f>IF(('Activity data'!AO19*EF!$H50*EF!N68)*NtoN2O*kgtoGg=0,"NO",('Activity data'!AO19*EF!$H50*EF!N68)*NtoN2O*kgtoGg)</f>
        <v>0.37006255207698002</v>
      </c>
      <c r="AP50" s="29">
        <f>IF(('Activity data'!AP19*EF!$H50*EF!O68)*NtoN2O*kgtoGg=0,"NO",('Activity data'!AP19*EF!$H50*EF!O68)*NtoN2O*kgtoGg)</f>
        <v>0.37416044635969908</v>
      </c>
      <c r="AQ50" s="29">
        <f>IF(('Activity data'!AQ19*EF!$H50*EF!P68)*NtoN2O*kgtoGg=0,"NO",('Activity data'!AQ19*EF!$H50*EF!P68)*NtoN2O*kgtoGg)</f>
        <v>0.37830918090364213</v>
      </c>
      <c r="AR50" s="29">
        <f>IF(('Activity data'!AR19*EF!$H50*EF!Q68)*NtoN2O*kgtoGg=0,"NO",('Activity data'!AR19*EF!$H50*EF!Q68)*NtoN2O*kgtoGg)</f>
        <v>0.38293289839518285</v>
      </c>
      <c r="AS50" s="29">
        <f>IF(('Activity data'!AS19*EF!$H50*EF!R68)*NtoN2O*kgtoGg=0,"NO",('Activity data'!AS19*EF!$H50*EF!R68)*NtoN2O*kgtoGg)</f>
        <v>0.38754313580872951</v>
      </c>
      <c r="AT50" s="29">
        <f>IF(('Activity data'!AT19*EF!$H50*EF!S68)*NtoN2O*kgtoGg=0,"NO",('Activity data'!AT19*EF!$H50*EF!S68)*NtoN2O*kgtoGg)</f>
        <v>0.39222219011004877</v>
      </c>
      <c r="AU50" s="29">
        <f>IF(('Activity data'!AU19*EF!$H50*EF!T68)*NtoN2O*kgtoGg=0,"NO",('Activity data'!AU19*EF!$H50*EF!T68)*NtoN2O*kgtoGg)</f>
        <v>0.39695234340217017</v>
      </c>
      <c r="AV50" s="29">
        <f>IF(('Activity data'!AV19*EF!$H50*EF!U68)*NtoN2O*kgtoGg=0,"NO",('Activity data'!AV19*EF!$H50*EF!U68)*NtoN2O*kgtoGg)</f>
        <v>0.40173825962085452</v>
      </c>
      <c r="AW50" s="29">
        <f>IF(('Activity data'!AW19*EF!$H50*EF!V68)*NtoN2O*kgtoGg=0,"NO",('Activity data'!AW19*EF!$H50*EF!V68)*NtoN2O*kgtoGg)</f>
        <v>0.40674468672679409</v>
      </c>
      <c r="AX50" s="29">
        <f>IF(('Activity data'!AX19*EF!$H50*EF!W68)*NtoN2O*kgtoGg=0,"NO",('Activity data'!AX19*EF!$H50*EF!W68)*NtoN2O*kgtoGg)</f>
        <v>0.41165943835256347</v>
      </c>
      <c r="AY50" s="29">
        <f>IF(('Activity data'!AY19*EF!$H50*EF!X68)*NtoN2O*kgtoGg=0,"NO",('Activity data'!AY19*EF!$H50*EF!X68)*NtoN2O*kgtoGg)</f>
        <v>0.4167809636879562</v>
      </c>
      <c r="AZ50" s="29">
        <f>IF(('Activity data'!AZ19*EF!$H50*EF!Y68)*NtoN2O*kgtoGg=0,"NO",('Activity data'!AZ19*EF!$H50*EF!Y68)*NtoN2O*kgtoGg)</f>
        <v>0.422047041792181</v>
      </c>
      <c r="BA50" s="29">
        <f>IF(('Activity data'!BA19*EF!$H50*EF!Z68)*NtoN2O*kgtoGg=0,"NO",('Activity data'!BA19*EF!$H50*EF!Z68)*NtoN2O*kgtoGg)</f>
        <v>0.42746549653438737</v>
      </c>
      <c r="BB50" s="29">
        <f>IF(('Activity data'!BB19*EF!$H50*EF!AA68)*NtoN2O*kgtoGg=0,"NO",('Activity data'!BB19*EF!$H50*EF!AA68)*NtoN2O*kgtoGg)</f>
        <v>0.43307362682881806</v>
      </c>
      <c r="BC50" s="29">
        <f>IF(('Activity data'!BC19*EF!$H50*EF!AB68)*NtoN2O*kgtoGg=0,"NO",('Activity data'!BC19*EF!$H50*EF!AB68)*NtoN2O*kgtoGg)</f>
        <v>0.43878656628624224</v>
      </c>
      <c r="BD50" s="29">
        <f>IF(('Activity data'!BD19*EF!$H50*EF!AC68)*NtoN2O*kgtoGg=0,"NO",('Activity data'!BD19*EF!$H50*EF!AC68)*NtoN2O*kgtoGg)</f>
        <v>0.44453844186792746</v>
      </c>
      <c r="BE50" s="29">
        <f>IF(('Activity data'!BE19*EF!$H50*EF!AD68)*NtoN2O*kgtoGg=0,"NO",('Activity data'!BE19*EF!$H50*EF!AD68)*NtoN2O*kgtoGg)</f>
        <v>0.45039611510156091</v>
      </c>
      <c r="BF50" s="29">
        <f>IF(('Activity data'!BF19*EF!$H50*EF!AE68)*NtoN2O*kgtoGg=0,"NO",('Activity data'!BF19*EF!$H50*EF!AE68)*NtoN2O*kgtoGg)</f>
        <v>0.45641878892612425</v>
      </c>
      <c r="BG50" s="29">
        <f>IF(('Activity data'!BG19*EF!$H50*EF!AF68)*NtoN2O*kgtoGg=0,"NO",('Activity data'!BG19*EF!$H50*EF!AF68)*NtoN2O*kgtoGg)</f>
        <v>0.46300717013577386</v>
      </c>
      <c r="BH50" s="29">
        <f>IF(('Activity data'!BH19*EF!$H50*EF!AG68)*NtoN2O*kgtoGg=0,"NO",('Activity data'!BH19*EF!$H50*EF!AG68)*NtoN2O*kgtoGg)</f>
        <v>0.46972221693801408</v>
      </c>
      <c r="BI50" s="29">
        <f>IF(('Activity data'!BI19*EF!$H50*EF!AH68)*NtoN2O*kgtoGg=0,"NO",('Activity data'!BI19*EF!$H50*EF!AH68)*NtoN2O*kgtoGg)</f>
        <v>0.4765567088037283</v>
      </c>
      <c r="BJ50" s="29">
        <f>IF(('Activity data'!BJ19*EF!$H50*EF!AI68)*NtoN2O*kgtoGg=0,"NO",('Activity data'!BJ19*EF!$H50*EF!AI68)*NtoN2O*kgtoGg)</f>
        <v>0.48352846864610421</v>
      </c>
      <c r="BK50" s="29">
        <f>IF(('Activity data'!BK19*EF!$H50*EF!AJ68)*NtoN2O*kgtoGg=0,"NO",('Activity data'!BK19*EF!$H50*EF!AJ68)*NtoN2O*kgtoGg)</f>
        <v>0.49070815985897998</v>
      </c>
      <c r="BL50" s="29">
        <f>IF(('Activity data'!BL19*EF!$H50*EF!AK68)*NtoN2O*kgtoGg=0,"NO",('Activity data'!BL19*EF!$H50*EF!AK68)*NtoN2O*kgtoGg)</f>
        <v>0.49793673494145235</v>
      </c>
      <c r="BM50" s="29">
        <f>IF(('Activity data'!BM19*EF!$H50*EF!AL68)*NtoN2O*kgtoGg=0,"NO",('Activity data'!BM19*EF!$H50*EF!AL68)*NtoN2O*kgtoGg)</f>
        <v>0.50534459428294842</v>
      </c>
      <c r="BN50" s="29">
        <f>IF(('Activity data'!BN19*EF!$H50*EF!AM68)*NtoN2O*kgtoGg=0,"NO",('Activity data'!BN19*EF!$H50*EF!AM68)*NtoN2O*kgtoGg)</f>
        <v>0.51279741191745598</v>
      </c>
      <c r="BO50" s="29">
        <f>IF(('Activity data'!BO19*EF!$H50*EF!AN68)*NtoN2O*kgtoGg=0,"NO",('Activity data'!BO19*EF!$H50*EF!AN68)*NtoN2O*kgtoGg)</f>
        <v>0.5204457626215343</v>
      </c>
      <c r="BP50" s="29">
        <f>IF(('Activity data'!BP19*EF!$H50*EF!AO68)*NtoN2O*kgtoGg=0,"NO",('Activity data'!BP19*EF!$H50*EF!AO68)*NtoN2O*kgtoGg)</f>
        <v>0.52830596341393521</v>
      </c>
    </row>
    <row r="51" spans="1:68" x14ac:dyDescent="0.25">
      <c r="A51" t="str">
        <f t="shared" si="1"/>
        <v>3A Livestock</v>
      </c>
      <c r="B51" t="str">
        <f t="shared" si="11"/>
        <v>3A2 Manure management (N2O)</v>
      </c>
      <c r="C51" t="str">
        <f>EF!C69</f>
        <v>3A2i Poultry</v>
      </c>
      <c r="D51" t="str">
        <f>EF!D69</f>
        <v>Commercial broilers</v>
      </c>
      <c r="E51" t="str">
        <f t="shared" si="9"/>
        <v>Manure management Emissions</v>
      </c>
      <c r="F51" t="s">
        <v>143</v>
      </c>
      <c r="G51" t="str">
        <f t="shared" si="10"/>
        <v>Gg N2O</v>
      </c>
      <c r="H51" s="29">
        <f>IF(('Activity data'!H20*EF!$H51*EF!$H69)*NtoN2O*kgtoGg=0,"NO",('Activity data'!H20*EF!$H51*EF!$H69)*NtoN2O*kgtoGg)</f>
        <v>0.72930971263591093</v>
      </c>
      <c r="I51" s="29">
        <f>IF(('Activity data'!I20*EF!$H51*EF!$H69)*NtoN2O*kgtoGg=0,"NO",('Activity data'!I20*EF!$H51*EF!$H69)*NtoN2O*kgtoGg)</f>
        <v>0.68555113076259577</v>
      </c>
      <c r="J51" s="29">
        <f>IF(('Activity data'!J20*EF!$H51*EF!$H69)*NtoN2O*kgtoGg=0,"NO",('Activity data'!J20*EF!$H51*EF!$H69)*NtoN2O*kgtoGg)</f>
        <v>0.64789485942199276</v>
      </c>
      <c r="K51" s="29">
        <f>IF(('Activity data'!K20*EF!$H51*EF!$H69)*NtoN2O*kgtoGg=0,"NO",('Activity data'!K20*EF!$H51*EF!$H69)*NtoN2O*kgtoGg)</f>
        <v>0.72865140284093732</v>
      </c>
      <c r="L51" s="29">
        <f>IF(('Activity data'!L20*EF!$H51*EF!$H69)*NtoN2O*kgtoGg=0,"NO",('Activity data'!L20*EF!$H51*EF!$H69)*NtoN2O*kgtoGg)</f>
        <v>0.72181757150319903</v>
      </c>
      <c r="M51" s="29">
        <f>IF(('Activity data'!M20*EF!$H51*EF!$H69)*NtoN2O*kgtoGg=0,"NO",('Activity data'!M20*EF!$H51*EF!$H69)*NtoN2O*kgtoGg)</f>
        <v>0.82622573049281356</v>
      </c>
      <c r="N51" s="29">
        <f>IF(('Activity data'!N20*EF!$H51*EF!$H69)*NtoN2O*kgtoGg=0,"NO",('Activity data'!N20*EF!$H51*EF!$H69)*NtoN2O*kgtoGg)</f>
        <v>0.96068755914648207</v>
      </c>
      <c r="O51" s="29">
        <f>IF(('Activity data'!O20*EF!$H51*EF!$H69)*NtoN2O*kgtoGg=0,"NO",('Activity data'!O20*EF!$H51*EF!$H69)*NtoN2O*kgtoGg)</f>
        <v>0.97787012142542185</v>
      </c>
      <c r="P51" s="29">
        <f>IF(('Activity data'!P20*EF!$H51*EF!$H69)*NtoN2O*kgtoGg=0,"NO",('Activity data'!P20*EF!$H51*EF!$H69)*NtoN2O*kgtoGg)</f>
        <v>1.071484472052648</v>
      </c>
      <c r="Q51" s="29">
        <f>IF(('Activity data'!Q20*EF!$H51*EF!$H69)*NtoN2O*kgtoGg=0,"NO",('Activity data'!Q20*EF!$H51*EF!$H69)*NtoN2O*kgtoGg)</f>
        <v>1.1186177697218391</v>
      </c>
      <c r="R51" s="29">
        <f>IF(('Activity data'!R20*EF!$H51*EF!$H69)*NtoN2O*kgtoGg=0,"NO",('Activity data'!R20*EF!$H51*EF!$H69)*NtoN2O*kgtoGg)</f>
        <v>1.2035502905081028</v>
      </c>
      <c r="S51" s="29">
        <f>IF(('Activity data'!S20*EF!$H51*EF!$H69)*NtoN2O*kgtoGg=0,"NO",('Activity data'!S20*EF!$H51*EF!$H69)*NtoN2O*kgtoGg)</f>
        <v>1.1621542696380114</v>
      </c>
      <c r="T51" s="29">
        <f>IF(('Activity data'!T20*EF!$H51*EF!$H69)*NtoN2O*kgtoGg=0,"NO",('Activity data'!T20*EF!$H51*EF!$H69)*NtoN2O*kgtoGg)</f>
        <v>1.2880438918534249</v>
      </c>
      <c r="U51" s="29">
        <f>IF(('Activity data'!U20*EF!$H51*EF!$H69)*NtoN2O*kgtoGg=0,"NO",('Activity data'!U20*EF!$H51*EF!$H69)*NtoN2O*kgtoGg)</f>
        <v>1.225124187011174</v>
      </c>
      <c r="V51" s="29">
        <f>IF(('Activity data'!V20*EF!$H51*EF!$H69)*NtoN2O*kgtoGg=0,"NO",('Activity data'!V20*EF!$H51*EF!$H69)*NtoN2O*kgtoGg)</f>
        <v>1.2546997536257585</v>
      </c>
      <c r="W51" s="29">
        <f>IF(('Activity data'!W20*EF!$H51*EF!$H69)*NtoN2O*kgtoGg=0,"NO",('Activity data'!W20*EF!$H51*EF!$H69)*NtoN2O*kgtoGg)</f>
        <v>1.3882935327729005</v>
      </c>
      <c r="X51" s="29">
        <f>IF(('Activity data'!X20*EF!$H51*EF!$H69)*NtoN2O*kgtoGg=0,"NO",('Activity data'!X20*EF!$H51*EF!$H69)*NtoN2O*kgtoGg)</f>
        <v>1.4849096879687185</v>
      </c>
      <c r="Y51" s="29">
        <f>IF(('Activity data'!Y20*EF!$H51*EF!$H69)*NtoN2O*kgtoGg=0,"NO",('Activity data'!Y20*EF!$H51*EF!$H69)*NtoN2O*kgtoGg)</f>
        <v>1.5536225594206139</v>
      </c>
      <c r="Z51" s="29">
        <f>IF(('Activity data'!Z20*EF!$H51*EF!$H69)*NtoN2O*kgtoGg=0,"NO",('Activity data'!Z20*EF!$H51*EF!$H69)*NtoN2O*kgtoGg)</f>
        <v>1.6541861721500675</v>
      </c>
      <c r="AA51" s="29">
        <f>IF(('Activity data'!AA20*EF!$H51*EF!$H69)*NtoN2O*kgtoGg=0,"NO",('Activity data'!AA20*EF!$H51*EF!$H69)*NtoN2O*kgtoGg)</f>
        <v>1.5609057472739727</v>
      </c>
      <c r="AB51" s="29">
        <f>IF(('Activity data'!AB20*EF!$H51*EF!$H69)*NtoN2O*kgtoGg=0,"NO",('Activity data'!AB20*EF!$H51*EF!$H69)*NtoN2O*kgtoGg)</f>
        <v>1.6001637714485282</v>
      </c>
      <c r="AC51" s="29">
        <f>IF(('Activity data'!AC20*EF!$H51*EF!$H69)*NtoN2O*kgtoGg=0,"NO",('Activity data'!AC20*EF!$H51*EF!$H69)*NtoN2O*kgtoGg)</f>
        <v>1.6549888552911012</v>
      </c>
      <c r="AD51" s="29">
        <f>IF(('Activity data'!AD20*EF!$H51*EF!$H69)*NtoN2O*kgtoGg=0,"NO",('Activity data'!AD20*EF!$H51*EF!$H69)*NtoN2O*kgtoGg)</f>
        <v>1.691857930325779</v>
      </c>
      <c r="AE51" s="29">
        <f>IF(('Activity data'!AE20*EF!$H51*EF!$H69)*NtoN2O*kgtoGg=0,"NO",('Activity data'!AE20*EF!$H51*EF!$H69)*NtoN2O*kgtoGg)</f>
        <v>1.6475748175246632</v>
      </c>
      <c r="AF51" s="29">
        <f>IF(('Activity data'!AF20*EF!$H51*EF!$H69)*NtoN2O*kgtoGg=0,"NO",('Activity data'!AF20*EF!$H51*EF!$H69)*NtoN2O*kgtoGg)</f>
        <v>1.7225084655507117</v>
      </c>
      <c r="AG51" s="29">
        <f>IF(('Activity data'!AG20*EF!$H51*EF!$H69)*NtoN2O*kgtoGg=0,"NO",('Activity data'!AG20*EF!$H51*EF!$H69)*NtoN2O*kgtoGg)</f>
        <v>1.7920049107677183</v>
      </c>
      <c r="AH51" s="29">
        <f>IF(('Activity data'!AH20*EF!$H51*EF!$H69)*NtoN2O*kgtoGg=0,"NO",('Activity data'!AH20*EF!$H51*EF!$H69)*NtoN2O*kgtoGg)</f>
        <v>1.6664388309799998</v>
      </c>
      <c r="AI51" s="29">
        <f>IF(('Activity data'!AI20*EF!$H51*EF!H69)*NtoN2O*kgtoGg=0,"NO",('Activity data'!AI20*EF!$H51*EF!H69)*NtoN2O*kgtoGg)</f>
        <v>1.6643064618949996</v>
      </c>
      <c r="AJ51" s="29">
        <f>IF(('Activity data'!AJ20*EF!$H51*EF!I69)*NtoN2O*kgtoGg=0,"NO",('Activity data'!AJ20*EF!$H51*EF!I69)*NtoN2O*kgtoGg)</f>
        <v>1.8463743371334318</v>
      </c>
      <c r="AK51" s="29">
        <f>IF(('Activity data'!AK20*EF!$H51*EF!J69)*NtoN2O*kgtoGg=0,"NO",('Activity data'!AK20*EF!$H51*EF!J69)*NtoN2O*kgtoGg)</f>
        <v>1.8796467658043559</v>
      </c>
      <c r="AL51" s="29">
        <f>IF(('Activity data'!AL20*EF!$H51*EF!K69)*NtoN2O*kgtoGg=0,"NO",('Activity data'!AL20*EF!$H51*EF!K69)*NtoN2O*kgtoGg)</f>
        <v>1.912919194475279</v>
      </c>
      <c r="AM51" s="29">
        <f>IF(('Activity data'!AM20*EF!$H51*EF!L69)*NtoN2O*kgtoGg=0,"NO",('Activity data'!AM20*EF!$H51*EF!L69)*NtoN2O*kgtoGg)</f>
        <v>1.9466443910751288</v>
      </c>
      <c r="AN51" s="29">
        <f>IF(('Activity data'!AN20*EF!$H51*EF!M69)*NtoN2O*kgtoGg=0,"NO",('Activity data'!AN20*EF!$H51*EF!M69)*NtoN2O*kgtoGg)</f>
        <v>1.9803695870524656</v>
      </c>
      <c r="AO51" s="29">
        <f>IF(('Activity data'!AO20*EF!$H51*EF!N69)*NtoN2O*kgtoGg=0,"NO",('Activity data'!AO20*EF!$H51*EF!N69)*NtoN2O*kgtoGg)</f>
        <v>2.0140947830298011</v>
      </c>
      <c r="AP51" s="29">
        <f>IF(('Activity data'!AP20*EF!$H51*EF!O69)*NtoN2O*kgtoGg=0,"NO",('Activity data'!AP20*EF!$H51*EF!O69)*NtoN2O*kgtoGg)</f>
        <v>2.0478199790071363</v>
      </c>
      <c r="AQ51" s="29">
        <f>IF(('Activity data'!AQ20*EF!$H51*EF!P69)*NtoN2O*kgtoGg=0,"NO",('Activity data'!AQ20*EF!$H51*EF!P69)*NtoN2O*kgtoGg)</f>
        <v>2.081545175606986</v>
      </c>
      <c r="AR51" s="29">
        <f>IF(('Activity data'!AR20*EF!$H51*EF!Q69)*NtoN2O*kgtoGg=0,"NO",('Activity data'!AR20*EF!$H51*EF!Q69)*NtoN2O*kgtoGg)</f>
        <v>2.1180828076759788</v>
      </c>
      <c r="AS51" s="29">
        <f>IF(('Activity data'!AS20*EF!$H51*EF!R69)*NtoN2O*kgtoGg=0,"NO",('Activity data'!AS20*EF!$H51*EF!R69)*NtoN2O*kgtoGg)</f>
        <v>2.1546204397449711</v>
      </c>
      <c r="AT51" s="29">
        <f>IF(('Activity data'!AT20*EF!$H51*EF!S69)*NtoN2O*kgtoGg=0,"NO",('Activity data'!AT20*EF!$H51*EF!S69)*NtoN2O*kgtoGg)</f>
        <v>2.1911580718139634</v>
      </c>
      <c r="AU51" s="29">
        <f>IF(('Activity data'!AU20*EF!$H51*EF!T69)*NtoN2O*kgtoGg=0,"NO",('Activity data'!AU20*EF!$H51*EF!T69)*NtoN2O*kgtoGg)</f>
        <v>2.2276957038829552</v>
      </c>
      <c r="AV51" s="29">
        <f>IF(('Activity data'!AV20*EF!$H51*EF!U69)*NtoN2O*kgtoGg=0,"NO",('Activity data'!AV20*EF!$H51*EF!U69)*NtoN2O*kgtoGg)</f>
        <v>2.264233335951948</v>
      </c>
      <c r="AW51" s="29">
        <f>IF(('Activity data'!AW20*EF!$H51*EF!V69)*NtoN2O*kgtoGg=0,"NO",('Activity data'!AW20*EF!$H51*EF!V69)*NtoN2O*kgtoGg)</f>
        <v>2.2995305104402735</v>
      </c>
      <c r="AX51" s="29">
        <f>IF(('Activity data'!AX20*EF!$H51*EF!W69)*NtoN2O*kgtoGg=0,"NO",('Activity data'!AX20*EF!$H51*EF!W69)*NtoN2O*kgtoGg)</f>
        <v>2.3348276843060853</v>
      </c>
      <c r="AY51" s="29">
        <f>IF(('Activity data'!AY20*EF!$H51*EF!X69)*NtoN2O*kgtoGg=0,"NO",('Activity data'!AY20*EF!$H51*EF!X69)*NtoN2O*kgtoGg)</f>
        <v>2.3701248587944121</v>
      </c>
      <c r="AZ51" s="29">
        <f>IF(('Activity data'!AZ20*EF!$H51*EF!Y69)*NtoN2O*kgtoGg=0,"NO",('Activity data'!AZ20*EF!$H51*EF!Y69)*NtoN2O*kgtoGg)</f>
        <v>2.4054220326602258</v>
      </c>
      <c r="BA51" s="29">
        <f>IF(('Activity data'!BA20*EF!$H51*EF!Z69)*NtoN2O*kgtoGg=0,"NO",('Activity data'!BA20*EF!$H51*EF!Z69)*NtoN2O*kgtoGg)</f>
        <v>2.4407192065260372</v>
      </c>
      <c r="BB51" s="29">
        <f>IF(('Activity data'!BB20*EF!$H51*EF!AA69)*NtoN2O*kgtoGg=0,"NO",('Activity data'!BB20*EF!$H51*EF!AA69)*NtoN2O*kgtoGg)</f>
        <v>2.4774040780317872</v>
      </c>
      <c r="BC51" s="29">
        <f>IF(('Activity data'!BC20*EF!$H51*EF!AB69)*NtoN2O*kgtoGg=0,"NO",('Activity data'!BC20*EF!$H51*EF!AB69)*NtoN2O*kgtoGg)</f>
        <v>2.5140889495375358</v>
      </c>
      <c r="BD51" s="29">
        <f>IF(('Activity data'!BD20*EF!$H51*EF!AC69)*NtoN2O*kgtoGg=0,"NO",('Activity data'!BD20*EF!$H51*EF!AC69)*NtoN2O*kgtoGg)</f>
        <v>2.5507738204207726</v>
      </c>
      <c r="BE51" s="29">
        <f>IF(('Activity data'!BE20*EF!$H51*EF!AD69)*NtoN2O*kgtoGg=0,"NO",('Activity data'!BE20*EF!$H51*EF!AD69)*NtoN2O*kgtoGg)</f>
        <v>2.5874586919265212</v>
      </c>
      <c r="BF51" s="29">
        <f>IF(('Activity data'!BF20*EF!$H51*EF!AE69)*NtoN2O*kgtoGg=0,"NO",('Activity data'!BF20*EF!$H51*EF!AE69)*NtoN2O*kgtoGg)</f>
        <v>2.6241435634322707</v>
      </c>
      <c r="BG51" s="29">
        <f>IF(('Activity data'!BG20*EF!$H51*EF!AF69)*NtoN2O*kgtoGg=0,"NO",('Activity data'!BG20*EF!$H51*EF!AF69)*NtoN2O*kgtoGg)</f>
        <v>2.666020384307509</v>
      </c>
      <c r="BH51" s="29">
        <f>IF(('Activity data'!BH20*EF!$H51*EF!AG69)*NtoN2O*kgtoGg=0,"NO",('Activity data'!BH20*EF!$H51*EF!AG69)*NtoN2O*kgtoGg)</f>
        <v>2.7078972045602341</v>
      </c>
      <c r="BI51" s="29">
        <f>IF(('Activity data'!BI20*EF!$H51*EF!AH69)*NtoN2O*kgtoGg=0,"NO",('Activity data'!BI20*EF!$H51*EF!AH69)*NtoN2O*kgtoGg)</f>
        <v>2.7497740254354728</v>
      </c>
      <c r="BJ51" s="29">
        <f>IF(('Activity data'!BJ20*EF!$H51*EF!AI69)*NtoN2O*kgtoGg=0,"NO",('Activity data'!BJ20*EF!$H51*EF!AI69)*NtoN2O*kgtoGg)</f>
        <v>2.791650846310711</v>
      </c>
      <c r="BK51" s="29">
        <f>IF(('Activity data'!BK20*EF!$H51*EF!AJ69)*NtoN2O*kgtoGg=0,"NO",('Activity data'!BK20*EF!$H51*EF!AJ69)*NtoN2O*kgtoGg)</f>
        <v>2.8335276671859484</v>
      </c>
      <c r="BL51" s="29">
        <f>IF(('Activity data'!BL20*EF!$H51*EF!AK69)*NtoN2O*kgtoGg=0,"NO",('Activity data'!BL20*EF!$H51*EF!AK69)*NtoN2O*kgtoGg)</f>
        <v>2.8739264811098524</v>
      </c>
      <c r="BM51" s="29">
        <f>IF(('Activity data'!BM20*EF!$H51*EF!AL69)*NtoN2O*kgtoGg=0,"NO",('Activity data'!BM20*EF!$H51*EF!AL69)*NtoN2O*kgtoGg)</f>
        <v>2.9143252950337546</v>
      </c>
      <c r="BN51" s="29">
        <f>IF(('Activity data'!BN20*EF!$H51*EF!AM69)*NtoN2O*kgtoGg=0,"NO",('Activity data'!BN20*EF!$H51*EF!AM69)*NtoN2O*kgtoGg)</f>
        <v>2.9547241095801717</v>
      </c>
      <c r="BO51" s="29">
        <f>IF(('Activity data'!BO20*EF!$H51*EF!AN69)*NtoN2O*kgtoGg=0,"NO",('Activity data'!BO20*EF!$H51*EF!AN69)*NtoN2O*kgtoGg)</f>
        <v>2.9951229235040731</v>
      </c>
      <c r="BP51" s="29">
        <f>IF(('Activity data'!BP20*EF!$H51*EF!AO69)*NtoN2O*kgtoGg=0,"NO",('Activity data'!BP20*EF!$H51*EF!AO69)*NtoN2O*kgtoGg)</f>
        <v>3.0355217374279757</v>
      </c>
    </row>
    <row r="52" spans="1:68" x14ac:dyDescent="0.25">
      <c r="A52" t="str">
        <f t="shared" si="1"/>
        <v>3A Livestock</v>
      </c>
      <c r="B52" t="str">
        <f t="shared" si="11"/>
        <v>3A2 Manure management (N2O)</v>
      </c>
      <c r="C52" t="str">
        <f>EF!C70</f>
        <v>3A2i Poultry</v>
      </c>
      <c r="D52" t="str">
        <f>EF!D70</f>
        <v>Subsistence layers</v>
      </c>
      <c r="E52" t="str">
        <f t="shared" si="9"/>
        <v>Manure management Emissions</v>
      </c>
      <c r="F52" t="s">
        <v>143</v>
      </c>
      <c r="G52" t="str">
        <f t="shared" si="10"/>
        <v>Gg N2O</v>
      </c>
      <c r="H52" s="29">
        <f>IF(('Activity data'!H21*EF!$H52*EF!$H70)*NtoN2O*kgtoGg=0,"NO",('Activity data'!H21*EF!$H52*EF!$H70)*NtoN2O*kgtoGg)</f>
        <v>8.5243760509896623E-3</v>
      </c>
      <c r="I52" s="29">
        <f>IF(('Activity data'!I21*EF!$H52*EF!$H70)*NtoN2O*kgtoGg=0,"NO",('Activity data'!I21*EF!$H52*EF!$H70)*NtoN2O*kgtoGg)</f>
        <v>8.2813036260724598E-3</v>
      </c>
      <c r="J52" s="29">
        <f>IF(('Activity data'!J21*EF!$H52*EF!$H70)*NtoN2O*kgtoGg=0,"NO",('Activity data'!J21*EF!$H52*EF!$H70)*NtoN2O*kgtoGg)</f>
        <v>7.8542404359692557E-3</v>
      </c>
      <c r="K52" s="29">
        <f>IF(('Activity data'!K21*EF!$H52*EF!$H70)*NtoN2O*kgtoGg=0,"NO",('Activity data'!K21*EF!$H52*EF!$H70)*NtoN2O*kgtoGg)</f>
        <v>7.7307463298428268E-3</v>
      </c>
      <c r="L52" s="29">
        <f>IF(('Activity data'!L21*EF!$H52*EF!$H70)*NtoN2O*kgtoGg=0,"NO",('Activity data'!L21*EF!$H52*EF!$H70)*NtoN2O*kgtoGg)</f>
        <v>7.394486699027595E-3</v>
      </c>
      <c r="M52" s="29">
        <f>IF(('Activity data'!M21*EF!$H52*EF!$H70)*NtoN2O*kgtoGg=0,"NO",('Activity data'!M21*EF!$H52*EF!$H70)*NtoN2O*kgtoGg)</f>
        <v>8.0683053341030469E-3</v>
      </c>
      <c r="N52" s="29">
        <f>IF(('Activity data'!N21*EF!$H52*EF!$H70)*NtoN2O*kgtoGg=0,"NO",('Activity data'!N21*EF!$H52*EF!$H70)*NtoN2O*kgtoGg)</f>
        <v>8.5225928029387995E-3</v>
      </c>
      <c r="O52" s="29">
        <f>IF(('Activity data'!O21*EF!$H52*EF!$H70)*NtoN2O*kgtoGg=0,"NO",('Activity data'!O21*EF!$H52*EF!$H70)*NtoN2O*kgtoGg)</f>
        <v>8.55061823412555E-3</v>
      </c>
      <c r="P52" s="29">
        <f>IF(('Activity data'!P21*EF!$H52*EF!$H70)*NtoN2O*kgtoGg=0,"NO",('Activity data'!P21*EF!$H52*EF!$H70)*NtoN2O*kgtoGg)</f>
        <v>9.627274618194244E-3</v>
      </c>
      <c r="Q52" s="29">
        <f>IF(('Activity data'!Q21*EF!$H52*EF!$H70)*NtoN2O*kgtoGg=0,"NO",('Activity data'!Q21*EF!$H52*EF!$H70)*NtoN2O*kgtoGg)</f>
        <v>1.0321404479128861E-2</v>
      </c>
      <c r="R52" s="29">
        <f>IF(('Activity data'!R21*EF!$H52*EF!$H70)*NtoN2O*kgtoGg=0,"NO",('Activity data'!R21*EF!$H52*EF!$H70)*NtoN2O*kgtoGg)</f>
        <v>1.010271047950061E-2</v>
      </c>
      <c r="S52" s="29">
        <f>IF(('Activity data'!S21*EF!$H52*EF!$H70)*NtoN2O*kgtoGg=0,"NO",('Activity data'!S21*EF!$H52*EF!$H70)*NtoN2O*kgtoGg)</f>
        <v>1.0372214756607131E-2</v>
      </c>
      <c r="T52" s="29">
        <f>IF(('Activity data'!T21*EF!$H52*EF!$H70)*NtoN2O*kgtoGg=0,"NO",('Activity data'!T21*EF!$H52*EF!$H70)*NtoN2O*kgtoGg)</f>
        <v>1.0290807756416174E-2</v>
      </c>
      <c r="U52" s="29">
        <f>IF(('Activity data'!U21*EF!$H52*EF!$H70)*NtoN2O*kgtoGg=0,"NO",('Activity data'!U21*EF!$H52*EF!$H70)*NtoN2O*kgtoGg)</f>
        <v>9.8799729665679584E-3</v>
      </c>
      <c r="V52" s="29">
        <f>IF(('Activity data'!V21*EF!$H52*EF!$H70)*NtoN2O*kgtoGg=0,"NO",('Activity data'!V21*EF!$H52*EF!$H70)*NtoN2O*kgtoGg)</f>
        <v>1.0238231028606104E-2</v>
      </c>
      <c r="W52" s="29">
        <f>IF(('Activity data'!W21*EF!$H52*EF!$H70)*NtoN2O*kgtoGg=0,"NO",('Activity data'!W21*EF!$H52*EF!$H70)*NtoN2O*kgtoGg)</f>
        <v>1.085560173037158E-2</v>
      </c>
      <c r="X52" s="29">
        <f>IF(('Activity data'!X21*EF!$H52*EF!$H70)*NtoN2O*kgtoGg=0,"NO",('Activity data'!X21*EF!$H52*EF!$H70)*NtoN2O*kgtoGg)</f>
        <v>1.1980432313982685E-2</v>
      </c>
      <c r="Y52" s="29">
        <f>IF(('Activity data'!Y21*EF!$H52*EF!$H70)*NtoN2O*kgtoGg=0,"NO",('Activity data'!Y21*EF!$H52*EF!$H70)*NtoN2O*kgtoGg)</f>
        <v>1.3258412654313281E-2</v>
      </c>
      <c r="Z52" s="29">
        <f>IF(('Activity data'!Z21*EF!$H52*EF!$H70)*NtoN2O*kgtoGg=0,"NO",('Activity data'!Z21*EF!$H52*EF!$H70)*NtoN2O*kgtoGg)</f>
        <v>1.3433024325241976E-2</v>
      </c>
      <c r="AA52" s="29">
        <f>IF(('Activity data'!AA21*EF!$H52*EF!$H70)*NtoN2O*kgtoGg=0,"NO",('Activity data'!AA21*EF!$H52*EF!$H70)*NtoN2O*kgtoGg)</f>
        <v>1.2937796671040344E-2</v>
      </c>
      <c r="AB52" s="29">
        <f>IF(('Activity data'!AB21*EF!$H52*EF!$H70)*NtoN2O*kgtoGg=0,"NO",('Activity data'!AB21*EF!$H52*EF!$H70)*NtoN2O*kgtoGg)</f>
        <v>1.3441768554842816E-2</v>
      </c>
      <c r="AC52" s="29">
        <f>IF(('Activity data'!AC21*EF!$H52*EF!$H70)*NtoN2O*kgtoGg=0,"NO",('Activity data'!AC21*EF!$H52*EF!$H70)*NtoN2O*kgtoGg)</f>
        <v>1.4062204549784241E-2</v>
      </c>
      <c r="AD52" s="29">
        <f>IF(('Activity data'!AD21*EF!$H52*EF!$H70)*NtoN2O*kgtoGg=0,"NO",('Activity data'!AD21*EF!$H52*EF!$H70)*NtoN2O*kgtoGg)</f>
        <v>1.4574462999068906E-2</v>
      </c>
      <c r="AE52" s="29">
        <f>IF(('Activity data'!AE21*EF!$H52*EF!$H70)*NtoN2O*kgtoGg=0,"NO",('Activity data'!AE21*EF!$H52*EF!$H70)*NtoN2O*kgtoGg)</f>
        <v>1.4290799539805202E-2</v>
      </c>
      <c r="AF52" s="29">
        <f>IF(('Activity data'!AF21*EF!$H52*EF!$H70)*NtoN2O*kgtoGg=0,"NO",('Activity data'!AF21*EF!$H52*EF!$H70)*NtoN2O*kgtoGg)</f>
        <v>1.4169091767651049E-2</v>
      </c>
      <c r="AG52" s="29">
        <f>IF(('Activity data'!AG21*EF!$H52*EF!$H70)*NtoN2O*kgtoGg=0,"NO",('Activity data'!AG21*EF!$H52*EF!$H70)*NtoN2O*kgtoGg)</f>
        <v>1.4466357678676918E-2</v>
      </c>
      <c r="AH52" s="29">
        <f>IF(('Activity data'!AH21*EF!$H52*EF!$H70)*NtoN2O*kgtoGg=0,"NO",('Activity data'!AH21*EF!$H52*EF!$H70)*NtoN2O*kgtoGg)</f>
        <v>1.4436576E-2</v>
      </c>
      <c r="AI52" s="29">
        <f>IF(('Activity data'!AI21*EF!$H52*EF!H70)*NtoN2O*kgtoGg=0,"NO",('Activity data'!AI21*EF!$H52*EF!H70)*NtoN2O*kgtoGg)</f>
        <v>1.34818992E-2</v>
      </c>
      <c r="AJ52" s="29">
        <f>IF(('Activity data'!AJ21*EF!$H52*EF!I70)*NtoN2O*kgtoGg=0,"NO",('Activity data'!AJ21*EF!$H52*EF!I70)*NtoN2O*kgtoGg)</f>
        <v>1.4233092090401663E-2</v>
      </c>
      <c r="AK52" s="29">
        <f>IF(('Activity data'!AK21*EF!$H52*EF!J70)*NtoN2O*kgtoGg=0,"NO",('Activity data'!AK21*EF!$H52*EF!J70)*NtoN2O*kgtoGg)</f>
        <v>1.4368909165369851E-2</v>
      </c>
      <c r="AL52" s="29">
        <f>IF(('Activity data'!AL21*EF!$H52*EF!K70)*NtoN2O*kgtoGg=0,"NO",('Activity data'!AL21*EF!$H52*EF!K70)*NtoN2O*kgtoGg)</f>
        <v>1.4304372666107672E-2</v>
      </c>
      <c r="AM52" s="29">
        <f>IF(('Activity data'!AM21*EF!$H52*EF!L70)*NtoN2O*kgtoGg=0,"NO",('Activity data'!AM21*EF!$H52*EF!L70)*NtoN2O*kgtoGg)</f>
        <v>1.4471621178707626E-2</v>
      </c>
      <c r="AN52" s="29">
        <f>IF(('Activity data'!AN21*EF!$H52*EF!M70)*NtoN2O*kgtoGg=0,"NO",('Activity data'!AN21*EF!$H52*EF!M70)*NtoN2O*kgtoGg)</f>
        <v>1.4636833045506186E-2</v>
      </c>
      <c r="AO52" s="29">
        <f>IF(('Activity data'!AO21*EF!$H52*EF!N70)*NtoN2O*kgtoGg=0,"NO",('Activity data'!AO21*EF!$H52*EF!N70)*NtoN2O*kgtoGg)</f>
        <v>1.4802502083079202E-2</v>
      </c>
      <c r="AP52" s="29">
        <f>IF(('Activity data'!AP21*EF!$H52*EF!O70)*NtoN2O*kgtoGg=0,"NO",('Activity data'!AP21*EF!$H52*EF!O70)*NtoN2O*kgtoGg)</f>
        <v>1.4966417854387966E-2</v>
      </c>
      <c r="AQ52" s="29">
        <f>IF(('Activity data'!AQ21*EF!$H52*EF!P70)*NtoN2O*kgtoGg=0,"NO",('Activity data'!AQ21*EF!$H52*EF!P70)*NtoN2O*kgtoGg)</f>
        <v>1.5132367236145687E-2</v>
      </c>
      <c r="AR52" s="29">
        <f>IF(('Activity data'!AR21*EF!$H52*EF!Q70)*NtoN2O*kgtoGg=0,"NO",('Activity data'!AR21*EF!$H52*EF!Q70)*NtoN2O*kgtoGg)</f>
        <v>1.5317315935807315E-2</v>
      </c>
      <c r="AS52" s="29">
        <f>IF(('Activity data'!AS21*EF!$H52*EF!R70)*NtoN2O*kgtoGg=0,"NO",('Activity data'!AS21*EF!$H52*EF!R70)*NtoN2O*kgtoGg)</f>
        <v>1.5501725432349176E-2</v>
      </c>
      <c r="AT52" s="29">
        <f>IF(('Activity data'!AT21*EF!$H52*EF!S70)*NtoN2O*kgtoGg=0,"NO",('Activity data'!AT21*EF!$H52*EF!S70)*NtoN2O*kgtoGg)</f>
        <v>1.5688887604401954E-2</v>
      </c>
      <c r="AU52" s="29">
        <f>IF(('Activity data'!AU21*EF!$H52*EF!T70)*NtoN2O*kgtoGg=0,"NO",('Activity data'!AU21*EF!$H52*EF!T70)*NtoN2O*kgtoGg)</f>
        <v>1.5878093736086809E-2</v>
      </c>
      <c r="AV52" s="29">
        <f>IF(('Activity data'!AV21*EF!$H52*EF!U70)*NtoN2O*kgtoGg=0,"NO",('Activity data'!AV21*EF!$H52*EF!U70)*NtoN2O*kgtoGg)</f>
        <v>1.6069530384834184E-2</v>
      </c>
      <c r="AW52" s="29">
        <f>IF(('Activity data'!AW21*EF!$H52*EF!V70)*NtoN2O*kgtoGg=0,"NO",('Activity data'!AW21*EF!$H52*EF!V70)*NtoN2O*kgtoGg)</f>
        <v>1.6269787469071761E-2</v>
      </c>
      <c r="AX52" s="29">
        <f>IF(('Activity data'!AX21*EF!$H52*EF!W70)*NtoN2O*kgtoGg=0,"NO",('Activity data'!AX21*EF!$H52*EF!W70)*NtoN2O*kgtoGg)</f>
        <v>1.6466377534102537E-2</v>
      </c>
      <c r="AY52" s="29">
        <f>IF(('Activity data'!AY21*EF!$H52*EF!X70)*NtoN2O*kgtoGg=0,"NO",('Activity data'!AY21*EF!$H52*EF!X70)*NtoN2O*kgtoGg)</f>
        <v>1.6671238547518251E-2</v>
      </c>
      <c r="AZ52" s="29">
        <f>IF(('Activity data'!AZ21*EF!$H52*EF!Y70)*NtoN2O*kgtoGg=0,"NO",('Activity data'!AZ21*EF!$H52*EF!Y70)*NtoN2O*kgtoGg)</f>
        <v>1.6881881671687242E-2</v>
      </c>
      <c r="BA52" s="29">
        <f>IF(('Activity data'!BA21*EF!$H52*EF!Z70)*NtoN2O*kgtoGg=0,"NO",('Activity data'!BA21*EF!$H52*EF!Z70)*NtoN2O*kgtoGg)</f>
        <v>1.7098619861375491E-2</v>
      </c>
      <c r="BB52" s="29">
        <f>IF(('Activity data'!BB21*EF!$H52*EF!AA70)*NtoN2O*kgtoGg=0,"NO",('Activity data'!BB21*EF!$H52*EF!AA70)*NtoN2O*kgtoGg)</f>
        <v>1.7322945073152719E-2</v>
      </c>
      <c r="BC52" s="29">
        <f>IF(('Activity data'!BC21*EF!$H52*EF!AB70)*NtoN2O*kgtoGg=0,"NO",('Activity data'!BC21*EF!$H52*EF!AB70)*NtoN2O*kgtoGg)</f>
        <v>1.7551462651449693E-2</v>
      </c>
      <c r="BD52" s="29">
        <f>IF(('Activity data'!BD21*EF!$H52*EF!AC70)*NtoN2O*kgtoGg=0,"NO",('Activity data'!BD21*EF!$H52*EF!AC70)*NtoN2O*kgtoGg)</f>
        <v>1.7781537674717098E-2</v>
      </c>
      <c r="BE52" s="29">
        <f>IF(('Activity data'!BE21*EF!$H52*EF!AD70)*NtoN2O*kgtoGg=0,"NO",('Activity data'!BE21*EF!$H52*EF!AD70)*NtoN2O*kgtoGg)</f>
        <v>1.8015844604062435E-2</v>
      </c>
      <c r="BF52" s="29">
        <f>IF(('Activity data'!BF21*EF!$H52*EF!AE70)*NtoN2O*kgtoGg=0,"NO",('Activity data'!BF21*EF!$H52*EF!AE70)*NtoN2O*kgtoGg)</f>
        <v>1.8256751557044971E-2</v>
      </c>
      <c r="BG52" s="29">
        <f>IF(('Activity data'!BG21*EF!$H52*EF!AF70)*NtoN2O*kgtoGg=0,"NO",('Activity data'!BG21*EF!$H52*EF!AF70)*NtoN2O*kgtoGg)</f>
        <v>1.8520286805430955E-2</v>
      </c>
      <c r="BH52" s="29">
        <f>IF(('Activity data'!BH21*EF!$H52*EF!AG70)*NtoN2O*kgtoGg=0,"NO",('Activity data'!BH21*EF!$H52*EF!AG70)*NtoN2O*kgtoGg)</f>
        <v>1.8788888677520564E-2</v>
      </c>
      <c r="BI52" s="29">
        <f>IF(('Activity data'!BI21*EF!$H52*EF!AH70)*NtoN2O*kgtoGg=0,"NO",('Activity data'!BI21*EF!$H52*EF!AH70)*NtoN2O*kgtoGg)</f>
        <v>1.9062268352149133E-2</v>
      </c>
      <c r="BJ52" s="29">
        <f>IF(('Activity data'!BJ21*EF!$H52*EF!AI70)*NtoN2O*kgtoGg=0,"NO",('Activity data'!BJ21*EF!$H52*EF!AI70)*NtoN2O*kgtoGg)</f>
        <v>1.9341138745844172E-2</v>
      </c>
      <c r="BK52" s="29">
        <f>IF(('Activity data'!BK21*EF!$H52*EF!AJ70)*NtoN2O*kgtoGg=0,"NO",('Activity data'!BK21*EF!$H52*EF!AJ70)*NtoN2O*kgtoGg)</f>
        <v>1.9628326394359203E-2</v>
      </c>
      <c r="BL52" s="29">
        <f>IF(('Activity data'!BL21*EF!$H52*EF!AK70)*NtoN2O*kgtoGg=0,"NO",('Activity data'!BL21*EF!$H52*EF!AK70)*NtoN2O*kgtoGg)</f>
        <v>1.9917469397658094E-2</v>
      </c>
      <c r="BM52" s="29">
        <f>IF(('Activity data'!BM21*EF!$H52*EF!AL70)*NtoN2O*kgtoGg=0,"NO",('Activity data'!BM21*EF!$H52*EF!AL70)*NtoN2O*kgtoGg)</f>
        <v>2.0213783771317936E-2</v>
      </c>
      <c r="BN52" s="29">
        <f>IF(('Activity data'!BN21*EF!$H52*EF!AM70)*NtoN2O*kgtoGg=0,"NO",('Activity data'!BN21*EF!$H52*EF!AM70)*NtoN2O*kgtoGg)</f>
        <v>2.0511896476698242E-2</v>
      </c>
      <c r="BO52" s="29">
        <f>IF(('Activity data'!BO21*EF!$H52*EF!AN70)*NtoN2O*kgtoGg=0,"NO",('Activity data'!BO21*EF!$H52*EF!AN70)*NtoN2O*kgtoGg)</f>
        <v>2.0817830504861374E-2</v>
      </c>
      <c r="BP52" s="29">
        <f>IF(('Activity data'!BP21*EF!$H52*EF!AO70)*NtoN2O*kgtoGg=0,"NO",('Activity data'!BP21*EF!$H52*EF!AO70)*NtoN2O*kgtoGg)</f>
        <v>2.1132238536557407E-2</v>
      </c>
    </row>
    <row r="53" spans="1:68" x14ac:dyDescent="0.25">
      <c r="A53" t="str">
        <f t="shared" si="1"/>
        <v>3A Livestock</v>
      </c>
      <c r="B53" t="str">
        <f t="shared" si="11"/>
        <v>3A2 Manure management (N2O)</v>
      </c>
      <c r="C53" t="str">
        <f>EF!C71</f>
        <v>3A2i Poultry</v>
      </c>
      <c r="D53" t="str">
        <f>EF!D71</f>
        <v>Subsistence broilers</v>
      </c>
      <c r="E53" t="str">
        <f t="shared" si="9"/>
        <v>Manure management Emissions</v>
      </c>
      <c r="F53" t="s">
        <v>143</v>
      </c>
      <c r="G53" t="str">
        <f t="shared" si="10"/>
        <v>Gg N2O</v>
      </c>
      <c r="H53" s="29">
        <f>IF(('Activity data'!H22*EF!$H53*EF!$H71)*NtoN2O*kgtoGg=0,"NO",('Activity data'!H22*EF!$H53*EF!$H71)*NtoN2O*kgtoGg)</f>
        <v>3.0631007930708259E-2</v>
      </c>
      <c r="I53" s="29">
        <f>IF(('Activity data'!I22*EF!$H53*EF!$H71)*NtoN2O*kgtoGg=0,"NO",('Activity data'!I22*EF!$H53*EF!$H71)*NtoN2O*kgtoGg)</f>
        <v>2.8793147492029023E-2</v>
      </c>
      <c r="J53" s="29">
        <f>IF(('Activity data'!J22*EF!$H53*EF!$H71)*NtoN2O*kgtoGg=0,"NO",('Activity data'!J22*EF!$H53*EF!$H71)*NtoN2O*kgtoGg)</f>
        <v>2.7211584095723697E-2</v>
      </c>
      <c r="K53" s="29">
        <f>IF(('Activity data'!K22*EF!$H53*EF!$H71)*NtoN2O*kgtoGg=0,"NO",('Activity data'!K22*EF!$H53*EF!$H71)*NtoN2O*kgtoGg)</f>
        <v>3.0603358919319371E-2</v>
      </c>
      <c r="L53" s="29">
        <f>IF(('Activity data'!L22*EF!$H53*EF!$H71)*NtoN2O*kgtoGg=0,"NO",('Activity data'!L22*EF!$H53*EF!$H71)*NtoN2O*kgtoGg)</f>
        <v>3.0316338003134366E-2</v>
      </c>
      <c r="M53" s="29">
        <f>IF(('Activity data'!M22*EF!$H53*EF!$H71)*NtoN2O*kgtoGg=0,"NO",('Activity data'!M22*EF!$H53*EF!$H71)*NtoN2O*kgtoGg)</f>
        <v>3.4701480680698171E-2</v>
      </c>
      <c r="N53" s="29">
        <f>IF(('Activity data'!N22*EF!$H53*EF!$H71)*NtoN2O*kgtoGg=0,"NO",('Activity data'!N22*EF!$H53*EF!$H71)*NtoN2O*kgtoGg)</f>
        <v>4.0348877484152244E-2</v>
      </c>
      <c r="O53" s="29">
        <f>IF(('Activity data'!O22*EF!$H53*EF!$H71)*NtoN2O*kgtoGg=0,"NO",('Activity data'!O22*EF!$H53*EF!$H71)*NtoN2O*kgtoGg)</f>
        <v>4.1070545099867725E-2</v>
      </c>
      <c r="P53" s="29">
        <f>IF(('Activity data'!P22*EF!$H53*EF!$H71)*NtoN2O*kgtoGg=0,"NO",('Activity data'!P22*EF!$H53*EF!$H71)*NtoN2O*kgtoGg)</f>
        <v>4.5002347826211216E-2</v>
      </c>
      <c r="Q53" s="29">
        <f>IF(('Activity data'!Q22*EF!$H53*EF!$H71)*NtoN2O*kgtoGg=0,"NO",('Activity data'!Q22*EF!$H53*EF!$H71)*NtoN2O*kgtoGg)</f>
        <v>4.6981946328317245E-2</v>
      </c>
      <c r="R53" s="29">
        <f>IF(('Activity data'!R22*EF!$H53*EF!$H71)*NtoN2O*kgtoGg=0,"NO",('Activity data'!R22*EF!$H53*EF!$H71)*NtoN2O*kgtoGg)</f>
        <v>5.0549112201340313E-2</v>
      </c>
      <c r="S53" s="29">
        <f>IF(('Activity data'!S22*EF!$H53*EF!$H71)*NtoN2O*kgtoGg=0,"NO",('Activity data'!S22*EF!$H53*EF!$H71)*NtoN2O*kgtoGg)</f>
        <v>4.8810479324796478E-2</v>
      </c>
      <c r="T53" s="29">
        <f>IF(('Activity data'!T22*EF!$H53*EF!$H71)*NtoN2O*kgtoGg=0,"NO",('Activity data'!T22*EF!$H53*EF!$H71)*NtoN2O*kgtoGg)</f>
        <v>5.4097843457843853E-2</v>
      </c>
      <c r="U53" s="29">
        <f>IF(('Activity data'!U22*EF!$H53*EF!$H71)*NtoN2O*kgtoGg=0,"NO",('Activity data'!U22*EF!$H53*EF!$H71)*NtoN2O*kgtoGg)</f>
        <v>5.1455215854469313E-2</v>
      </c>
      <c r="V53" s="29">
        <f>IF(('Activity data'!V22*EF!$H53*EF!$H71)*NtoN2O*kgtoGg=0,"NO",('Activity data'!V22*EF!$H53*EF!$H71)*NtoN2O*kgtoGg)</f>
        <v>5.2697389652281851E-2</v>
      </c>
      <c r="W53" s="29">
        <f>IF(('Activity data'!W22*EF!$H53*EF!$H71)*NtoN2O*kgtoGg=0,"NO",('Activity data'!W22*EF!$H53*EF!$H71)*NtoN2O*kgtoGg)</f>
        <v>5.8308328376461827E-2</v>
      </c>
      <c r="X53" s="29">
        <f>IF(('Activity data'!X22*EF!$H53*EF!$H71)*NtoN2O*kgtoGg=0,"NO",('Activity data'!X22*EF!$H53*EF!$H71)*NtoN2O*kgtoGg)</f>
        <v>6.236620689468618E-2</v>
      </c>
      <c r="Y53" s="29">
        <f>IF(('Activity data'!Y22*EF!$H53*EF!$H71)*NtoN2O*kgtoGg=0,"NO",('Activity data'!Y22*EF!$H53*EF!$H71)*NtoN2O*kgtoGg)</f>
        <v>6.5252147495665797E-2</v>
      </c>
      <c r="Z53" s="29">
        <f>IF(('Activity data'!Z22*EF!$H53*EF!$H71)*NtoN2O*kgtoGg=0,"NO",('Activity data'!Z22*EF!$H53*EF!$H71)*NtoN2O*kgtoGg)</f>
        <v>6.9475819230302827E-2</v>
      </c>
      <c r="AA53" s="29">
        <f>IF(('Activity data'!AA22*EF!$H53*EF!$H71)*NtoN2O*kgtoGg=0,"NO",('Activity data'!AA22*EF!$H53*EF!$H71)*NtoN2O*kgtoGg)</f>
        <v>6.555804138550686E-2</v>
      </c>
      <c r="AB53" s="29">
        <f>IF(('Activity data'!AB22*EF!$H53*EF!$H71)*NtoN2O*kgtoGg=0,"NO",('Activity data'!AB22*EF!$H53*EF!$H71)*NtoN2O*kgtoGg)</f>
        <v>6.7206878400838194E-2</v>
      </c>
      <c r="AC53" s="29">
        <f>IF(('Activity data'!AC22*EF!$H53*EF!$H71)*NtoN2O*kgtoGg=0,"NO",('Activity data'!AC22*EF!$H53*EF!$H71)*NtoN2O*kgtoGg)</f>
        <v>6.9509531922226239E-2</v>
      </c>
      <c r="AD53" s="29">
        <f>IF(('Activity data'!AD22*EF!$H53*EF!$H71)*NtoN2O*kgtoGg=0,"NO",('Activity data'!AD22*EF!$H53*EF!$H71)*NtoN2O*kgtoGg)</f>
        <v>7.1058033073682719E-2</v>
      </c>
      <c r="AE53" s="29">
        <f>IF(('Activity data'!AE22*EF!$H53*EF!$H71)*NtoN2O*kgtoGg=0,"NO",('Activity data'!AE22*EF!$H53*EF!$H71)*NtoN2O*kgtoGg)</f>
        <v>6.9198142336035842E-2</v>
      </c>
      <c r="AF53" s="29">
        <f>IF(('Activity data'!AF22*EF!$H53*EF!$H71)*NtoN2O*kgtoGg=0,"NO",('Activity data'!AF22*EF!$H53*EF!$H71)*NtoN2O*kgtoGg)</f>
        <v>7.2345355553129903E-2</v>
      </c>
      <c r="AG53" s="29">
        <f>IF(('Activity data'!AG22*EF!$H53*EF!$H71)*NtoN2O*kgtoGg=0,"NO",('Activity data'!AG22*EF!$H53*EF!$H71)*NtoN2O*kgtoGg)</f>
        <v>7.526420625224417E-2</v>
      </c>
      <c r="AH53" s="29">
        <f>IF(('Activity data'!AH22*EF!$H53*EF!$H71)*NtoN2O*kgtoGg=0,"NO",('Activity data'!AH22*EF!$H53*EF!$H71)*NtoN2O*kgtoGg)</f>
        <v>6.999043090116E-2</v>
      </c>
      <c r="AI53" s="29">
        <f>IF(('Activity data'!AI22*EF!$H53*EF!H71)*NtoN2O*kgtoGg=0,"NO",('Activity data'!AI22*EF!$H53*EF!H71)*NtoN2O*kgtoGg)</f>
        <v>6.9900871399589989E-2</v>
      </c>
      <c r="AJ53" s="29">
        <f>IF(('Activity data'!AJ22*EF!$H53*EF!I71)*NtoN2O*kgtoGg=0,"NO",('Activity data'!AJ22*EF!$H53*EF!I71)*NtoN2O*kgtoGg)</f>
        <v>7.3854973485337275E-2</v>
      </c>
      <c r="AK53" s="29">
        <f>IF(('Activity data'!AK22*EF!$H53*EF!J71)*NtoN2O*kgtoGg=0,"NO",('Activity data'!AK22*EF!$H53*EF!J71)*NtoN2O*kgtoGg)</f>
        <v>7.5185870632174231E-2</v>
      </c>
      <c r="AL53" s="29">
        <f>IF(('Activity data'!AL22*EF!$H53*EF!K71)*NtoN2O*kgtoGg=0,"NO",('Activity data'!AL22*EF!$H53*EF!K71)*NtoN2O*kgtoGg)</f>
        <v>7.6516767779011161E-2</v>
      </c>
      <c r="AM53" s="29">
        <f>IF(('Activity data'!AM22*EF!$H53*EF!L71)*NtoN2O*kgtoGg=0,"NO",('Activity data'!AM22*EF!$H53*EF!L71)*NtoN2O*kgtoGg)</f>
        <v>7.7865775643005161E-2</v>
      </c>
      <c r="AN53" s="29">
        <f>IF(('Activity data'!AN22*EF!$H53*EF!M71)*NtoN2O*kgtoGg=0,"NO",('Activity data'!AN22*EF!$H53*EF!M71)*NtoN2O*kgtoGg)</f>
        <v>7.9214783482098622E-2</v>
      </c>
      <c r="AO53" s="29">
        <f>IF(('Activity data'!AO22*EF!$H53*EF!N71)*NtoN2O*kgtoGg=0,"NO",('Activity data'!AO22*EF!$H53*EF!N71)*NtoN2O*kgtoGg)</f>
        <v>8.0563791321192055E-2</v>
      </c>
      <c r="AP53" s="29">
        <f>IF(('Activity data'!AP22*EF!$H53*EF!O71)*NtoN2O*kgtoGg=0,"NO",('Activity data'!AP22*EF!$H53*EF!O71)*NtoN2O*kgtoGg)</f>
        <v>8.1912799160285474E-2</v>
      </c>
      <c r="AQ53" s="29">
        <f>IF(('Activity data'!AQ22*EF!$H53*EF!P71)*NtoN2O*kgtoGg=0,"NO",('Activity data'!AQ22*EF!$H53*EF!P71)*NtoN2O*kgtoGg)</f>
        <v>8.3261807024279433E-2</v>
      </c>
      <c r="AR53" s="29">
        <f>IF(('Activity data'!AR22*EF!$H53*EF!Q71)*NtoN2O*kgtoGg=0,"NO",('Activity data'!AR22*EF!$H53*EF!Q71)*NtoN2O*kgtoGg)</f>
        <v>8.4723312307039153E-2</v>
      </c>
      <c r="AS53" s="29">
        <f>IF(('Activity data'!AS22*EF!$H53*EF!R71)*NtoN2O*kgtoGg=0,"NO",('Activity data'!AS22*EF!$H53*EF!R71)*NtoN2O*kgtoGg)</f>
        <v>8.6184817589798846E-2</v>
      </c>
      <c r="AT53" s="29">
        <f>IF(('Activity data'!AT22*EF!$H53*EF!S71)*NtoN2O*kgtoGg=0,"NO",('Activity data'!AT22*EF!$H53*EF!S71)*NtoN2O*kgtoGg)</f>
        <v>8.7646322872558538E-2</v>
      </c>
      <c r="AU53" s="29">
        <f>IF(('Activity data'!AU22*EF!$H53*EF!T71)*NtoN2O*kgtoGg=0,"NO",('Activity data'!AU22*EF!$H53*EF!T71)*NtoN2O*kgtoGg)</f>
        <v>8.9107828155318217E-2</v>
      </c>
      <c r="AV53" s="29">
        <f>IF(('Activity data'!AV22*EF!$H53*EF!U71)*NtoN2O*kgtoGg=0,"NO",('Activity data'!AV22*EF!$H53*EF!U71)*NtoN2O*kgtoGg)</f>
        <v>9.0569333438077909E-2</v>
      </c>
      <c r="AW53" s="29">
        <f>IF(('Activity data'!AW22*EF!$H53*EF!V71)*NtoN2O*kgtoGg=0,"NO",('Activity data'!AW22*EF!$H53*EF!V71)*NtoN2O*kgtoGg)</f>
        <v>9.1981220417610962E-2</v>
      </c>
      <c r="AX53" s="29">
        <f>IF(('Activity data'!AX22*EF!$H53*EF!W71)*NtoN2O*kgtoGg=0,"NO",('Activity data'!AX22*EF!$H53*EF!W71)*NtoN2O*kgtoGg)</f>
        <v>9.3393107372243434E-2</v>
      </c>
      <c r="AY53" s="29">
        <f>IF(('Activity data'!AY22*EF!$H53*EF!X71)*NtoN2O*kgtoGg=0,"NO",('Activity data'!AY22*EF!$H53*EF!X71)*NtoN2O*kgtoGg)</f>
        <v>9.48049943517765E-2</v>
      </c>
      <c r="AZ53" s="29">
        <f>IF(('Activity data'!AZ22*EF!$H53*EF!Y71)*NtoN2O*kgtoGg=0,"NO",('Activity data'!AZ22*EF!$H53*EF!Y71)*NtoN2O*kgtoGg)</f>
        <v>9.6216881306409027E-2</v>
      </c>
      <c r="BA53" s="29">
        <f>IF(('Activity data'!BA22*EF!$H53*EF!Z71)*NtoN2O*kgtoGg=0,"NO",('Activity data'!BA22*EF!$H53*EF!Z71)*NtoN2O*kgtoGg)</f>
        <v>9.7628768261041485E-2</v>
      </c>
      <c r="BB53" s="29">
        <f>IF(('Activity data'!BB22*EF!$H53*EF!AA71)*NtoN2O*kgtoGg=0,"NO",('Activity data'!BB22*EF!$H53*EF!AA71)*NtoN2O*kgtoGg)</f>
        <v>9.9096163121271494E-2</v>
      </c>
      <c r="BC53" s="29">
        <f>IF(('Activity data'!BC22*EF!$H53*EF!AB71)*NtoN2O*kgtoGg=0,"NO",('Activity data'!BC22*EF!$H53*EF!AB71)*NtoN2O*kgtoGg)</f>
        <v>0.10056355798150145</v>
      </c>
      <c r="BD53" s="29">
        <f>IF(('Activity data'!BD22*EF!$H53*EF!AC71)*NtoN2O*kgtoGg=0,"NO",('Activity data'!BD22*EF!$H53*EF!AC71)*NtoN2O*kgtoGg)</f>
        <v>0.10203095281683089</v>
      </c>
      <c r="BE53" s="29">
        <f>IF(('Activity data'!BE22*EF!$H53*EF!AD71)*NtoN2O*kgtoGg=0,"NO",('Activity data'!BE22*EF!$H53*EF!AD71)*NtoN2O*kgtoGg)</f>
        <v>0.10349834767706086</v>
      </c>
      <c r="BF53" s="29">
        <f>IF(('Activity data'!BF22*EF!$H53*EF!AE71)*NtoN2O*kgtoGg=0,"NO",('Activity data'!BF22*EF!$H53*EF!AE71)*NtoN2O*kgtoGg)</f>
        <v>0.10496574253729084</v>
      </c>
      <c r="BG53" s="29">
        <f>IF(('Activity data'!BG22*EF!$H53*EF!AF71)*NtoN2O*kgtoGg=0,"NO",('Activity data'!BG22*EF!$H53*EF!AF71)*NtoN2O*kgtoGg)</f>
        <v>0.10664081537230037</v>
      </c>
      <c r="BH53" s="29">
        <f>IF(('Activity data'!BH22*EF!$H53*EF!AG71)*NtoN2O*kgtoGg=0,"NO",('Activity data'!BH22*EF!$H53*EF!AG71)*NtoN2O*kgtoGg)</f>
        <v>0.10831588818240935</v>
      </c>
      <c r="BI53" s="29">
        <f>IF(('Activity data'!BI22*EF!$H53*EF!AH71)*NtoN2O*kgtoGg=0,"NO",('Activity data'!BI22*EF!$H53*EF!AH71)*NtoN2O*kgtoGg)</f>
        <v>0.10999096101741893</v>
      </c>
      <c r="BJ53" s="29">
        <f>IF(('Activity data'!BJ22*EF!$H53*EF!AI71)*NtoN2O*kgtoGg=0,"NO",('Activity data'!BJ22*EF!$H53*EF!AI71)*NtoN2O*kgtoGg)</f>
        <v>0.11166603385242846</v>
      </c>
      <c r="BK53" s="29">
        <f>IF(('Activity data'!BK22*EF!$H53*EF!AJ71)*NtoN2O*kgtoGg=0,"NO",('Activity data'!BK22*EF!$H53*EF!AJ71)*NtoN2O*kgtoGg)</f>
        <v>0.11334110668743795</v>
      </c>
      <c r="BL53" s="29">
        <f>IF(('Activity data'!BL22*EF!$H53*EF!AK71)*NtoN2O*kgtoGg=0,"NO",('Activity data'!BL22*EF!$H53*EF!AK71)*NtoN2O*kgtoGg)</f>
        <v>0.11495705924439409</v>
      </c>
      <c r="BM53" s="29">
        <f>IF(('Activity data'!BM22*EF!$H53*EF!AL71)*NtoN2O*kgtoGg=0,"NO",('Activity data'!BM22*EF!$H53*EF!AL71)*NtoN2O*kgtoGg)</f>
        <v>0.11657301180135018</v>
      </c>
      <c r="BN53" s="29">
        <f>IF(('Activity data'!BN22*EF!$H53*EF!AM71)*NtoN2O*kgtoGg=0,"NO",('Activity data'!BN22*EF!$H53*EF!AM71)*NtoN2O*kgtoGg)</f>
        <v>0.11818896438320686</v>
      </c>
      <c r="BO53" s="29">
        <f>IF(('Activity data'!BO22*EF!$H53*EF!AN71)*NtoN2O*kgtoGg=0,"NO",('Activity data'!BO22*EF!$H53*EF!AN71)*NtoN2O*kgtoGg)</f>
        <v>0.11980491694016293</v>
      </c>
      <c r="BP53" s="29">
        <f>IF(('Activity data'!BP22*EF!$H53*EF!AO71)*NtoN2O*kgtoGg=0,"NO",('Activity data'!BP22*EF!$H53*EF!AO71)*NtoN2O*kgtoGg)</f>
        <v>0.12142086949711905</v>
      </c>
    </row>
    <row r="54" spans="1:68" x14ac:dyDescent="0.25">
      <c r="A54" t="str">
        <f>'IPCC Categories'!A59</f>
        <v>3C Aggregated and non-CO2 emissions on land</v>
      </c>
      <c r="B54" t="str">
        <f>'IPCC Categories'!B59</f>
        <v>3C1 Biomass burning (CH4)</v>
      </c>
      <c r="C54" t="str">
        <f>'IPCC Categories'!C59</f>
        <v>3C1a Biomass burning in forest land</v>
      </c>
      <c r="D54" t="str">
        <f>EF!D84</f>
        <v>Indigenous forests</v>
      </c>
      <c r="E54" t="s">
        <v>724</v>
      </c>
      <c r="F54" t="s">
        <v>125</v>
      </c>
      <c r="G54" t="s">
        <v>290</v>
      </c>
      <c r="H54" s="23">
        <f>INDEX('Activity data'!H$24:H$39,MATCH(Emissions!$D54,'Activity data'!$D$24:$D$39,0))*INDEX(EF!$H$84:$H$99,MATCH(Emissions!$D54,EF!$D$84:$D$99,0))*INDEX(EF!$H$100:$H$115,MATCH(Emissions!$D54,EF!$D$100:$D$115,0))*INDEX(EF!$H$116:$H$131,MATCH(Emissions!$D54,EF!$D$116:$D$131,0))*kgtoGg</f>
        <v>1.2960963903843976</v>
      </c>
      <c r="I54" s="23">
        <f>INDEX('Activity data'!I$24:I$39,MATCH(Emissions!$D54,'Activity data'!$D$24:$D$39,0))*INDEX(EF!$H$84:$H$99,MATCH(Emissions!$D54,EF!$D$84:$D$99,0))*INDEX(EF!$H$100:$H$115,MATCH(Emissions!$D54,EF!$D$100:$D$115,0))*INDEX(EF!$H$116:$H$131,MATCH(Emissions!$D54,EF!$D$116:$D$131,0))*kgtoGg</f>
        <v>1.2960963903843976</v>
      </c>
      <c r="J54" s="23">
        <f>INDEX('Activity data'!J$24:J$39,MATCH(Emissions!$D54,'Activity data'!$D$24:$D$39,0))*INDEX(EF!$H$84:$H$99,MATCH(Emissions!$D54,EF!$D$84:$D$99,0))*INDEX(EF!$H$100:$H$115,MATCH(Emissions!$D54,EF!$D$100:$D$115,0))*INDEX(EF!$H$116:$H$131,MATCH(Emissions!$D54,EF!$D$116:$D$131,0))*kgtoGg</f>
        <v>1.2960963903843976</v>
      </c>
      <c r="K54" s="23">
        <f>INDEX('Activity data'!K$24:K$39,MATCH(Emissions!$D54,'Activity data'!$D$24:$D$39,0))*INDEX(EF!$H$84:$H$99,MATCH(Emissions!$D54,EF!$D$84:$D$99,0))*INDEX(EF!$H$100:$H$115,MATCH(Emissions!$D54,EF!$D$100:$D$115,0))*INDEX(EF!$H$116:$H$131,MATCH(Emissions!$D54,EF!$D$116:$D$131,0))*kgtoGg</f>
        <v>1.2960963903843976</v>
      </c>
      <c r="L54" s="23">
        <f>INDEX('Activity data'!L$24:L$39,MATCH(Emissions!$D54,'Activity data'!$D$24:$D$39,0))*INDEX(EF!$H$84:$H$99,MATCH(Emissions!$D54,EF!$D$84:$D$99,0))*INDEX(EF!$H$100:$H$115,MATCH(Emissions!$D54,EF!$D$100:$D$115,0))*INDEX(EF!$H$116:$H$131,MATCH(Emissions!$D54,EF!$D$116:$D$131,0))*kgtoGg</f>
        <v>1.2960963903843976</v>
      </c>
      <c r="M54" s="23">
        <f>INDEX('Activity data'!M$24:M$39,MATCH(Emissions!$D54,'Activity data'!$D$24:$D$39,0))*INDEX(EF!$H$84:$H$99,MATCH(Emissions!$D54,EF!$D$84:$D$99,0))*INDEX(EF!$H$100:$H$115,MATCH(Emissions!$D54,EF!$D$100:$D$115,0))*INDEX(EF!$H$116:$H$131,MATCH(Emissions!$D54,EF!$D$116:$D$131,0))*kgtoGg</f>
        <v>1.2960963903843976</v>
      </c>
      <c r="N54" s="23">
        <f>INDEX('Activity data'!N$24:N$39,MATCH(Emissions!$D54,'Activity data'!$D$24:$D$39,0))*INDEX(EF!$H$84:$H$99,MATCH(Emissions!$D54,EF!$D$84:$D$99,0))*INDEX(EF!$H$100:$H$115,MATCH(Emissions!$D54,EF!$D$100:$D$115,0))*INDEX(EF!$H$116:$H$131,MATCH(Emissions!$D54,EF!$D$116:$D$131,0))*kgtoGg</f>
        <v>1.2960963903843976</v>
      </c>
      <c r="O54" s="23">
        <f>INDEX('Activity data'!O$24:O$39,MATCH(Emissions!$D54,'Activity data'!$D$24:$D$39,0))*INDEX(EF!$H$84:$H$99,MATCH(Emissions!$D54,EF!$D$84:$D$99,0))*INDEX(EF!$H$100:$H$115,MATCH(Emissions!$D54,EF!$D$100:$D$115,0))*INDEX(EF!$H$116:$H$131,MATCH(Emissions!$D54,EF!$D$116:$D$131,0))*kgtoGg</f>
        <v>1.2960963903843976</v>
      </c>
      <c r="P54" s="23">
        <f>INDEX('Activity data'!P$24:P$39,MATCH(Emissions!$D54,'Activity data'!$D$24:$D$39,0))*INDEX(EF!$H$84:$H$99,MATCH(Emissions!$D54,EF!$D$84:$D$99,0))*INDEX(EF!$H$100:$H$115,MATCH(Emissions!$D54,EF!$D$100:$D$115,0))*INDEX(EF!$H$116:$H$131,MATCH(Emissions!$D54,EF!$D$116:$D$131,0))*kgtoGg</f>
        <v>1.2960963903843976</v>
      </c>
      <c r="Q54" s="23">
        <f>INDEX('Activity data'!Q$24:Q$39,MATCH(Emissions!$D54,'Activity data'!$D$24:$D$39,0))*INDEX(EF!$H$84:$H$99,MATCH(Emissions!$D54,EF!$D$84:$D$99,0))*INDEX(EF!$H$100:$H$115,MATCH(Emissions!$D54,EF!$D$100:$D$115,0))*INDEX(EF!$H$116:$H$131,MATCH(Emissions!$D54,EF!$D$116:$D$131,0))*kgtoGg</f>
        <v>1.2960963903843976</v>
      </c>
      <c r="R54" s="23">
        <f>INDEX('Activity data'!R$24:R$39,MATCH(Emissions!$D54,'Activity data'!$D$24:$D$39,0))*INDEX(EF!$H$84:$H$99,MATCH(Emissions!$D54,EF!$D$84:$D$99,0))*INDEX(EF!$H$100:$H$115,MATCH(Emissions!$D54,EF!$D$100:$D$115,0))*INDEX(EF!$H$116:$H$131,MATCH(Emissions!$D54,EF!$D$116:$D$131,0))*kgtoGg</f>
        <v>1.1960332827105857</v>
      </c>
      <c r="S54" s="23">
        <f>INDEX('Activity data'!S$24:S$39,MATCH(Emissions!$D54,'Activity data'!$D$24:$D$39,0))*INDEX(EF!$H$84:$H$99,MATCH(Emissions!$D54,EF!$D$84:$D$99,0))*INDEX(EF!$H$100:$H$115,MATCH(Emissions!$D54,EF!$D$100:$D$115,0))*INDEX(EF!$H$116:$H$131,MATCH(Emissions!$D54,EF!$D$116:$D$131,0))*kgtoGg</f>
        <v>1.3313117329992157</v>
      </c>
      <c r="T54" s="23">
        <f>INDEX('Activity data'!T$24:T$39,MATCH(Emissions!$D54,'Activity data'!$D$24:$D$39,0))*INDEX(EF!$H$84:$H$99,MATCH(Emissions!$D54,EF!$D$84:$D$99,0))*INDEX(EF!$H$100:$H$115,MATCH(Emissions!$D54,EF!$D$100:$D$115,0))*INDEX(EF!$H$116:$H$131,MATCH(Emissions!$D54,EF!$D$116:$D$131,0))*kgtoGg</f>
        <v>1.2175060525976695</v>
      </c>
      <c r="U54" s="23">
        <f>INDEX('Activity data'!U$24:U$39,MATCH(Emissions!$D54,'Activity data'!$D$24:$D$39,0))*INDEX(EF!$H$84:$H$99,MATCH(Emissions!$D54,EF!$D$84:$D$99,0))*INDEX(EF!$H$100:$H$115,MATCH(Emissions!$D54,EF!$D$100:$D$115,0))*INDEX(EF!$H$116:$H$131,MATCH(Emissions!$D54,EF!$D$116:$D$131,0))*kgtoGg</f>
        <v>1.535303046926515</v>
      </c>
      <c r="V54" s="23">
        <f>INDEX('Activity data'!V$24:V$39,MATCH(Emissions!$D54,'Activity data'!$D$24:$D$39,0))*INDEX(EF!$H$84:$H$99,MATCH(Emissions!$D54,EF!$D$84:$D$99,0))*INDEX(EF!$H$100:$H$115,MATCH(Emissions!$D54,EF!$D$100:$D$115,0))*INDEX(EF!$H$116:$H$131,MATCH(Emissions!$D54,EF!$D$116:$D$131,0))*kgtoGg</f>
        <v>1.2003278366880026</v>
      </c>
      <c r="W54" s="23">
        <f>INDEX('Activity data'!W$24:W$39,MATCH(Emissions!$D54,'Activity data'!$D$24:$D$39,0))*INDEX(EF!$H$84:$H$99,MATCH(Emissions!$D54,EF!$D$84:$D$99,0))*INDEX(EF!$H$100:$H$115,MATCH(Emissions!$D54,EF!$D$100:$D$115,0))*INDEX(EF!$H$116:$H$131,MATCH(Emissions!$D54,EF!$D$116:$D$131,0))*kgtoGg</f>
        <v>1.578248586700683</v>
      </c>
      <c r="X54" s="23">
        <f>INDEX('Activity data'!X$24:X$39,MATCH(Emissions!$D54,'Activity data'!$D$24:$D$39,0))*INDEX(EF!$H$84:$H$99,MATCH(Emissions!$D54,EF!$D$84:$D$99,0))*INDEX(EF!$H$100:$H$115,MATCH(Emissions!$D54,EF!$D$100:$D$115,0))*INDEX(EF!$H$116:$H$131,MATCH(Emissions!$D54,EF!$D$116:$D$131,0))*kgtoGg</f>
        <v>1.4086137045927183</v>
      </c>
      <c r="Y54" s="23">
        <f>INDEX('Activity data'!Y$24:Y$39,MATCH(Emissions!$D54,'Activity data'!$D$24:$D$39,0))*INDEX(EF!$H$84:$H$99,MATCH(Emissions!$D54,EF!$D$84:$D$99,0))*INDEX(EF!$H$100:$H$115,MATCH(Emissions!$D54,EF!$D$100:$D$115,0))*INDEX(EF!$H$116:$H$131,MATCH(Emissions!$D54,EF!$D$116:$D$131,0))*kgtoGg</f>
        <v>1.8423636563118175</v>
      </c>
      <c r="Z54" s="23">
        <f>INDEX('Activity data'!Z$24:Z$39,MATCH(Emissions!$D54,'Activity data'!$D$24:$D$39,0))*INDEX(EF!$H$84:$H$99,MATCH(Emissions!$D54,EF!$D$84:$D$99,0))*INDEX(EF!$H$100:$H$115,MATCH(Emissions!$D54,EF!$D$100:$D$115,0))*INDEX(EF!$H$116:$H$131,MATCH(Emissions!$D54,EF!$D$116:$D$131,0))*kgtoGg</f>
        <v>1.5417448778926399</v>
      </c>
      <c r="AA54" s="23">
        <f>INDEX('Activity data'!AA$24:AA$39,MATCH(Emissions!$D54,'Activity data'!$D$24:$D$39,0))*INDEX(EF!$H$84:$H$99,MATCH(Emissions!$D54,EF!$D$84:$D$99,0))*INDEX(EF!$H$100:$H$115,MATCH(Emissions!$D54,EF!$D$100:$D$115,0))*INDEX(EF!$H$116:$H$131,MATCH(Emissions!$D54,EF!$D$116:$D$131,0))*kgtoGg</f>
        <v>1.5202721080055559</v>
      </c>
      <c r="AB54" s="23">
        <f>INDEX('Activity data'!AB$24:AB$39,MATCH(Emissions!$D54,'Activity data'!$D$24:$D$39,0))*INDEX(EF!$H$84:$H$99,MATCH(Emissions!$D54,EF!$D$84:$D$99,0))*INDEX(EF!$H$100:$H$115,MATCH(Emissions!$D54,EF!$D$100:$D$115,0))*INDEX(EF!$H$116:$H$131,MATCH(Emissions!$D54,EF!$D$116:$D$131,0))*kgtoGg</f>
        <v>1.2465275328000001</v>
      </c>
      <c r="AC54" s="23">
        <f>INDEX('Activity data'!AC$24:AC$39,MATCH(Emissions!$D54,'Activity data'!$D$24:$D$39,0))*INDEX(EF!$H$84:$H$99,MATCH(Emissions!$D54,EF!$D$84:$D$99,0))*INDEX(EF!$H$100:$H$115,MATCH(Emissions!$D54,EF!$D$100:$D$115,0))*INDEX(EF!$H$116:$H$131,MATCH(Emissions!$D54,EF!$D$116:$D$131,0))*kgtoGg</f>
        <v>0.93453550740000024</v>
      </c>
      <c r="AD54" s="23">
        <f>INDEX('Activity data'!AD$24:AD$39,MATCH(Emissions!$D54,'Activity data'!$D$24:$D$39,0))*INDEX(EF!$H$84:$H$99,MATCH(Emissions!$D54,EF!$D$84:$D$99,0))*INDEX(EF!$H$100:$H$115,MATCH(Emissions!$D54,EF!$D$100:$D$115,0))*INDEX(EF!$H$116:$H$131,MATCH(Emissions!$D54,EF!$D$116:$D$131,0))*kgtoGg</f>
        <v>1.3721585328000001</v>
      </c>
      <c r="AE54" s="23">
        <f>INDEX('Activity data'!AE$24:AE$39,MATCH(Emissions!$D54,'Activity data'!$D$24:$D$39,0))*INDEX(EF!$H$84:$H$99,MATCH(Emissions!$D54,EF!$D$84:$D$99,0))*INDEX(EF!$H$100:$H$115,MATCH(Emissions!$D54,EF!$D$100:$D$115,0))*INDEX(EF!$H$116:$H$131,MATCH(Emissions!$D54,EF!$D$116:$D$131,0))*kgtoGg</f>
        <v>1.3408764138</v>
      </c>
      <c r="AF54" s="23">
        <f>INDEX('Activity data'!AF$24:AF$39,MATCH(Emissions!$D54,'Activity data'!$D$24:$D$39,0))*INDEX(EF!$H$84:$H$99,MATCH(Emissions!$D54,EF!$D$84:$D$99,0))*INDEX(EF!$H$100:$H$115,MATCH(Emissions!$D54,EF!$D$100:$D$115,0))*INDEX(EF!$H$116:$H$131,MATCH(Emissions!$D54,EF!$D$116:$D$131,0))*kgtoGg</f>
        <v>1.1860990218000003</v>
      </c>
      <c r="AG54" s="23">
        <f>INDEX('Activity data'!AG$24:AG$39,MATCH(Emissions!$D54,'Activity data'!$D$24:$D$39,0))*INDEX(EF!$H$84:$H$99,MATCH(Emissions!$D54,EF!$D$84:$D$99,0))*INDEX(EF!$H$100:$H$115,MATCH(Emissions!$D54,EF!$D$100:$D$115,0))*INDEX(EF!$H$116:$H$131,MATCH(Emissions!$D54,EF!$D$116:$D$131,0))*kgtoGg</f>
        <v>0.87836169959999999</v>
      </c>
      <c r="AH54" s="23">
        <f>INDEX('Activity data'!AH$24:AH$39,MATCH(Emissions!$D54,'Activity data'!$D$24:$D$39,0))*INDEX(EF!$H$84:$H$99,MATCH(Emissions!$D54,EF!$D$84:$D$99,0))*INDEX(EF!$H$100:$H$115,MATCH(Emissions!$D54,EF!$D$100:$D$115,0))*INDEX(EF!$H$116:$H$131,MATCH(Emissions!$D54,EF!$D$116:$D$131,0))*kgtoGg</f>
        <v>0.7137767142</v>
      </c>
      <c r="AI54" s="23">
        <f>INDEX('Activity data'!AI$24:AI$39,MATCH(Emissions!$D54,'Activity data'!$D$24:$D$39,0))*INDEX(EF!$H$84:$H$99,MATCH(Emissions!$D54,EF!$D$84:$D$99,0))*INDEX(EF!$H$100:$H$115,MATCH(Emissions!$D54,EF!$D$100:$D$115,0))*INDEX(EF!$H$116:$H$131,MATCH(Emissions!$D54,EF!$D$116:$D$131,0))*kgtoGg</f>
        <v>0.71314018379999999</v>
      </c>
      <c r="AJ54" s="23">
        <f>INDEX('Activity data'!AJ$24:AJ$39,MATCH(Emissions!$D54,'Activity data'!$D$24:$D$39,0))*INDEX(EF!$H$84:$H$99,MATCH(Emissions!$D54,EF!$D$84:$D$99,0))*INDEX(EF!$H$100:$H$115,MATCH(Emissions!$D54,EF!$D$100:$D$115,0))*INDEX(EF!$H$116:$H$131,MATCH(Emissions!$D54,EF!$D$116:$D$131,0))*kgtoGg</f>
        <v>1.1742219230221203</v>
      </c>
      <c r="AK54" s="23">
        <f>INDEX('Activity data'!AK$24:AK$39,MATCH(Emissions!$D54,'Activity data'!$D$24:$D$39,0))*INDEX(EF!$H$84:$H$99,MATCH(Emissions!$D54,EF!$D$84:$D$99,0))*INDEX(EF!$H$100:$H$115,MATCH(Emissions!$D54,EF!$D$100:$D$115,0))*INDEX(EF!$H$116:$H$131,MATCH(Emissions!$D54,EF!$D$116:$D$131,0))*kgtoGg</f>
        <v>1.1735064943514235</v>
      </c>
      <c r="AL54" s="23">
        <f>INDEX('Activity data'!AL$24:AL$39,MATCH(Emissions!$D54,'Activity data'!$D$24:$D$39,0))*INDEX(EF!$H$84:$H$99,MATCH(Emissions!$D54,EF!$D$84:$D$99,0))*INDEX(EF!$H$100:$H$115,MATCH(Emissions!$D54,EF!$D$100:$D$115,0))*INDEX(EF!$H$116:$H$131,MATCH(Emissions!$D54,EF!$D$116:$D$131,0))*kgtoGg</f>
        <v>1.1727910656807263</v>
      </c>
      <c r="AM54" s="23">
        <f>INDEX('Activity data'!AM$24:AM$39,MATCH(Emissions!$D54,'Activity data'!$D$24:$D$39,0))*INDEX(EF!$H$84:$H$99,MATCH(Emissions!$D54,EF!$D$84:$D$99,0))*INDEX(EF!$H$100:$H$115,MATCH(Emissions!$D54,EF!$D$100:$D$115,0))*INDEX(EF!$H$116:$H$131,MATCH(Emissions!$D54,EF!$D$116:$D$131,0))*kgtoGg</f>
        <v>1.1720756370100294</v>
      </c>
      <c r="AN54" s="23">
        <f>INDEX('Activity data'!AN$24:AN$39,MATCH(Emissions!$D54,'Activity data'!$D$24:$D$39,0))*INDEX(EF!$H$84:$H$99,MATCH(Emissions!$D54,EF!$D$84:$D$99,0))*INDEX(EF!$H$100:$H$115,MATCH(Emissions!$D54,EF!$D$100:$D$115,0))*INDEX(EF!$H$116:$H$131,MATCH(Emissions!$D54,EF!$D$116:$D$131,0))*kgtoGg</f>
        <v>1.1713602083393329</v>
      </c>
      <c r="AO54" s="23">
        <f>INDEX('Activity data'!AO$24:AO$39,MATCH(Emissions!$D54,'Activity data'!$D$24:$D$39,0))*INDEX(EF!$H$84:$H$99,MATCH(Emissions!$D54,EF!$D$84:$D$99,0))*INDEX(EF!$H$100:$H$115,MATCH(Emissions!$D54,EF!$D$100:$D$115,0))*INDEX(EF!$H$116:$H$131,MATCH(Emissions!$D54,EF!$D$116:$D$131,0))*kgtoGg</f>
        <v>1.1706447796686357</v>
      </c>
      <c r="AP54" s="23">
        <f>INDEX('Activity data'!AP$24:AP$39,MATCH(Emissions!$D54,'Activity data'!$D$24:$D$39,0))*INDEX(EF!$H$84:$H$99,MATCH(Emissions!$D54,EF!$D$84:$D$99,0))*INDEX(EF!$H$100:$H$115,MATCH(Emissions!$D54,EF!$D$100:$D$115,0))*INDEX(EF!$H$116:$H$131,MATCH(Emissions!$D54,EF!$D$116:$D$131,0))*kgtoGg</f>
        <v>1.1699293509979389</v>
      </c>
      <c r="AQ54" s="23">
        <f>INDEX('Activity data'!AQ$24:AQ$39,MATCH(Emissions!$D54,'Activity data'!$D$24:$D$39,0))*INDEX(EF!$H$84:$H$99,MATCH(Emissions!$D54,EF!$D$84:$D$99,0))*INDEX(EF!$H$100:$H$115,MATCH(Emissions!$D54,EF!$D$100:$D$115,0))*INDEX(EF!$H$116:$H$131,MATCH(Emissions!$D54,EF!$D$116:$D$131,0))*kgtoGg</f>
        <v>1.169213922327242</v>
      </c>
      <c r="AR54" s="23">
        <f>INDEX('Activity data'!AR$24:AR$39,MATCH(Emissions!$D54,'Activity data'!$D$24:$D$39,0))*INDEX(EF!$H$84:$H$99,MATCH(Emissions!$D54,EF!$D$84:$D$99,0))*INDEX(EF!$H$100:$H$115,MATCH(Emissions!$D54,EF!$D$100:$D$115,0))*INDEX(EF!$H$116:$H$131,MATCH(Emissions!$D54,EF!$D$116:$D$131,0))*kgtoGg</f>
        <v>1.1684984936565448</v>
      </c>
      <c r="AS54" s="23">
        <f>INDEX('Activity data'!AS$24:AS$39,MATCH(Emissions!$D54,'Activity data'!$D$24:$D$39,0))*INDEX(EF!$H$84:$H$99,MATCH(Emissions!$D54,EF!$D$84:$D$99,0))*INDEX(EF!$H$100:$H$115,MATCH(Emissions!$D54,EF!$D$100:$D$115,0))*INDEX(EF!$H$116:$H$131,MATCH(Emissions!$D54,EF!$D$116:$D$131,0))*kgtoGg</f>
        <v>1.1677830649858481</v>
      </c>
      <c r="AT54" s="23">
        <f>INDEX('Activity data'!AT$24:AT$39,MATCH(Emissions!$D54,'Activity data'!$D$24:$D$39,0))*INDEX(EF!$H$84:$H$99,MATCH(Emissions!$D54,EF!$D$84:$D$99,0))*INDEX(EF!$H$100:$H$115,MATCH(Emissions!$D54,EF!$D$100:$D$115,0))*INDEX(EF!$H$116:$H$131,MATCH(Emissions!$D54,EF!$D$116:$D$131,0))*kgtoGg</f>
        <v>1.1670676363151511</v>
      </c>
      <c r="AU54" s="23">
        <f>INDEX('Activity data'!AU$24:AU$39,MATCH(Emissions!$D54,'Activity data'!$D$24:$D$39,0))*INDEX(EF!$H$84:$H$99,MATCH(Emissions!$D54,EF!$D$84:$D$99,0))*INDEX(EF!$H$100:$H$115,MATCH(Emissions!$D54,EF!$D$100:$D$115,0))*INDEX(EF!$H$116:$H$131,MATCH(Emissions!$D54,EF!$D$116:$D$131,0))*kgtoGg</f>
        <v>1.1663522076444541</v>
      </c>
      <c r="AV54" s="23">
        <f>INDEX('Activity data'!AV$24:AV$39,MATCH(Emissions!$D54,'Activity data'!$D$24:$D$39,0))*INDEX(EF!$H$84:$H$99,MATCH(Emissions!$D54,EF!$D$84:$D$99,0))*INDEX(EF!$H$100:$H$115,MATCH(Emissions!$D54,EF!$D$100:$D$115,0))*INDEX(EF!$H$116:$H$131,MATCH(Emissions!$D54,EF!$D$116:$D$131,0))*kgtoGg</f>
        <v>1.1656367789737572</v>
      </c>
      <c r="AW54" s="23">
        <f>INDEX('Activity data'!AW$24:AW$39,MATCH(Emissions!$D54,'Activity data'!$D$24:$D$39,0))*INDEX(EF!$H$84:$H$99,MATCH(Emissions!$D54,EF!$D$84:$D$99,0))*INDEX(EF!$H$100:$H$115,MATCH(Emissions!$D54,EF!$D$100:$D$115,0))*INDEX(EF!$H$116:$H$131,MATCH(Emissions!$D54,EF!$D$116:$D$131,0))*kgtoGg</f>
        <v>1.1649213503030604</v>
      </c>
      <c r="AX54" s="23">
        <f>INDEX('Activity data'!AX$24:AX$39,MATCH(Emissions!$D54,'Activity data'!$D$24:$D$39,0))*INDEX(EF!$H$84:$H$99,MATCH(Emissions!$D54,EF!$D$84:$D$99,0))*INDEX(EF!$H$100:$H$115,MATCH(Emissions!$D54,EF!$D$100:$D$115,0))*INDEX(EF!$H$116:$H$131,MATCH(Emissions!$D54,EF!$D$116:$D$131,0))*kgtoGg</f>
        <v>1.1642059216323635</v>
      </c>
      <c r="AY54" s="23">
        <f>INDEX('Activity data'!AY$24:AY$39,MATCH(Emissions!$D54,'Activity data'!$D$24:$D$39,0))*INDEX(EF!$H$84:$H$99,MATCH(Emissions!$D54,EF!$D$84:$D$99,0))*INDEX(EF!$H$100:$H$115,MATCH(Emissions!$D54,EF!$D$100:$D$115,0))*INDEX(EF!$H$116:$H$131,MATCH(Emissions!$D54,EF!$D$116:$D$131,0))*kgtoGg</f>
        <v>1.1634904929616665</v>
      </c>
      <c r="AZ54" s="23">
        <f>INDEX('Activity data'!AZ$24:AZ$39,MATCH(Emissions!$D54,'Activity data'!$D$24:$D$39,0))*INDEX(EF!$H$84:$H$99,MATCH(Emissions!$D54,EF!$D$84:$D$99,0))*INDEX(EF!$H$100:$H$115,MATCH(Emissions!$D54,EF!$D$100:$D$115,0))*INDEX(EF!$H$116:$H$131,MATCH(Emissions!$D54,EF!$D$116:$D$131,0))*kgtoGg</f>
        <v>1.1627750642909696</v>
      </c>
      <c r="BA54" s="23">
        <f>INDEX('Activity data'!BA$24:BA$39,MATCH(Emissions!$D54,'Activity data'!$D$24:$D$39,0))*INDEX(EF!$H$84:$H$99,MATCH(Emissions!$D54,EF!$D$84:$D$99,0))*INDEX(EF!$H$100:$H$115,MATCH(Emissions!$D54,EF!$D$100:$D$115,0))*INDEX(EF!$H$116:$H$131,MATCH(Emissions!$D54,EF!$D$116:$D$131,0))*kgtoGg</f>
        <v>1.1620596356202726</v>
      </c>
      <c r="BB54" s="23">
        <f>INDEX('Activity data'!BB$24:BB$39,MATCH(Emissions!$D54,'Activity data'!$D$24:$D$39,0))*INDEX(EF!$H$84:$H$99,MATCH(Emissions!$D54,EF!$D$84:$D$99,0))*INDEX(EF!$H$100:$H$115,MATCH(Emissions!$D54,EF!$D$100:$D$115,0))*INDEX(EF!$H$116:$H$131,MATCH(Emissions!$D54,EF!$D$116:$D$131,0))*kgtoGg</f>
        <v>1.1613442069495759</v>
      </c>
      <c r="BC54" s="23">
        <f>INDEX('Activity data'!BC$24:BC$39,MATCH(Emissions!$D54,'Activity data'!$D$24:$D$39,0))*INDEX(EF!$H$84:$H$99,MATCH(Emissions!$D54,EF!$D$84:$D$99,0))*INDEX(EF!$H$100:$H$115,MATCH(Emissions!$D54,EF!$D$100:$D$115,0))*INDEX(EF!$H$116:$H$131,MATCH(Emissions!$D54,EF!$D$116:$D$131,0))*kgtoGg</f>
        <v>1.1606287782788789</v>
      </c>
      <c r="BD54" s="23">
        <f>INDEX('Activity data'!BD$24:BD$39,MATCH(Emissions!$D54,'Activity data'!$D$24:$D$39,0))*INDEX(EF!$H$84:$H$99,MATCH(Emissions!$D54,EF!$D$84:$D$99,0))*INDEX(EF!$H$100:$H$115,MATCH(Emissions!$D54,EF!$D$100:$D$115,0))*INDEX(EF!$H$116:$H$131,MATCH(Emissions!$D54,EF!$D$116:$D$131,0))*kgtoGg</f>
        <v>1.1599133496081819</v>
      </c>
      <c r="BE54" s="23">
        <f>INDEX('Activity data'!BE$24:BE$39,MATCH(Emissions!$D54,'Activity data'!$D$24:$D$39,0))*INDEX(EF!$H$84:$H$99,MATCH(Emissions!$D54,EF!$D$84:$D$99,0))*INDEX(EF!$H$100:$H$115,MATCH(Emissions!$D54,EF!$D$100:$D$115,0))*INDEX(EF!$H$116:$H$131,MATCH(Emissions!$D54,EF!$D$116:$D$131,0))*kgtoGg</f>
        <v>1.159197920937485</v>
      </c>
      <c r="BF54" s="23">
        <f>INDEX('Activity data'!BF$24:BF$39,MATCH(Emissions!$D54,'Activity data'!$D$24:$D$39,0))*INDEX(EF!$H$84:$H$99,MATCH(Emissions!$D54,EF!$D$84:$D$99,0))*INDEX(EF!$H$100:$H$115,MATCH(Emissions!$D54,EF!$D$100:$D$115,0))*INDEX(EF!$H$116:$H$131,MATCH(Emissions!$D54,EF!$D$116:$D$131,0))*kgtoGg</f>
        <v>1.158482492266788</v>
      </c>
      <c r="BG54" s="23">
        <f>INDEX('Activity data'!BG$24:BG$39,MATCH(Emissions!$D54,'Activity data'!$D$24:$D$39,0))*INDEX(EF!$H$84:$H$99,MATCH(Emissions!$D54,EF!$D$84:$D$99,0))*INDEX(EF!$H$100:$H$115,MATCH(Emissions!$D54,EF!$D$100:$D$115,0))*INDEX(EF!$H$116:$H$131,MATCH(Emissions!$D54,EF!$D$116:$D$131,0))*kgtoGg</f>
        <v>1.1577670635960913</v>
      </c>
      <c r="BH54" s="23">
        <f>INDEX('Activity data'!BH$24:BH$39,MATCH(Emissions!$D54,'Activity data'!$D$24:$D$39,0))*INDEX(EF!$H$84:$H$99,MATCH(Emissions!$D54,EF!$D$84:$D$99,0))*INDEX(EF!$H$100:$H$115,MATCH(Emissions!$D54,EF!$D$100:$D$115,0))*INDEX(EF!$H$116:$H$131,MATCH(Emissions!$D54,EF!$D$116:$D$131,0))*kgtoGg</f>
        <v>1.1570516349253945</v>
      </c>
      <c r="BI54" s="23">
        <f>INDEX('Activity data'!BI$24:BI$39,MATCH(Emissions!$D54,'Activity data'!$D$24:$D$39,0))*INDEX(EF!$H$84:$H$99,MATCH(Emissions!$D54,EF!$D$84:$D$99,0))*INDEX(EF!$H$100:$H$115,MATCH(Emissions!$D54,EF!$D$100:$D$115,0))*INDEX(EF!$H$116:$H$131,MATCH(Emissions!$D54,EF!$D$116:$D$131,0))*kgtoGg</f>
        <v>1.1563362062546974</v>
      </c>
      <c r="BJ54" s="23">
        <f>INDEX('Activity data'!BJ$24:BJ$39,MATCH(Emissions!$D54,'Activity data'!$D$24:$D$39,0))*INDEX(EF!$H$84:$H$99,MATCH(Emissions!$D54,EF!$D$84:$D$99,0))*INDEX(EF!$H$100:$H$115,MATCH(Emissions!$D54,EF!$D$100:$D$115,0))*INDEX(EF!$H$116:$H$131,MATCH(Emissions!$D54,EF!$D$116:$D$131,0))*kgtoGg</f>
        <v>1.1556207775840004</v>
      </c>
      <c r="BK54" s="23">
        <f>INDEX('Activity data'!BK$24:BK$39,MATCH(Emissions!$D54,'Activity data'!$D$24:$D$39,0))*INDEX(EF!$H$84:$H$99,MATCH(Emissions!$D54,EF!$D$84:$D$99,0))*INDEX(EF!$H$100:$H$115,MATCH(Emissions!$D54,EF!$D$100:$D$115,0))*INDEX(EF!$H$116:$H$131,MATCH(Emissions!$D54,EF!$D$116:$D$131,0))*kgtoGg</f>
        <v>1.1549053489133037</v>
      </c>
      <c r="BL54" s="23">
        <f>INDEX('Activity data'!BL$24:BL$39,MATCH(Emissions!$D54,'Activity data'!$D$24:$D$39,0))*INDEX(EF!$H$84:$H$99,MATCH(Emissions!$D54,EF!$D$84:$D$99,0))*INDEX(EF!$H$100:$H$115,MATCH(Emissions!$D54,EF!$D$100:$D$115,0))*INDEX(EF!$H$116:$H$131,MATCH(Emissions!$D54,EF!$D$116:$D$131,0))*kgtoGg</f>
        <v>1.1541899202426067</v>
      </c>
      <c r="BM54" s="23">
        <f>INDEX('Activity data'!BM$24:BM$39,MATCH(Emissions!$D54,'Activity data'!$D$24:$D$39,0))*INDEX(EF!$H$84:$H$99,MATCH(Emissions!$D54,EF!$D$84:$D$99,0))*INDEX(EF!$H$100:$H$115,MATCH(Emissions!$D54,EF!$D$100:$D$115,0))*INDEX(EF!$H$116:$H$131,MATCH(Emissions!$D54,EF!$D$116:$D$131,0))*kgtoGg</f>
        <v>1.1534744915719097</v>
      </c>
      <c r="BN54" s="23">
        <f>INDEX('Activity data'!BN$24:BN$39,MATCH(Emissions!$D54,'Activity data'!$D$24:$D$39,0))*INDEX(EF!$H$84:$H$99,MATCH(Emissions!$D54,EF!$D$84:$D$99,0))*INDEX(EF!$H$100:$H$115,MATCH(Emissions!$D54,EF!$D$100:$D$115,0))*INDEX(EF!$H$116:$H$131,MATCH(Emissions!$D54,EF!$D$116:$D$131,0))*kgtoGg</f>
        <v>1.152759062901213</v>
      </c>
      <c r="BO54" s="23">
        <f>INDEX('Activity data'!BO$24:BO$39,MATCH(Emissions!$D54,'Activity data'!$D$24:$D$39,0))*INDEX(EF!$H$84:$H$99,MATCH(Emissions!$D54,EF!$D$84:$D$99,0))*INDEX(EF!$H$100:$H$115,MATCH(Emissions!$D54,EF!$D$100:$D$115,0))*INDEX(EF!$H$116:$H$131,MATCH(Emissions!$D54,EF!$D$116:$D$131,0))*kgtoGg</f>
        <v>1.1520436342305158</v>
      </c>
      <c r="BP54" s="23">
        <f>INDEX('Activity data'!BP$24:BP$39,MATCH(Emissions!$D54,'Activity data'!$D$24:$D$39,0))*INDEX(EF!$H$84:$H$99,MATCH(Emissions!$D54,EF!$D$84:$D$99,0))*INDEX(EF!$H$100:$H$115,MATCH(Emissions!$D54,EF!$D$100:$D$115,0))*INDEX(EF!$H$116:$H$131,MATCH(Emissions!$D54,EF!$D$116:$D$131,0))*kgtoGg</f>
        <v>1.1513282055598189</v>
      </c>
    </row>
    <row r="55" spans="1:68" x14ac:dyDescent="0.25">
      <c r="A55" t="str">
        <f>A54</f>
        <v>3C Aggregated and non-CO2 emissions on land</v>
      </c>
      <c r="B55" t="str">
        <f t="shared" ref="B55" si="12">B54</f>
        <v>3C1 Biomass burning (CH4)</v>
      </c>
      <c r="C55" t="str">
        <f>C54</f>
        <v>3C1a Biomass burning in forest land</v>
      </c>
      <c r="D55" t="str">
        <f>EF!D85</f>
        <v>Thickets</v>
      </c>
      <c r="E55" t="s">
        <v>726</v>
      </c>
      <c r="F55" t="str">
        <f>F54</f>
        <v>CH4</v>
      </c>
      <c r="G55" t="str">
        <f>G54</f>
        <v>Gg CH4</v>
      </c>
      <c r="H55" s="23">
        <f>INDEX('Activity data'!H$24:H$39,MATCH(Emissions!$D55,'Activity data'!$D$24:$D$39,0))*INDEX(EF!$H$84:$H$99,MATCH(Emissions!$D55,EF!$D$84:$D$99,0))*INDEX(EF!$H$100:$H$115,MATCH(Emissions!$D55,EF!$D$100:$D$115,0))*INDEX(EF!$H$116:$H$131,MATCH(Emissions!$D55,EF!$D$116:$D$131,0))*kgtoGg</f>
        <v>2.5068842856640616</v>
      </c>
      <c r="I55" s="23">
        <f>INDEX('Activity data'!I$24:I$39,MATCH(Emissions!$D55,'Activity data'!$D$24:$D$39,0))*INDEX(EF!$H$84:$H$99,MATCH(Emissions!$D55,EF!$D$84:$D$99,0))*INDEX(EF!$H$100:$H$115,MATCH(Emissions!$D55,EF!$D$100:$D$115,0))*INDEX(EF!$H$116:$H$131,MATCH(Emissions!$D55,EF!$D$116:$D$131,0))*kgtoGg</f>
        <v>2.5068842856640616</v>
      </c>
      <c r="J55" s="23">
        <f>INDEX('Activity data'!J$24:J$39,MATCH(Emissions!$D55,'Activity data'!$D$24:$D$39,0))*INDEX(EF!$H$84:$H$99,MATCH(Emissions!$D55,EF!$D$84:$D$99,0))*INDEX(EF!$H$100:$H$115,MATCH(Emissions!$D55,EF!$D$100:$D$115,0))*INDEX(EF!$H$116:$H$131,MATCH(Emissions!$D55,EF!$D$116:$D$131,0))*kgtoGg</f>
        <v>2.5068842856640616</v>
      </c>
      <c r="K55" s="23">
        <f>INDEX('Activity data'!K$24:K$39,MATCH(Emissions!$D55,'Activity data'!$D$24:$D$39,0))*INDEX(EF!$H$84:$H$99,MATCH(Emissions!$D55,EF!$D$84:$D$99,0))*INDEX(EF!$H$100:$H$115,MATCH(Emissions!$D55,EF!$D$100:$D$115,0))*INDEX(EF!$H$116:$H$131,MATCH(Emissions!$D55,EF!$D$116:$D$131,0))*kgtoGg</f>
        <v>2.5068842856640616</v>
      </c>
      <c r="L55" s="23">
        <f>INDEX('Activity data'!L$24:L$39,MATCH(Emissions!$D55,'Activity data'!$D$24:$D$39,0))*INDEX(EF!$H$84:$H$99,MATCH(Emissions!$D55,EF!$D$84:$D$99,0))*INDEX(EF!$H$100:$H$115,MATCH(Emissions!$D55,EF!$D$100:$D$115,0))*INDEX(EF!$H$116:$H$131,MATCH(Emissions!$D55,EF!$D$116:$D$131,0))*kgtoGg</f>
        <v>2.5068842856640616</v>
      </c>
      <c r="M55" s="23">
        <f>INDEX('Activity data'!M$24:M$39,MATCH(Emissions!$D55,'Activity data'!$D$24:$D$39,0))*INDEX(EF!$H$84:$H$99,MATCH(Emissions!$D55,EF!$D$84:$D$99,0))*INDEX(EF!$H$100:$H$115,MATCH(Emissions!$D55,EF!$D$100:$D$115,0))*INDEX(EF!$H$116:$H$131,MATCH(Emissions!$D55,EF!$D$116:$D$131,0))*kgtoGg</f>
        <v>2.5068842856640616</v>
      </c>
      <c r="N55" s="23">
        <f>INDEX('Activity data'!N$24:N$39,MATCH(Emissions!$D55,'Activity data'!$D$24:$D$39,0))*INDEX(EF!$H$84:$H$99,MATCH(Emissions!$D55,EF!$D$84:$D$99,0))*INDEX(EF!$H$100:$H$115,MATCH(Emissions!$D55,EF!$D$100:$D$115,0))*INDEX(EF!$H$116:$H$131,MATCH(Emissions!$D55,EF!$D$116:$D$131,0))*kgtoGg</f>
        <v>2.5068842856640616</v>
      </c>
      <c r="O55" s="23">
        <f>INDEX('Activity data'!O$24:O$39,MATCH(Emissions!$D55,'Activity data'!$D$24:$D$39,0))*INDEX(EF!$H$84:$H$99,MATCH(Emissions!$D55,EF!$D$84:$D$99,0))*INDEX(EF!$H$100:$H$115,MATCH(Emissions!$D55,EF!$D$100:$D$115,0))*INDEX(EF!$H$116:$H$131,MATCH(Emissions!$D55,EF!$D$116:$D$131,0))*kgtoGg</f>
        <v>2.5068842856640616</v>
      </c>
      <c r="P55" s="23">
        <f>INDEX('Activity data'!P$24:P$39,MATCH(Emissions!$D55,'Activity data'!$D$24:$D$39,0))*INDEX(EF!$H$84:$H$99,MATCH(Emissions!$D55,EF!$D$84:$D$99,0))*INDEX(EF!$H$100:$H$115,MATCH(Emissions!$D55,EF!$D$100:$D$115,0))*INDEX(EF!$H$116:$H$131,MATCH(Emissions!$D55,EF!$D$116:$D$131,0))*kgtoGg</f>
        <v>2.5068842856640616</v>
      </c>
      <c r="Q55" s="23">
        <f>INDEX('Activity data'!Q$24:Q$39,MATCH(Emissions!$D55,'Activity data'!$D$24:$D$39,0))*INDEX(EF!$H$84:$H$99,MATCH(Emissions!$D55,EF!$D$84:$D$99,0))*INDEX(EF!$H$100:$H$115,MATCH(Emissions!$D55,EF!$D$100:$D$115,0))*INDEX(EF!$H$116:$H$131,MATCH(Emissions!$D55,EF!$D$116:$D$131,0))*kgtoGg</f>
        <v>2.5068842856640616</v>
      </c>
      <c r="R55" s="23">
        <f>INDEX('Activity data'!R$24:R$39,MATCH(Emissions!$D55,'Activity data'!$D$24:$D$39,0))*INDEX(EF!$H$84:$H$99,MATCH(Emissions!$D55,EF!$D$84:$D$99,0))*INDEX(EF!$H$100:$H$115,MATCH(Emissions!$D55,EF!$D$100:$D$115,0))*INDEX(EF!$H$116:$H$131,MATCH(Emissions!$D55,EF!$D$116:$D$131,0))*kgtoGg</f>
        <v>2.574040698830915</v>
      </c>
      <c r="S55" s="23">
        <f>INDEX('Activity data'!S$24:S$39,MATCH(Emissions!$D55,'Activity data'!$D$24:$D$39,0))*INDEX(EF!$H$84:$H$99,MATCH(Emissions!$D55,EF!$D$84:$D$99,0))*INDEX(EF!$H$100:$H$115,MATCH(Emissions!$D55,EF!$D$100:$D$115,0))*INDEX(EF!$H$116:$H$131,MATCH(Emissions!$D55,EF!$D$116:$D$131,0))*kgtoGg</f>
        <v>3.2672402728856826</v>
      </c>
      <c r="T55" s="23">
        <f>INDEX('Activity data'!T$24:T$39,MATCH(Emissions!$D55,'Activity data'!$D$24:$D$39,0))*INDEX(EF!$H$84:$H$99,MATCH(Emissions!$D55,EF!$D$84:$D$99,0))*INDEX(EF!$H$100:$H$115,MATCH(Emissions!$D55,EF!$D$100:$D$115,0))*INDEX(EF!$H$116:$H$131,MATCH(Emissions!$D55,EF!$D$116:$D$131,0))*kgtoGg</f>
        <v>3.0158364323577054</v>
      </c>
      <c r="U55" s="23">
        <f>INDEX('Activity data'!U$24:U$39,MATCH(Emissions!$D55,'Activity data'!$D$24:$D$39,0))*INDEX(EF!$H$84:$H$99,MATCH(Emissions!$D55,EF!$D$84:$D$99,0))*INDEX(EF!$H$100:$H$115,MATCH(Emissions!$D55,EF!$D$100:$D$115,0))*INDEX(EF!$H$116:$H$131,MATCH(Emissions!$D55,EF!$D$116:$D$131,0))*kgtoGg</f>
        <v>1.8124731268356651</v>
      </c>
      <c r="V55" s="23">
        <f>INDEX('Activity data'!V$24:V$39,MATCH(Emissions!$D55,'Activity data'!$D$24:$D$39,0))*INDEX(EF!$H$84:$H$99,MATCH(Emissions!$D55,EF!$D$84:$D$99,0))*INDEX(EF!$H$100:$H$115,MATCH(Emissions!$D55,EF!$D$100:$D$115,0))*INDEX(EF!$H$116:$H$131,MATCH(Emissions!$D55,EF!$D$116:$D$131,0))*kgtoGg</f>
        <v>1.8648308974103387</v>
      </c>
      <c r="W55" s="23">
        <f>INDEX('Activity data'!W$24:W$39,MATCH(Emissions!$D55,'Activity data'!$D$24:$D$39,0))*INDEX(EF!$H$84:$H$99,MATCH(Emissions!$D55,EF!$D$84:$D$99,0))*INDEX(EF!$H$100:$H$115,MATCH(Emissions!$D55,EF!$D$100:$D$115,0))*INDEX(EF!$H$116:$H$131,MATCH(Emissions!$D55,EF!$D$116:$D$131,0))*kgtoGg</f>
        <v>3.2027666545747224</v>
      </c>
      <c r="X55" s="23">
        <f>INDEX('Activity data'!X$24:X$39,MATCH(Emissions!$D55,'Activity data'!$D$24:$D$39,0))*INDEX(EF!$H$84:$H$99,MATCH(Emissions!$D55,EF!$D$84:$D$99,0))*INDEX(EF!$H$100:$H$115,MATCH(Emissions!$D55,EF!$D$100:$D$115,0))*INDEX(EF!$H$116:$H$131,MATCH(Emissions!$D55,EF!$D$116:$D$131,0))*kgtoGg</f>
        <v>2.5583189440302561</v>
      </c>
      <c r="Y55" s="23">
        <f>INDEX('Activity data'!Y$24:Y$39,MATCH(Emissions!$D55,'Activity data'!$D$24:$D$39,0))*INDEX(EF!$H$84:$H$99,MATCH(Emissions!$D55,EF!$D$84:$D$99,0))*INDEX(EF!$H$100:$H$115,MATCH(Emissions!$D55,EF!$D$100:$D$115,0))*INDEX(EF!$H$116:$H$131,MATCH(Emissions!$D55,EF!$D$116:$D$131,0))*kgtoGg</f>
        <v>2.986989175842734</v>
      </c>
      <c r="Z55" s="23">
        <f>INDEX('Activity data'!Z$24:Z$39,MATCH(Emissions!$D55,'Activity data'!$D$24:$D$39,0))*INDEX(EF!$H$84:$H$99,MATCH(Emissions!$D55,EF!$D$84:$D$99,0))*INDEX(EF!$H$100:$H$115,MATCH(Emissions!$D55,EF!$D$100:$D$115,0))*INDEX(EF!$H$116:$H$131,MATCH(Emissions!$D55,EF!$D$116:$D$131,0))*kgtoGg</f>
        <v>3.286279462185564</v>
      </c>
      <c r="AA55" s="23">
        <f>INDEX('Activity data'!AA$24:AA$39,MATCH(Emissions!$D55,'Activity data'!$D$24:$D$39,0))*INDEX(EF!$H$84:$H$99,MATCH(Emissions!$D55,EF!$D$84:$D$99,0))*INDEX(EF!$H$100:$H$115,MATCH(Emissions!$D55,EF!$D$100:$D$115,0))*INDEX(EF!$H$116:$H$131,MATCH(Emissions!$D55,EF!$D$116:$D$131,0))*kgtoGg</f>
        <v>2.3897067297002468</v>
      </c>
      <c r="AB55" s="23">
        <f>INDEX('Activity data'!AB$24:AB$39,MATCH(Emissions!$D55,'Activity data'!$D$24:$D$39,0))*INDEX(EF!$H$84:$H$99,MATCH(Emissions!$D55,EF!$D$84:$D$99,0))*INDEX(EF!$H$100:$H$115,MATCH(Emissions!$D55,EF!$D$100:$D$115,0))*INDEX(EF!$H$116:$H$131,MATCH(Emissions!$D55,EF!$D$116:$D$131,0))*kgtoGg</f>
        <v>2.9201987820599995</v>
      </c>
      <c r="AC55" s="23">
        <f>INDEX('Activity data'!AC$24:AC$39,MATCH(Emissions!$D55,'Activity data'!$D$24:$D$39,0))*INDEX(EF!$H$84:$H$99,MATCH(Emissions!$D55,EF!$D$84:$D$99,0))*INDEX(EF!$H$100:$H$115,MATCH(Emissions!$D55,EF!$D$100:$D$115,0))*INDEX(EF!$H$116:$H$131,MATCH(Emissions!$D55,EF!$D$116:$D$131,0))*kgtoGg</f>
        <v>2.3252322901500002</v>
      </c>
      <c r="AD55" s="23">
        <f>INDEX('Activity data'!AD$24:AD$39,MATCH(Emissions!$D55,'Activity data'!$D$24:$D$39,0))*INDEX(EF!$H$84:$H$99,MATCH(Emissions!$D55,EF!$D$84:$D$99,0))*INDEX(EF!$H$100:$H$115,MATCH(Emissions!$D55,EF!$D$100:$D$115,0))*INDEX(EF!$H$116:$H$131,MATCH(Emissions!$D55,EF!$D$116:$D$131,0))*kgtoGg</f>
        <v>2.9827756677599995</v>
      </c>
      <c r="AE55" s="23">
        <f>INDEX('Activity data'!AE$24:AE$39,MATCH(Emissions!$D55,'Activity data'!$D$24:$D$39,0))*INDEX(EF!$H$84:$H$99,MATCH(Emissions!$D55,EF!$D$84:$D$99,0))*INDEX(EF!$H$100:$H$115,MATCH(Emissions!$D55,EF!$D$100:$D$115,0))*INDEX(EF!$H$116:$H$131,MATCH(Emissions!$D55,EF!$D$116:$D$131,0))*kgtoGg</f>
        <v>2.4083887180499999</v>
      </c>
      <c r="AF55" s="23">
        <f>INDEX('Activity data'!AF$24:AF$39,MATCH(Emissions!$D55,'Activity data'!$D$24:$D$39,0))*INDEX(EF!$H$84:$H$99,MATCH(Emissions!$D55,EF!$D$84:$D$99,0))*INDEX(EF!$H$100:$H$115,MATCH(Emissions!$D55,EF!$D$100:$D$115,0))*INDEX(EF!$H$116:$H$131,MATCH(Emissions!$D55,EF!$D$116:$D$131,0))*kgtoGg</f>
        <v>3.0451646483999997</v>
      </c>
      <c r="AG55" s="23">
        <f>INDEX('Activity data'!AG$24:AG$39,MATCH(Emissions!$D55,'Activity data'!$D$24:$D$39,0))*INDEX(EF!$H$84:$H$99,MATCH(Emissions!$D55,EF!$D$84:$D$99,0))*INDEX(EF!$H$100:$H$115,MATCH(Emissions!$D55,EF!$D$100:$D$115,0))*INDEX(EF!$H$116:$H$131,MATCH(Emissions!$D55,EF!$D$116:$D$131,0))*kgtoGg</f>
        <v>1.6600309374599997</v>
      </c>
      <c r="AH55" s="23">
        <f>INDEX('Activity data'!AH$24:AH$39,MATCH(Emissions!$D55,'Activity data'!$D$24:$D$39,0))*INDEX(EF!$H$84:$H$99,MATCH(Emissions!$D55,EF!$D$84:$D$99,0))*INDEX(EF!$H$100:$H$115,MATCH(Emissions!$D55,EF!$D$100:$D$115,0))*INDEX(EF!$H$116:$H$131,MATCH(Emissions!$D55,EF!$D$116:$D$131,0))*kgtoGg</f>
        <v>0.99981469475999996</v>
      </c>
      <c r="AI55" s="23">
        <f>INDEX('Activity data'!AI$24:AI$39,MATCH(Emissions!$D55,'Activity data'!$D$24:$D$39,0))*INDEX(EF!$H$84:$H$99,MATCH(Emissions!$D55,EF!$D$84:$D$99,0))*INDEX(EF!$H$100:$H$115,MATCH(Emissions!$D55,EF!$D$100:$D$115,0))*INDEX(EF!$H$116:$H$131,MATCH(Emissions!$D55,EF!$D$116:$D$131,0))*kgtoGg</f>
        <v>0.88381932597000001</v>
      </c>
      <c r="AJ55" s="23">
        <f>INDEX('Activity data'!AJ$24:AJ$39,MATCH(Emissions!$D55,'Activity data'!$D$24:$D$39,0))*INDEX(EF!$H$84:$H$99,MATCH(Emissions!$D55,EF!$D$84:$D$99,0))*INDEX(EF!$H$100:$H$115,MATCH(Emissions!$D55,EF!$D$100:$D$115,0))*INDEX(EF!$H$116:$H$131,MATCH(Emissions!$D55,EF!$D$116:$D$131,0))*kgtoGg</f>
        <v>1.0946187786256749</v>
      </c>
      <c r="AK55" s="23">
        <f>INDEX('Activity data'!AK$24:AK$39,MATCH(Emissions!$D55,'Activity data'!$D$24:$D$39,0))*INDEX(EF!$H$84:$H$99,MATCH(Emissions!$D55,EF!$D$84:$D$99,0))*INDEX(EF!$H$100:$H$115,MATCH(Emissions!$D55,EF!$D$100:$D$115,0))*INDEX(EF!$H$116:$H$131,MATCH(Emissions!$D55,EF!$D$116:$D$131,0))*kgtoGg</f>
        <v>1.0713839647021284</v>
      </c>
      <c r="AL55" s="23">
        <f>INDEX('Activity data'!AL$24:AL$39,MATCH(Emissions!$D55,'Activity data'!$D$24:$D$39,0))*INDEX(EF!$H$84:$H$99,MATCH(Emissions!$D55,EF!$D$84:$D$99,0))*INDEX(EF!$H$100:$H$115,MATCH(Emissions!$D55,EF!$D$100:$D$115,0))*INDEX(EF!$H$116:$H$131,MATCH(Emissions!$D55,EF!$D$116:$D$131,0))*kgtoGg</f>
        <v>1.0481491507785823</v>
      </c>
      <c r="AM55" s="23">
        <f>INDEX('Activity data'!AM$24:AM$39,MATCH(Emissions!$D55,'Activity data'!$D$24:$D$39,0))*INDEX(EF!$H$84:$H$99,MATCH(Emissions!$D55,EF!$D$84:$D$99,0))*INDEX(EF!$H$100:$H$115,MATCH(Emissions!$D55,EF!$D$100:$D$115,0))*INDEX(EF!$H$116:$H$131,MATCH(Emissions!$D55,EF!$D$116:$D$131,0))*kgtoGg</f>
        <v>1.024914336855036</v>
      </c>
      <c r="AN55" s="23">
        <f>INDEX('Activity data'!AN$24:AN$39,MATCH(Emissions!$D55,'Activity data'!$D$24:$D$39,0))*INDEX(EF!$H$84:$H$99,MATCH(Emissions!$D55,EF!$D$84:$D$99,0))*INDEX(EF!$H$100:$H$115,MATCH(Emissions!$D55,EF!$D$100:$D$115,0))*INDEX(EF!$H$116:$H$131,MATCH(Emissions!$D55,EF!$D$116:$D$131,0))*kgtoGg</f>
        <v>1.0016795229314897</v>
      </c>
      <c r="AO55" s="23">
        <f>INDEX('Activity data'!AO$24:AO$39,MATCH(Emissions!$D55,'Activity data'!$D$24:$D$39,0))*INDEX(EF!$H$84:$H$99,MATCH(Emissions!$D55,EF!$D$84:$D$99,0))*INDEX(EF!$H$100:$H$115,MATCH(Emissions!$D55,EF!$D$100:$D$115,0))*INDEX(EF!$H$116:$H$131,MATCH(Emissions!$D55,EF!$D$116:$D$131,0))*kgtoGg</f>
        <v>0.97844470900794311</v>
      </c>
      <c r="AP55" s="23">
        <f>INDEX('Activity data'!AP$24:AP$39,MATCH(Emissions!$D55,'Activity data'!$D$24:$D$39,0))*INDEX(EF!$H$84:$H$99,MATCH(Emissions!$D55,EF!$D$84:$D$99,0))*INDEX(EF!$H$100:$H$115,MATCH(Emissions!$D55,EF!$D$100:$D$115,0))*INDEX(EF!$H$116:$H$131,MATCH(Emissions!$D55,EF!$D$116:$D$131,0))*kgtoGg</f>
        <v>0.95520989508439702</v>
      </c>
      <c r="AQ55" s="23">
        <f>INDEX('Activity data'!AQ$24:AQ$39,MATCH(Emissions!$D55,'Activity data'!$D$24:$D$39,0))*INDEX(EF!$H$84:$H$99,MATCH(Emissions!$D55,EF!$D$84:$D$99,0))*INDEX(EF!$H$100:$H$115,MATCH(Emissions!$D55,EF!$D$100:$D$115,0))*INDEX(EF!$H$116:$H$131,MATCH(Emissions!$D55,EF!$D$116:$D$131,0))*kgtoGg</f>
        <v>0.9319750811608507</v>
      </c>
      <c r="AR55" s="23">
        <f>INDEX('Activity data'!AR$24:AR$39,MATCH(Emissions!$D55,'Activity data'!$D$24:$D$39,0))*INDEX(EF!$H$84:$H$99,MATCH(Emissions!$D55,EF!$D$84:$D$99,0))*INDEX(EF!$H$100:$H$115,MATCH(Emissions!$D55,EF!$D$100:$D$115,0))*INDEX(EF!$H$116:$H$131,MATCH(Emissions!$D55,EF!$D$116:$D$131,0))*kgtoGg</f>
        <v>0.90874026723730439</v>
      </c>
      <c r="AS55" s="23">
        <f>INDEX('Activity data'!AS$24:AS$39,MATCH(Emissions!$D55,'Activity data'!$D$24:$D$39,0))*INDEX(EF!$H$84:$H$99,MATCH(Emissions!$D55,EF!$D$84:$D$99,0))*INDEX(EF!$H$100:$H$115,MATCH(Emissions!$D55,EF!$D$100:$D$115,0))*INDEX(EF!$H$116:$H$131,MATCH(Emissions!$D55,EF!$D$116:$D$131,0))*kgtoGg</f>
        <v>0.88550545331375785</v>
      </c>
      <c r="AT55" s="23">
        <f>INDEX('Activity data'!AT$24:AT$39,MATCH(Emissions!$D55,'Activity data'!$D$24:$D$39,0))*INDEX(EF!$H$84:$H$99,MATCH(Emissions!$D55,EF!$D$84:$D$99,0))*INDEX(EF!$H$100:$H$115,MATCH(Emissions!$D55,EF!$D$100:$D$115,0))*INDEX(EF!$H$116:$H$131,MATCH(Emissions!$D55,EF!$D$116:$D$131,0))*kgtoGg</f>
        <v>0.86227063939021165</v>
      </c>
      <c r="AU55" s="23">
        <f>INDEX('Activity data'!AU$24:AU$39,MATCH(Emissions!$D55,'Activity data'!$D$24:$D$39,0))*INDEX(EF!$H$84:$H$99,MATCH(Emissions!$D55,EF!$D$84:$D$99,0))*INDEX(EF!$H$100:$H$115,MATCH(Emissions!$D55,EF!$D$100:$D$115,0))*INDEX(EF!$H$116:$H$131,MATCH(Emissions!$D55,EF!$D$116:$D$131,0))*kgtoGg</f>
        <v>0.83903582546666533</v>
      </c>
      <c r="AV55" s="23">
        <f>INDEX('Activity data'!AV$24:AV$39,MATCH(Emissions!$D55,'Activity data'!$D$24:$D$39,0))*INDEX(EF!$H$84:$H$99,MATCH(Emissions!$D55,EF!$D$84:$D$99,0))*INDEX(EF!$H$100:$H$115,MATCH(Emissions!$D55,EF!$D$100:$D$115,0))*INDEX(EF!$H$116:$H$131,MATCH(Emissions!$D55,EF!$D$116:$D$131,0))*kgtoGg</f>
        <v>0.8158010115431189</v>
      </c>
      <c r="AW55" s="23">
        <f>INDEX('Activity data'!AW$24:AW$39,MATCH(Emissions!$D55,'Activity data'!$D$24:$D$39,0))*INDEX(EF!$H$84:$H$99,MATCH(Emissions!$D55,EF!$D$84:$D$99,0))*INDEX(EF!$H$100:$H$115,MATCH(Emissions!$D55,EF!$D$100:$D$115,0))*INDEX(EF!$H$116:$H$131,MATCH(Emissions!$D55,EF!$D$116:$D$131,0))*kgtoGg</f>
        <v>0.7925661976195727</v>
      </c>
      <c r="AX55" s="23">
        <f>INDEX('Activity data'!AX$24:AX$39,MATCH(Emissions!$D55,'Activity data'!$D$24:$D$39,0))*INDEX(EF!$H$84:$H$99,MATCH(Emissions!$D55,EF!$D$84:$D$99,0))*INDEX(EF!$H$100:$H$115,MATCH(Emissions!$D55,EF!$D$100:$D$115,0))*INDEX(EF!$H$116:$H$131,MATCH(Emissions!$D55,EF!$D$116:$D$131,0))*kgtoGg</f>
        <v>0.76933138369602649</v>
      </c>
      <c r="AY55" s="23">
        <f>INDEX('Activity data'!AY$24:AY$39,MATCH(Emissions!$D55,'Activity data'!$D$24:$D$39,0))*INDEX(EF!$H$84:$H$99,MATCH(Emissions!$D55,EF!$D$84:$D$99,0))*INDEX(EF!$H$100:$H$115,MATCH(Emissions!$D55,EF!$D$100:$D$115,0))*INDEX(EF!$H$116:$H$131,MATCH(Emissions!$D55,EF!$D$116:$D$131,0))*kgtoGg</f>
        <v>0.74609656977248007</v>
      </c>
      <c r="AZ55" s="23">
        <f>INDEX('Activity data'!AZ$24:AZ$39,MATCH(Emissions!$D55,'Activity data'!$D$24:$D$39,0))*INDEX(EF!$H$84:$H$99,MATCH(Emissions!$D55,EF!$D$84:$D$99,0))*INDEX(EF!$H$100:$H$115,MATCH(Emissions!$D55,EF!$D$100:$D$115,0))*INDEX(EF!$H$116:$H$131,MATCH(Emissions!$D55,EF!$D$116:$D$131,0))*kgtoGg</f>
        <v>0.72286175584893364</v>
      </c>
      <c r="BA55" s="23">
        <f>INDEX('Activity data'!BA$24:BA$39,MATCH(Emissions!$D55,'Activity data'!$D$24:$D$39,0))*INDEX(EF!$H$84:$H$99,MATCH(Emissions!$D55,EF!$D$84:$D$99,0))*INDEX(EF!$H$100:$H$115,MATCH(Emissions!$D55,EF!$D$100:$D$115,0))*INDEX(EF!$H$116:$H$131,MATCH(Emissions!$D55,EF!$D$116:$D$131,0))*kgtoGg</f>
        <v>0.69962694192538732</v>
      </c>
      <c r="BB55" s="23">
        <f>INDEX('Activity data'!BB$24:BB$39,MATCH(Emissions!$D55,'Activity data'!$D$24:$D$39,0))*INDEX(EF!$H$84:$H$99,MATCH(Emissions!$D55,EF!$D$84:$D$99,0))*INDEX(EF!$H$100:$H$115,MATCH(Emissions!$D55,EF!$D$100:$D$115,0))*INDEX(EF!$H$116:$H$131,MATCH(Emissions!$D55,EF!$D$116:$D$131,0))*kgtoGg</f>
        <v>0.67639212800184101</v>
      </c>
      <c r="BC55" s="23">
        <f>INDEX('Activity data'!BC$24:BC$39,MATCH(Emissions!$D55,'Activity data'!$D$24:$D$39,0))*INDEX(EF!$H$84:$H$99,MATCH(Emissions!$D55,EF!$D$84:$D$99,0))*INDEX(EF!$H$100:$H$115,MATCH(Emissions!$D55,EF!$D$100:$D$115,0))*INDEX(EF!$H$116:$H$131,MATCH(Emissions!$D55,EF!$D$116:$D$131,0))*kgtoGg</f>
        <v>0.65315731407829469</v>
      </c>
      <c r="BD55" s="23">
        <f>INDEX('Activity data'!BD$24:BD$39,MATCH(Emissions!$D55,'Activity data'!$D$24:$D$39,0))*INDEX(EF!$H$84:$H$99,MATCH(Emissions!$D55,EF!$D$84:$D$99,0))*INDEX(EF!$H$100:$H$115,MATCH(Emissions!$D55,EF!$D$100:$D$115,0))*INDEX(EF!$H$116:$H$131,MATCH(Emissions!$D55,EF!$D$116:$D$131,0))*kgtoGg</f>
        <v>0.62992250015474849</v>
      </c>
      <c r="BE55" s="23">
        <f>INDEX('Activity data'!BE$24:BE$39,MATCH(Emissions!$D55,'Activity data'!$D$24:$D$39,0))*INDEX(EF!$H$84:$H$99,MATCH(Emissions!$D55,EF!$D$84:$D$99,0))*INDEX(EF!$H$100:$H$115,MATCH(Emissions!$D55,EF!$D$100:$D$115,0))*INDEX(EF!$H$116:$H$131,MATCH(Emissions!$D55,EF!$D$116:$D$131,0))*kgtoGg</f>
        <v>0.60668768623120217</v>
      </c>
      <c r="BF55" s="23">
        <f>INDEX('Activity data'!BF$24:BF$39,MATCH(Emissions!$D55,'Activity data'!$D$24:$D$39,0))*INDEX(EF!$H$84:$H$99,MATCH(Emissions!$D55,EF!$D$84:$D$99,0))*INDEX(EF!$H$100:$H$115,MATCH(Emissions!$D55,EF!$D$100:$D$115,0))*INDEX(EF!$H$116:$H$131,MATCH(Emissions!$D55,EF!$D$116:$D$131,0))*kgtoGg</f>
        <v>0.58345287230765575</v>
      </c>
      <c r="BG55" s="23">
        <f>INDEX('Activity data'!BG$24:BG$39,MATCH(Emissions!$D55,'Activity data'!$D$24:$D$39,0))*INDEX(EF!$H$84:$H$99,MATCH(Emissions!$D55,EF!$D$84:$D$99,0))*INDEX(EF!$H$100:$H$115,MATCH(Emissions!$D55,EF!$D$100:$D$115,0))*INDEX(EF!$H$116:$H$131,MATCH(Emissions!$D55,EF!$D$116:$D$131,0))*kgtoGg</f>
        <v>0.56021805838410943</v>
      </c>
      <c r="BH55" s="23">
        <f>INDEX('Activity data'!BH$24:BH$39,MATCH(Emissions!$D55,'Activity data'!$D$24:$D$39,0))*INDEX(EF!$H$84:$H$99,MATCH(Emissions!$D55,EF!$D$84:$D$99,0))*INDEX(EF!$H$100:$H$115,MATCH(Emissions!$D55,EF!$D$100:$D$115,0))*INDEX(EF!$H$116:$H$131,MATCH(Emissions!$D55,EF!$D$116:$D$131,0))*kgtoGg</f>
        <v>0.536983244460563</v>
      </c>
      <c r="BI55" s="23">
        <f>INDEX('Activity data'!BI$24:BI$39,MATCH(Emissions!$D55,'Activity data'!$D$24:$D$39,0))*INDEX(EF!$H$84:$H$99,MATCH(Emissions!$D55,EF!$D$84:$D$99,0))*INDEX(EF!$H$100:$H$115,MATCH(Emissions!$D55,EF!$D$100:$D$115,0))*INDEX(EF!$H$116:$H$131,MATCH(Emissions!$D55,EF!$D$116:$D$131,0))*kgtoGg</f>
        <v>0.5137484305370168</v>
      </c>
      <c r="BJ55" s="23">
        <f>INDEX('Activity data'!BJ$24:BJ$39,MATCH(Emissions!$D55,'Activity data'!$D$24:$D$39,0))*INDEX(EF!$H$84:$H$99,MATCH(Emissions!$D55,EF!$D$84:$D$99,0))*INDEX(EF!$H$100:$H$115,MATCH(Emissions!$D55,EF!$D$100:$D$115,0))*INDEX(EF!$H$116:$H$131,MATCH(Emissions!$D55,EF!$D$116:$D$131,0))*kgtoGg</f>
        <v>0.49051361661347048</v>
      </c>
      <c r="BK55" s="23">
        <f>INDEX('Activity data'!BK$24:BK$39,MATCH(Emissions!$D55,'Activity data'!$D$24:$D$39,0))*INDEX(EF!$H$84:$H$99,MATCH(Emissions!$D55,EF!$D$84:$D$99,0))*INDEX(EF!$H$100:$H$115,MATCH(Emissions!$D55,EF!$D$100:$D$115,0))*INDEX(EF!$H$116:$H$131,MATCH(Emissions!$D55,EF!$D$116:$D$131,0))*kgtoGg</f>
        <v>0.46727880268992411</v>
      </c>
      <c r="BL55" s="23">
        <f>INDEX('Activity data'!BL$24:BL$39,MATCH(Emissions!$D55,'Activity data'!$D$24:$D$39,0))*INDEX(EF!$H$84:$H$99,MATCH(Emissions!$D55,EF!$D$84:$D$99,0))*INDEX(EF!$H$100:$H$115,MATCH(Emissions!$D55,EF!$D$100:$D$115,0))*INDEX(EF!$H$116:$H$131,MATCH(Emissions!$D55,EF!$D$116:$D$131,0))*kgtoGg</f>
        <v>0.44404398876637785</v>
      </c>
      <c r="BM55" s="23">
        <f>INDEX('Activity data'!BM$24:BM$39,MATCH(Emissions!$D55,'Activity data'!$D$24:$D$39,0))*INDEX(EF!$H$84:$H$99,MATCH(Emissions!$D55,EF!$D$84:$D$99,0))*INDEX(EF!$H$100:$H$115,MATCH(Emissions!$D55,EF!$D$100:$D$115,0))*INDEX(EF!$H$116:$H$131,MATCH(Emissions!$D55,EF!$D$116:$D$131,0))*kgtoGg</f>
        <v>0.42080917484283142</v>
      </c>
      <c r="BN55" s="23">
        <f>INDEX('Activity data'!BN$24:BN$39,MATCH(Emissions!$D55,'Activity data'!$D$24:$D$39,0))*INDEX(EF!$H$84:$H$99,MATCH(Emissions!$D55,EF!$D$84:$D$99,0))*INDEX(EF!$H$100:$H$115,MATCH(Emissions!$D55,EF!$D$100:$D$115,0))*INDEX(EF!$H$116:$H$131,MATCH(Emissions!$D55,EF!$D$116:$D$131,0))*kgtoGg</f>
        <v>0.397574360919285</v>
      </c>
      <c r="BO55" s="23">
        <f>INDEX('Activity data'!BO$24:BO$39,MATCH(Emissions!$D55,'Activity data'!$D$24:$D$39,0))*INDEX(EF!$H$84:$H$99,MATCH(Emissions!$D55,EF!$D$84:$D$99,0))*INDEX(EF!$H$100:$H$115,MATCH(Emissions!$D55,EF!$D$100:$D$115,0))*INDEX(EF!$H$116:$H$131,MATCH(Emissions!$D55,EF!$D$116:$D$131,0))*kgtoGg</f>
        <v>0.37433954699573863</v>
      </c>
      <c r="BP55" s="23">
        <f>INDEX('Activity data'!BP$24:BP$39,MATCH(Emissions!$D55,'Activity data'!$D$24:$D$39,0))*INDEX(EF!$H$84:$H$99,MATCH(Emissions!$D55,EF!$D$84:$D$99,0))*INDEX(EF!$H$100:$H$115,MATCH(Emissions!$D55,EF!$D$100:$D$115,0))*INDEX(EF!$H$116:$H$131,MATCH(Emissions!$D55,EF!$D$116:$D$131,0))*kgtoGg</f>
        <v>0.35110473307219225</v>
      </c>
    </row>
    <row r="56" spans="1:68" x14ac:dyDescent="0.25">
      <c r="A56" t="str">
        <f t="shared" ref="A56:A60" si="13">A55</f>
        <v>3C Aggregated and non-CO2 emissions on land</v>
      </c>
      <c r="B56" t="str">
        <f t="shared" ref="B56:B59" si="14">B55</f>
        <v>3C1 Biomass burning (CH4)</v>
      </c>
      <c r="C56" t="str">
        <f t="shared" ref="C56:C57" si="15">C55</f>
        <v>3C1a Biomass burning in forest land</v>
      </c>
      <c r="D56" t="str">
        <f>EF!D86</f>
        <v>Woodlands</v>
      </c>
      <c r="E56" t="s">
        <v>727</v>
      </c>
      <c r="F56" t="str">
        <f t="shared" ref="F56:F59" si="16">F55</f>
        <v>CH4</v>
      </c>
      <c r="G56" t="str">
        <f t="shared" ref="G56:G59" si="17">G55</f>
        <v>Gg CH4</v>
      </c>
      <c r="H56" s="23">
        <f>INDEX('Activity data'!H$24:H$39,MATCH(Emissions!$D56,'Activity data'!$D$24:$D$39,0))*INDEX(EF!$H$84:$H$99,MATCH(Emissions!$D56,EF!$D$84:$D$99,0))*INDEX(EF!$H$100:$H$115,MATCH(Emissions!$D56,EF!$D$100:$D$115,0))*INDEX(EF!$H$116:$H$131,MATCH(Emissions!$D56,EF!$D$116:$D$131,0))*kgtoGg</f>
        <v>5.6531469914652028</v>
      </c>
      <c r="I56" s="23">
        <f>INDEX('Activity data'!I$24:I$39,MATCH(Emissions!$D56,'Activity data'!$D$24:$D$39,0))*INDEX(EF!$H$84:$H$99,MATCH(Emissions!$D56,EF!$D$84:$D$99,0))*INDEX(EF!$H$100:$H$115,MATCH(Emissions!$D56,EF!$D$100:$D$115,0))*INDEX(EF!$H$116:$H$131,MATCH(Emissions!$D56,EF!$D$116:$D$131,0))*kgtoGg</f>
        <v>5.6531469914652028</v>
      </c>
      <c r="J56" s="23">
        <f>INDEX('Activity data'!J$24:J$39,MATCH(Emissions!$D56,'Activity data'!$D$24:$D$39,0))*INDEX(EF!$H$84:$H$99,MATCH(Emissions!$D56,EF!$D$84:$D$99,0))*INDEX(EF!$H$100:$H$115,MATCH(Emissions!$D56,EF!$D$100:$D$115,0))*INDEX(EF!$H$116:$H$131,MATCH(Emissions!$D56,EF!$D$116:$D$131,0))*kgtoGg</f>
        <v>5.6531469914652028</v>
      </c>
      <c r="K56" s="23">
        <f>INDEX('Activity data'!K$24:K$39,MATCH(Emissions!$D56,'Activity data'!$D$24:$D$39,0))*INDEX(EF!$H$84:$H$99,MATCH(Emissions!$D56,EF!$D$84:$D$99,0))*INDEX(EF!$H$100:$H$115,MATCH(Emissions!$D56,EF!$D$100:$D$115,0))*INDEX(EF!$H$116:$H$131,MATCH(Emissions!$D56,EF!$D$116:$D$131,0))*kgtoGg</f>
        <v>5.6531469914652028</v>
      </c>
      <c r="L56" s="23">
        <f>INDEX('Activity data'!L$24:L$39,MATCH(Emissions!$D56,'Activity data'!$D$24:$D$39,0))*INDEX(EF!$H$84:$H$99,MATCH(Emissions!$D56,EF!$D$84:$D$99,0))*INDEX(EF!$H$100:$H$115,MATCH(Emissions!$D56,EF!$D$100:$D$115,0))*INDEX(EF!$H$116:$H$131,MATCH(Emissions!$D56,EF!$D$116:$D$131,0))*kgtoGg</f>
        <v>5.6531469914652028</v>
      </c>
      <c r="M56" s="23">
        <f>INDEX('Activity data'!M$24:M$39,MATCH(Emissions!$D56,'Activity data'!$D$24:$D$39,0))*INDEX(EF!$H$84:$H$99,MATCH(Emissions!$D56,EF!$D$84:$D$99,0))*INDEX(EF!$H$100:$H$115,MATCH(Emissions!$D56,EF!$D$100:$D$115,0))*INDEX(EF!$H$116:$H$131,MATCH(Emissions!$D56,EF!$D$116:$D$131,0))*kgtoGg</f>
        <v>5.6531469914652028</v>
      </c>
      <c r="N56" s="23">
        <f>INDEX('Activity data'!N$24:N$39,MATCH(Emissions!$D56,'Activity data'!$D$24:$D$39,0))*INDEX(EF!$H$84:$H$99,MATCH(Emissions!$D56,EF!$D$84:$D$99,0))*INDEX(EF!$H$100:$H$115,MATCH(Emissions!$D56,EF!$D$100:$D$115,0))*INDEX(EF!$H$116:$H$131,MATCH(Emissions!$D56,EF!$D$116:$D$131,0))*kgtoGg</f>
        <v>5.6531469914652028</v>
      </c>
      <c r="O56" s="23">
        <f>INDEX('Activity data'!O$24:O$39,MATCH(Emissions!$D56,'Activity data'!$D$24:$D$39,0))*INDEX(EF!$H$84:$H$99,MATCH(Emissions!$D56,EF!$D$84:$D$99,0))*INDEX(EF!$H$100:$H$115,MATCH(Emissions!$D56,EF!$D$100:$D$115,0))*INDEX(EF!$H$116:$H$131,MATCH(Emissions!$D56,EF!$D$116:$D$131,0))*kgtoGg</f>
        <v>5.6531469914652028</v>
      </c>
      <c r="P56" s="23">
        <f>INDEX('Activity data'!P$24:P$39,MATCH(Emissions!$D56,'Activity data'!$D$24:$D$39,0))*INDEX(EF!$H$84:$H$99,MATCH(Emissions!$D56,EF!$D$84:$D$99,0))*INDEX(EF!$H$100:$H$115,MATCH(Emissions!$D56,EF!$D$100:$D$115,0))*INDEX(EF!$H$116:$H$131,MATCH(Emissions!$D56,EF!$D$116:$D$131,0))*kgtoGg</f>
        <v>5.6531469914652028</v>
      </c>
      <c r="Q56" s="23">
        <f>INDEX('Activity data'!Q$24:Q$39,MATCH(Emissions!$D56,'Activity data'!$D$24:$D$39,0))*INDEX(EF!$H$84:$H$99,MATCH(Emissions!$D56,EF!$D$84:$D$99,0))*INDEX(EF!$H$100:$H$115,MATCH(Emissions!$D56,EF!$D$100:$D$115,0))*INDEX(EF!$H$116:$H$131,MATCH(Emissions!$D56,EF!$D$116:$D$131,0))*kgtoGg</f>
        <v>5.6531469914652028</v>
      </c>
      <c r="R56" s="23">
        <f>INDEX('Activity data'!R$24:R$39,MATCH(Emissions!$D56,'Activity data'!$D$24:$D$39,0))*INDEX(EF!$H$84:$H$99,MATCH(Emissions!$D56,EF!$D$84:$D$99,0))*INDEX(EF!$H$100:$H$115,MATCH(Emissions!$D56,EF!$D$100:$D$115,0))*INDEX(EF!$H$116:$H$131,MATCH(Emissions!$D56,EF!$D$116:$D$131,0))*kgtoGg</f>
        <v>5.9201330160969858</v>
      </c>
      <c r="S56" s="23">
        <f>INDEX('Activity data'!S$24:S$39,MATCH(Emissions!$D56,'Activity data'!$D$24:$D$39,0))*INDEX(EF!$H$84:$H$99,MATCH(Emissions!$D56,EF!$D$84:$D$99,0))*INDEX(EF!$H$100:$H$115,MATCH(Emissions!$D56,EF!$D$100:$D$115,0))*INDEX(EF!$H$116:$H$131,MATCH(Emissions!$D56,EF!$D$116:$D$131,0))*kgtoGg</f>
        <v>8.5137755895560279</v>
      </c>
      <c r="T56" s="23">
        <f>INDEX('Activity data'!T$24:T$39,MATCH(Emissions!$D56,'Activity data'!$D$24:$D$39,0))*INDEX(EF!$H$84:$H$99,MATCH(Emissions!$D56,EF!$D$84:$D$99,0))*INDEX(EF!$H$100:$H$115,MATCH(Emissions!$D56,EF!$D$100:$D$115,0))*INDEX(EF!$H$116:$H$131,MATCH(Emissions!$D56,EF!$D$116:$D$131,0))*kgtoGg</f>
        <v>6.5840487252639006</v>
      </c>
      <c r="U56" s="23">
        <f>INDEX('Activity data'!U$24:U$39,MATCH(Emissions!$D56,'Activity data'!$D$24:$D$39,0))*INDEX(EF!$H$84:$H$99,MATCH(Emissions!$D56,EF!$D$84:$D$99,0))*INDEX(EF!$H$100:$H$115,MATCH(Emissions!$D56,EF!$D$100:$D$115,0))*INDEX(EF!$H$116:$H$131,MATCH(Emissions!$D56,EF!$D$116:$D$131,0))*kgtoGg</f>
        <v>2.5247104134470595</v>
      </c>
      <c r="V56" s="23">
        <f>INDEX('Activity data'!V$24:V$39,MATCH(Emissions!$D56,'Activity data'!$D$24:$D$39,0))*INDEX(EF!$H$84:$H$99,MATCH(Emissions!$D56,EF!$D$84:$D$99,0))*INDEX(EF!$H$100:$H$115,MATCH(Emissions!$D56,EF!$D$100:$D$115,0))*INDEX(EF!$H$116:$H$131,MATCH(Emissions!$D56,EF!$D$116:$D$131,0))*kgtoGg</f>
        <v>4.7230672129620421</v>
      </c>
      <c r="W56" s="23">
        <f>INDEX('Activity data'!W$24:W$39,MATCH(Emissions!$D56,'Activity data'!$D$24:$D$39,0))*INDEX(EF!$H$84:$H$99,MATCH(Emissions!$D56,EF!$D$84:$D$99,0))*INDEX(EF!$H$100:$H$115,MATCH(Emissions!$D56,EF!$D$100:$D$115,0))*INDEX(EF!$H$116:$H$131,MATCH(Emissions!$D56,EF!$D$116:$D$131,0))*kgtoGg</f>
        <v>7.9744608308714833</v>
      </c>
      <c r="X56" s="23">
        <f>INDEX('Activity data'!X$24:X$39,MATCH(Emissions!$D56,'Activity data'!$D$24:$D$39,0))*INDEX(EF!$H$84:$H$99,MATCH(Emissions!$D56,EF!$D$84:$D$99,0))*INDEX(EF!$H$100:$H$115,MATCH(Emissions!$D56,EF!$D$100:$D$115,0))*INDEX(EF!$H$116:$H$131,MATCH(Emissions!$D56,EF!$D$116:$D$131,0))*kgtoGg</f>
        <v>6.9184350841296229</v>
      </c>
      <c r="Y56" s="23">
        <f>INDEX('Activity data'!Y$24:Y$39,MATCH(Emissions!$D56,'Activity data'!$D$24:$D$39,0))*INDEX(EF!$H$84:$H$99,MATCH(Emissions!$D56,EF!$D$84:$D$99,0))*INDEX(EF!$H$100:$H$115,MATCH(Emissions!$D56,EF!$D$100:$D$115,0))*INDEX(EF!$H$116:$H$131,MATCH(Emissions!$D56,EF!$D$116:$D$131,0))*kgtoGg</f>
        <v>3.9808789426975095</v>
      </c>
      <c r="Z56" s="23">
        <f>INDEX('Activity data'!Z$24:Z$39,MATCH(Emissions!$D56,'Activity data'!$D$24:$D$39,0))*INDEX(EF!$H$84:$H$99,MATCH(Emissions!$D56,EF!$D$84:$D$99,0))*INDEX(EF!$H$100:$H$115,MATCH(Emissions!$D56,EF!$D$100:$D$115,0))*INDEX(EF!$H$116:$H$131,MATCH(Emissions!$D56,EF!$D$116:$D$131,0))*kgtoGg</f>
        <v>7.1887462915478917</v>
      </c>
      <c r="AA56" s="23">
        <f>INDEX('Activity data'!AA$24:AA$39,MATCH(Emissions!$D56,'Activity data'!$D$24:$D$39,0))*INDEX(EF!$H$84:$H$99,MATCH(Emissions!$D56,EF!$D$84:$D$99,0))*INDEX(EF!$H$100:$H$115,MATCH(Emissions!$D56,EF!$D$100:$D$115,0))*INDEX(EF!$H$116:$H$131,MATCH(Emissions!$D56,EF!$D$116:$D$131,0))*kgtoGg</f>
        <v>4.7368910065687819</v>
      </c>
      <c r="AB56" s="23">
        <f>INDEX('Activity data'!AB$24:AB$39,MATCH(Emissions!$D56,'Activity data'!$D$24:$D$39,0))*INDEX(EF!$H$84:$H$99,MATCH(Emissions!$D56,EF!$D$84:$D$99,0))*INDEX(EF!$H$100:$H$115,MATCH(Emissions!$D56,EF!$D$100:$D$115,0))*INDEX(EF!$H$116:$H$131,MATCH(Emissions!$D56,EF!$D$116:$D$131,0))*kgtoGg</f>
        <v>6.6733368768000005</v>
      </c>
      <c r="AC56" s="23">
        <f>INDEX('Activity data'!AC$24:AC$39,MATCH(Emissions!$D56,'Activity data'!$D$24:$D$39,0))*INDEX(EF!$H$84:$H$99,MATCH(Emissions!$D56,EF!$D$84:$D$99,0))*INDEX(EF!$H$100:$H$115,MATCH(Emissions!$D56,EF!$D$100:$D$115,0))*INDEX(EF!$H$116:$H$131,MATCH(Emissions!$D56,EF!$D$116:$D$131,0))*kgtoGg</f>
        <v>6.10643382624</v>
      </c>
      <c r="AD56" s="23">
        <f>INDEX('Activity data'!AD$24:AD$39,MATCH(Emissions!$D56,'Activity data'!$D$24:$D$39,0))*INDEX(EF!$H$84:$H$99,MATCH(Emissions!$D56,EF!$D$84:$D$99,0))*INDEX(EF!$H$100:$H$115,MATCH(Emissions!$D56,EF!$D$100:$D$115,0))*INDEX(EF!$H$116:$H$131,MATCH(Emissions!$D56,EF!$D$116:$D$131,0))*kgtoGg</f>
        <v>4.9218830495999999</v>
      </c>
      <c r="AE56" s="23">
        <f>INDEX('Activity data'!AE$24:AE$39,MATCH(Emissions!$D56,'Activity data'!$D$24:$D$39,0))*INDEX(EF!$H$84:$H$99,MATCH(Emissions!$D56,EF!$D$84:$D$99,0))*INDEX(EF!$H$100:$H$115,MATCH(Emissions!$D56,EF!$D$100:$D$115,0))*INDEX(EF!$H$116:$H$131,MATCH(Emissions!$D56,EF!$D$116:$D$131,0))*kgtoGg</f>
        <v>3.8392631798399997</v>
      </c>
      <c r="AF56" s="23">
        <f>INDEX('Activity data'!AF$24:AF$39,MATCH(Emissions!$D56,'Activity data'!$D$24:$D$39,0))*INDEX(EF!$H$84:$H$99,MATCH(Emissions!$D56,EF!$D$84:$D$99,0))*INDEX(EF!$H$100:$H$115,MATCH(Emissions!$D56,EF!$D$100:$D$115,0))*INDEX(EF!$H$116:$H$131,MATCH(Emissions!$D56,EF!$D$116:$D$131,0))*kgtoGg</f>
        <v>5.86693423008</v>
      </c>
      <c r="AG56" s="23">
        <f>INDEX('Activity data'!AG$24:AG$39,MATCH(Emissions!$D56,'Activity data'!$D$24:$D$39,0))*INDEX(EF!$H$84:$H$99,MATCH(Emissions!$D56,EF!$D$84:$D$99,0))*INDEX(EF!$H$100:$H$115,MATCH(Emissions!$D56,EF!$D$100:$D$115,0))*INDEX(EF!$H$116:$H$131,MATCH(Emissions!$D56,EF!$D$116:$D$131,0))*kgtoGg</f>
        <v>3.8865694032000002</v>
      </c>
      <c r="AH56" s="23">
        <f>INDEX('Activity data'!AH$24:AH$39,MATCH(Emissions!$D56,'Activity data'!$D$24:$D$39,0))*INDEX(EF!$H$84:$H$99,MATCH(Emissions!$D56,EF!$D$84:$D$99,0))*INDEX(EF!$H$100:$H$115,MATCH(Emissions!$D56,EF!$D$100:$D$115,0))*INDEX(EF!$H$116:$H$131,MATCH(Emissions!$D56,EF!$D$116:$D$131,0))*kgtoGg</f>
        <v>1.0371600201600002</v>
      </c>
      <c r="AI56" s="23">
        <f>INDEX('Activity data'!AI$24:AI$39,MATCH(Emissions!$D56,'Activity data'!$D$24:$D$39,0))*INDEX(EF!$H$84:$H$99,MATCH(Emissions!$D56,EF!$D$84:$D$99,0))*INDEX(EF!$H$100:$H$115,MATCH(Emissions!$D56,EF!$D$100:$D$115,0))*INDEX(EF!$H$116:$H$131,MATCH(Emissions!$D56,EF!$D$116:$D$131,0))*kgtoGg</f>
        <v>0.95774408927999988</v>
      </c>
      <c r="AJ56" s="23">
        <f>INDEX('Activity data'!AJ$24:AJ$39,MATCH(Emissions!$D56,'Activity data'!$D$24:$D$39,0))*INDEX(EF!$H$84:$H$99,MATCH(Emissions!$D56,EF!$D$84:$D$99,0))*INDEX(EF!$H$100:$H$115,MATCH(Emissions!$D56,EF!$D$100:$D$115,0))*INDEX(EF!$H$116:$H$131,MATCH(Emissions!$D56,EF!$D$116:$D$131,0))*kgtoGg</f>
        <v>6.4477198528534458</v>
      </c>
      <c r="AK56" s="23">
        <f>INDEX('Activity data'!AK$24:AK$39,MATCH(Emissions!$D56,'Activity data'!$D$24:$D$39,0))*INDEX(EF!$H$84:$H$99,MATCH(Emissions!$D56,EF!$D$84:$D$99,0))*INDEX(EF!$H$100:$H$115,MATCH(Emissions!$D56,EF!$D$100:$D$115,0))*INDEX(EF!$H$116:$H$131,MATCH(Emissions!$D56,EF!$D$116:$D$131,0))*kgtoGg</f>
        <v>6.4764807223900736</v>
      </c>
      <c r="AL56" s="23">
        <f>INDEX('Activity data'!AL$24:AL$39,MATCH(Emissions!$D56,'Activity data'!$D$24:$D$39,0))*INDEX(EF!$H$84:$H$99,MATCH(Emissions!$D56,EF!$D$84:$D$99,0))*INDEX(EF!$H$100:$H$115,MATCH(Emissions!$D56,EF!$D$100:$D$115,0))*INDEX(EF!$H$116:$H$131,MATCH(Emissions!$D56,EF!$D$116:$D$131,0))*kgtoGg</f>
        <v>6.5052415919267039</v>
      </c>
      <c r="AM56" s="23">
        <f>INDEX('Activity data'!AM$24:AM$39,MATCH(Emissions!$D56,'Activity data'!$D$24:$D$39,0))*INDEX(EF!$H$84:$H$99,MATCH(Emissions!$D56,EF!$D$84:$D$99,0))*INDEX(EF!$H$100:$H$115,MATCH(Emissions!$D56,EF!$D$100:$D$115,0))*INDEX(EF!$H$116:$H$131,MATCH(Emissions!$D56,EF!$D$116:$D$131,0))*kgtoGg</f>
        <v>6.5340024614633334</v>
      </c>
      <c r="AN56" s="23">
        <f>INDEX('Activity data'!AN$24:AN$39,MATCH(Emissions!$D56,'Activity data'!$D$24:$D$39,0))*INDEX(EF!$H$84:$H$99,MATCH(Emissions!$D56,EF!$D$84:$D$99,0))*INDEX(EF!$H$100:$H$115,MATCH(Emissions!$D56,EF!$D$100:$D$115,0))*INDEX(EF!$H$116:$H$131,MATCH(Emissions!$D56,EF!$D$116:$D$131,0))*kgtoGg</f>
        <v>6.5627633309999638</v>
      </c>
      <c r="AO56" s="23">
        <f>INDEX('Activity data'!AO$24:AO$39,MATCH(Emissions!$D56,'Activity data'!$D$24:$D$39,0))*INDEX(EF!$H$84:$H$99,MATCH(Emissions!$D56,EF!$D$84:$D$99,0))*INDEX(EF!$H$100:$H$115,MATCH(Emissions!$D56,EF!$D$100:$D$115,0))*INDEX(EF!$H$116:$H$131,MATCH(Emissions!$D56,EF!$D$116:$D$131,0))*kgtoGg</f>
        <v>6.5915242005365942</v>
      </c>
      <c r="AP56" s="23">
        <f>INDEX('Activity data'!AP$24:AP$39,MATCH(Emissions!$D56,'Activity data'!$D$24:$D$39,0))*INDEX(EF!$H$84:$H$99,MATCH(Emissions!$D56,EF!$D$84:$D$99,0))*INDEX(EF!$H$100:$H$115,MATCH(Emissions!$D56,EF!$D$100:$D$115,0))*INDEX(EF!$H$116:$H$131,MATCH(Emissions!$D56,EF!$D$116:$D$131,0))*kgtoGg</f>
        <v>6.6202850700732245</v>
      </c>
      <c r="AQ56" s="23">
        <f>INDEX('Activity data'!AQ$24:AQ$39,MATCH(Emissions!$D56,'Activity data'!$D$24:$D$39,0))*INDEX(EF!$H$84:$H$99,MATCH(Emissions!$D56,EF!$D$84:$D$99,0))*INDEX(EF!$H$100:$H$115,MATCH(Emissions!$D56,EF!$D$100:$D$115,0))*INDEX(EF!$H$116:$H$131,MATCH(Emissions!$D56,EF!$D$116:$D$131,0))*kgtoGg</f>
        <v>6.649045939609854</v>
      </c>
      <c r="AR56" s="23">
        <f>INDEX('Activity data'!AR$24:AR$39,MATCH(Emissions!$D56,'Activity data'!$D$24:$D$39,0))*INDEX(EF!$H$84:$H$99,MATCH(Emissions!$D56,EF!$D$84:$D$99,0))*INDEX(EF!$H$100:$H$115,MATCH(Emissions!$D56,EF!$D$100:$D$115,0))*INDEX(EF!$H$116:$H$131,MATCH(Emissions!$D56,EF!$D$116:$D$131,0))*kgtoGg</f>
        <v>6.6778068091464835</v>
      </c>
      <c r="AS56" s="23">
        <f>INDEX('Activity data'!AS$24:AS$39,MATCH(Emissions!$D56,'Activity data'!$D$24:$D$39,0))*INDEX(EF!$H$84:$H$99,MATCH(Emissions!$D56,EF!$D$84:$D$99,0))*INDEX(EF!$H$100:$H$115,MATCH(Emissions!$D56,EF!$D$100:$D$115,0))*INDEX(EF!$H$116:$H$131,MATCH(Emissions!$D56,EF!$D$116:$D$131,0))*kgtoGg</f>
        <v>6.706567678683113</v>
      </c>
      <c r="AT56" s="23">
        <f>INDEX('Activity data'!AT$24:AT$39,MATCH(Emissions!$D56,'Activity data'!$D$24:$D$39,0))*INDEX(EF!$H$84:$H$99,MATCH(Emissions!$D56,EF!$D$84:$D$99,0))*INDEX(EF!$H$100:$H$115,MATCH(Emissions!$D56,EF!$D$100:$D$115,0))*INDEX(EF!$H$116:$H$131,MATCH(Emissions!$D56,EF!$D$116:$D$131,0))*kgtoGg</f>
        <v>6.7353285482197442</v>
      </c>
      <c r="AU56" s="23">
        <f>INDEX('Activity data'!AU$24:AU$39,MATCH(Emissions!$D56,'Activity data'!$D$24:$D$39,0))*INDEX(EF!$H$84:$H$99,MATCH(Emissions!$D56,EF!$D$84:$D$99,0))*INDEX(EF!$H$100:$H$115,MATCH(Emissions!$D56,EF!$D$100:$D$115,0))*INDEX(EF!$H$116:$H$131,MATCH(Emissions!$D56,EF!$D$116:$D$131,0))*kgtoGg</f>
        <v>6.7640894177563737</v>
      </c>
      <c r="AV56" s="23">
        <f>INDEX('Activity data'!AV$24:AV$39,MATCH(Emissions!$D56,'Activity data'!$D$24:$D$39,0))*INDEX(EF!$H$84:$H$99,MATCH(Emissions!$D56,EF!$D$84:$D$99,0))*INDEX(EF!$H$100:$H$115,MATCH(Emissions!$D56,EF!$D$100:$D$115,0))*INDEX(EF!$H$116:$H$131,MATCH(Emissions!$D56,EF!$D$116:$D$131,0))*kgtoGg</f>
        <v>6.7928502872930032</v>
      </c>
      <c r="AW56" s="23">
        <f>INDEX('Activity data'!AW$24:AW$39,MATCH(Emissions!$D56,'Activity data'!$D$24:$D$39,0))*INDEX(EF!$H$84:$H$99,MATCH(Emissions!$D56,EF!$D$84:$D$99,0))*INDEX(EF!$H$100:$H$115,MATCH(Emissions!$D56,EF!$D$100:$D$115,0))*INDEX(EF!$H$116:$H$131,MATCH(Emissions!$D56,EF!$D$116:$D$131,0))*kgtoGg</f>
        <v>6.8216111568296336</v>
      </c>
      <c r="AX56" s="23">
        <f>INDEX('Activity data'!AX$24:AX$39,MATCH(Emissions!$D56,'Activity data'!$D$24:$D$39,0))*INDEX(EF!$H$84:$H$99,MATCH(Emissions!$D56,EF!$D$84:$D$99,0))*INDEX(EF!$H$100:$H$115,MATCH(Emissions!$D56,EF!$D$100:$D$115,0))*INDEX(EF!$H$116:$H$131,MATCH(Emissions!$D56,EF!$D$116:$D$131,0))*kgtoGg</f>
        <v>6.850372026366264</v>
      </c>
      <c r="AY56" s="23">
        <f>INDEX('Activity data'!AY$24:AY$39,MATCH(Emissions!$D56,'Activity data'!$D$24:$D$39,0))*INDEX(EF!$H$84:$H$99,MATCH(Emissions!$D56,EF!$D$84:$D$99,0))*INDEX(EF!$H$100:$H$115,MATCH(Emissions!$D56,EF!$D$100:$D$115,0))*INDEX(EF!$H$116:$H$131,MATCH(Emissions!$D56,EF!$D$116:$D$131,0))*kgtoGg</f>
        <v>6.8791328959028935</v>
      </c>
      <c r="AZ56" s="23">
        <f>INDEX('Activity data'!AZ$24:AZ$39,MATCH(Emissions!$D56,'Activity data'!$D$24:$D$39,0))*INDEX(EF!$H$84:$H$99,MATCH(Emissions!$D56,EF!$D$84:$D$99,0))*INDEX(EF!$H$100:$H$115,MATCH(Emissions!$D56,EF!$D$100:$D$115,0))*INDEX(EF!$H$116:$H$131,MATCH(Emissions!$D56,EF!$D$116:$D$131,0))*kgtoGg</f>
        <v>6.9078937654395229</v>
      </c>
      <c r="BA56" s="23">
        <f>INDEX('Activity data'!BA$24:BA$39,MATCH(Emissions!$D56,'Activity data'!$D$24:$D$39,0))*INDEX(EF!$H$84:$H$99,MATCH(Emissions!$D56,EF!$D$84:$D$99,0))*INDEX(EF!$H$100:$H$115,MATCH(Emissions!$D56,EF!$D$100:$D$115,0))*INDEX(EF!$H$116:$H$131,MATCH(Emissions!$D56,EF!$D$116:$D$131,0))*kgtoGg</f>
        <v>6.9366546349761533</v>
      </c>
      <c r="BB56" s="23">
        <f>INDEX('Activity data'!BB$24:BB$39,MATCH(Emissions!$D56,'Activity data'!$D$24:$D$39,0))*INDEX(EF!$H$84:$H$99,MATCH(Emissions!$D56,EF!$D$84:$D$99,0))*INDEX(EF!$H$100:$H$115,MATCH(Emissions!$D56,EF!$D$100:$D$115,0))*INDEX(EF!$H$116:$H$131,MATCH(Emissions!$D56,EF!$D$116:$D$131,0))*kgtoGg</f>
        <v>6.9654155045127837</v>
      </c>
      <c r="BC56" s="23">
        <f>INDEX('Activity data'!BC$24:BC$39,MATCH(Emissions!$D56,'Activity data'!$D$24:$D$39,0))*INDEX(EF!$H$84:$H$99,MATCH(Emissions!$D56,EF!$D$84:$D$99,0))*INDEX(EF!$H$100:$H$115,MATCH(Emissions!$D56,EF!$D$100:$D$115,0))*INDEX(EF!$H$116:$H$131,MATCH(Emissions!$D56,EF!$D$116:$D$131,0))*kgtoGg</f>
        <v>6.9941763740494141</v>
      </c>
      <c r="BD56" s="23">
        <f>INDEX('Activity data'!BD$24:BD$39,MATCH(Emissions!$D56,'Activity data'!$D$24:$D$39,0))*INDEX(EF!$H$84:$H$99,MATCH(Emissions!$D56,EF!$D$84:$D$99,0))*INDEX(EF!$H$100:$H$115,MATCH(Emissions!$D56,EF!$D$100:$D$115,0))*INDEX(EF!$H$116:$H$131,MATCH(Emissions!$D56,EF!$D$116:$D$131,0))*kgtoGg</f>
        <v>7.0229372435860435</v>
      </c>
      <c r="BE56" s="23">
        <f>INDEX('Activity data'!BE$24:BE$39,MATCH(Emissions!$D56,'Activity data'!$D$24:$D$39,0))*INDEX(EF!$H$84:$H$99,MATCH(Emissions!$D56,EF!$D$84:$D$99,0))*INDEX(EF!$H$100:$H$115,MATCH(Emissions!$D56,EF!$D$100:$D$115,0))*INDEX(EF!$H$116:$H$131,MATCH(Emissions!$D56,EF!$D$116:$D$131,0))*kgtoGg</f>
        <v>7.051698113122673</v>
      </c>
      <c r="BF56" s="23">
        <f>INDEX('Activity data'!BF$24:BF$39,MATCH(Emissions!$D56,'Activity data'!$D$24:$D$39,0))*INDEX(EF!$H$84:$H$99,MATCH(Emissions!$D56,EF!$D$84:$D$99,0))*INDEX(EF!$H$100:$H$115,MATCH(Emissions!$D56,EF!$D$100:$D$115,0))*INDEX(EF!$H$116:$H$131,MATCH(Emissions!$D56,EF!$D$116:$D$131,0))*kgtoGg</f>
        <v>7.0804589826593025</v>
      </c>
      <c r="BG56" s="23">
        <f>INDEX('Activity data'!BG$24:BG$39,MATCH(Emissions!$D56,'Activity data'!$D$24:$D$39,0))*INDEX(EF!$H$84:$H$99,MATCH(Emissions!$D56,EF!$D$84:$D$99,0))*INDEX(EF!$H$100:$H$115,MATCH(Emissions!$D56,EF!$D$100:$D$115,0))*INDEX(EF!$H$116:$H$131,MATCH(Emissions!$D56,EF!$D$116:$D$131,0))*kgtoGg</f>
        <v>7.1092198521959329</v>
      </c>
      <c r="BH56" s="23">
        <f>INDEX('Activity data'!BH$24:BH$39,MATCH(Emissions!$D56,'Activity data'!$D$24:$D$39,0))*INDEX(EF!$H$84:$H$99,MATCH(Emissions!$D56,EF!$D$84:$D$99,0))*INDEX(EF!$H$100:$H$115,MATCH(Emissions!$D56,EF!$D$100:$D$115,0))*INDEX(EF!$H$116:$H$131,MATCH(Emissions!$D56,EF!$D$116:$D$131,0))*kgtoGg</f>
        <v>7.1379807217325624</v>
      </c>
      <c r="BI56" s="23">
        <f>INDEX('Activity data'!BI$24:BI$39,MATCH(Emissions!$D56,'Activity data'!$D$24:$D$39,0))*INDEX(EF!$H$84:$H$99,MATCH(Emissions!$D56,EF!$D$84:$D$99,0))*INDEX(EF!$H$100:$H$115,MATCH(Emissions!$D56,EF!$D$100:$D$115,0))*INDEX(EF!$H$116:$H$131,MATCH(Emissions!$D56,EF!$D$116:$D$131,0))*kgtoGg</f>
        <v>7.1667415912691919</v>
      </c>
      <c r="BJ56" s="23">
        <f>INDEX('Activity data'!BJ$24:BJ$39,MATCH(Emissions!$D56,'Activity data'!$D$24:$D$39,0))*INDEX(EF!$H$84:$H$99,MATCH(Emissions!$D56,EF!$D$84:$D$99,0))*INDEX(EF!$H$100:$H$115,MATCH(Emissions!$D56,EF!$D$100:$D$115,0))*INDEX(EF!$H$116:$H$131,MATCH(Emissions!$D56,EF!$D$116:$D$131,0))*kgtoGg</f>
        <v>7.1955024608058222</v>
      </c>
      <c r="BK56" s="23">
        <f>INDEX('Activity data'!BK$24:BK$39,MATCH(Emissions!$D56,'Activity data'!$D$24:$D$39,0))*INDEX(EF!$H$84:$H$99,MATCH(Emissions!$D56,EF!$D$84:$D$99,0))*INDEX(EF!$H$100:$H$115,MATCH(Emissions!$D56,EF!$D$100:$D$115,0))*INDEX(EF!$H$116:$H$131,MATCH(Emissions!$D56,EF!$D$116:$D$131,0))*kgtoGg</f>
        <v>7.2242633303424517</v>
      </c>
      <c r="BL56" s="23">
        <f>INDEX('Activity data'!BL$24:BL$39,MATCH(Emissions!$D56,'Activity data'!$D$24:$D$39,0))*INDEX(EF!$H$84:$H$99,MATCH(Emissions!$D56,EF!$D$84:$D$99,0))*INDEX(EF!$H$100:$H$115,MATCH(Emissions!$D56,EF!$D$100:$D$115,0))*INDEX(EF!$H$116:$H$131,MATCH(Emissions!$D56,EF!$D$116:$D$131,0))*kgtoGg</f>
        <v>7.2530241998790821</v>
      </c>
      <c r="BM56" s="23">
        <f>INDEX('Activity data'!BM$24:BM$39,MATCH(Emissions!$D56,'Activity data'!$D$24:$D$39,0))*INDEX(EF!$H$84:$H$99,MATCH(Emissions!$D56,EF!$D$84:$D$99,0))*INDEX(EF!$H$100:$H$115,MATCH(Emissions!$D56,EF!$D$100:$D$115,0))*INDEX(EF!$H$116:$H$131,MATCH(Emissions!$D56,EF!$D$116:$D$131,0))*kgtoGg</f>
        <v>7.2817850694157116</v>
      </c>
      <c r="BN56" s="23">
        <f>INDEX('Activity data'!BN$24:BN$39,MATCH(Emissions!$D56,'Activity data'!$D$24:$D$39,0))*INDEX(EF!$H$84:$H$99,MATCH(Emissions!$D56,EF!$D$84:$D$99,0))*INDEX(EF!$H$100:$H$115,MATCH(Emissions!$D56,EF!$D$100:$D$115,0))*INDEX(EF!$H$116:$H$131,MATCH(Emissions!$D56,EF!$D$116:$D$131,0))*kgtoGg</f>
        <v>7.3105459389523419</v>
      </c>
      <c r="BO56" s="23">
        <f>INDEX('Activity data'!BO$24:BO$39,MATCH(Emissions!$D56,'Activity data'!$D$24:$D$39,0))*INDEX(EF!$H$84:$H$99,MATCH(Emissions!$D56,EF!$D$84:$D$99,0))*INDEX(EF!$H$100:$H$115,MATCH(Emissions!$D56,EF!$D$100:$D$115,0))*INDEX(EF!$H$116:$H$131,MATCH(Emissions!$D56,EF!$D$116:$D$131,0))*kgtoGg</f>
        <v>7.3393068084889714</v>
      </c>
      <c r="BP56" s="23">
        <f>INDEX('Activity data'!BP$24:BP$39,MATCH(Emissions!$D56,'Activity data'!$D$24:$D$39,0))*INDEX(EF!$H$84:$H$99,MATCH(Emissions!$D56,EF!$D$84:$D$99,0))*INDEX(EF!$H$100:$H$115,MATCH(Emissions!$D56,EF!$D$100:$D$115,0))*INDEX(EF!$H$116:$H$131,MATCH(Emissions!$D56,EF!$D$116:$D$131,0))*kgtoGg</f>
        <v>7.3680676780256018</v>
      </c>
    </row>
    <row r="57" spans="1:68" x14ac:dyDescent="0.25">
      <c r="A57" t="str">
        <f t="shared" si="13"/>
        <v>3C Aggregated and non-CO2 emissions on land</v>
      </c>
      <c r="B57" t="str">
        <f t="shared" si="14"/>
        <v>3C1 Biomass burning (CH4)</v>
      </c>
      <c r="C57" t="str">
        <f t="shared" si="15"/>
        <v>3C1a Biomass burning in forest land</v>
      </c>
      <c r="D57" t="str">
        <f>EF!D87</f>
        <v>Plantations</v>
      </c>
      <c r="E57" t="s">
        <v>728</v>
      </c>
      <c r="F57" t="str">
        <f t="shared" si="16"/>
        <v>CH4</v>
      </c>
      <c r="G57" t="str">
        <f t="shared" si="17"/>
        <v>Gg CH4</v>
      </c>
      <c r="H57" s="23">
        <f>INDEX('Activity data'!H$24:H$39,MATCH(Emissions!$D57,'Activity data'!$D$24:$D$39,0))*INDEX(EF!$H$84:$H$99,MATCH(Emissions!$D57,EF!$D$84:$D$99,0))*INDEX(EF!$H$100:$H$115,MATCH(Emissions!$D57,EF!$D$100:$D$115,0))*INDEX(EF!$H$116:$H$131,MATCH(Emissions!$D57,EF!$D$116:$D$131,0))*kgtoGg</f>
        <v>7.5442559859280678</v>
      </c>
      <c r="I57" s="23">
        <f>INDEX('Activity data'!I$24:I$39,MATCH(Emissions!$D57,'Activity data'!$D$24:$D$39,0))*INDEX(EF!$H$84:$H$99,MATCH(Emissions!$D57,EF!$D$84:$D$99,0))*INDEX(EF!$H$100:$H$115,MATCH(Emissions!$D57,EF!$D$100:$D$115,0))*INDEX(EF!$H$116:$H$131,MATCH(Emissions!$D57,EF!$D$116:$D$131,0))*kgtoGg</f>
        <v>7.5442559859280678</v>
      </c>
      <c r="J57" s="23">
        <f>INDEX('Activity data'!J$24:J$39,MATCH(Emissions!$D57,'Activity data'!$D$24:$D$39,0))*INDEX(EF!$H$84:$H$99,MATCH(Emissions!$D57,EF!$D$84:$D$99,0))*INDEX(EF!$H$100:$H$115,MATCH(Emissions!$D57,EF!$D$100:$D$115,0))*INDEX(EF!$H$116:$H$131,MATCH(Emissions!$D57,EF!$D$116:$D$131,0))*kgtoGg</f>
        <v>7.5442559859280678</v>
      </c>
      <c r="K57" s="23">
        <f>INDEX('Activity data'!K$24:K$39,MATCH(Emissions!$D57,'Activity data'!$D$24:$D$39,0))*INDEX(EF!$H$84:$H$99,MATCH(Emissions!$D57,EF!$D$84:$D$99,0))*INDEX(EF!$H$100:$H$115,MATCH(Emissions!$D57,EF!$D$100:$D$115,0))*INDEX(EF!$H$116:$H$131,MATCH(Emissions!$D57,EF!$D$116:$D$131,0))*kgtoGg</f>
        <v>7.5442559859280678</v>
      </c>
      <c r="L57" s="23">
        <f>INDEX('Activity data'!L$24:L$39,MATCH(Emissions!$D57,'Activity data'!$D$24:$D$39,0))*INDEX(EF!$H$84:$H$99,MATCH(Emissions!$D57,EF!$D$84:$D$99,0))*INDEX(EF!$H$100:$H$115,MATCH(Emissions!$D57,EF!$D$100:$D$115,0))*INDEX(EF!$H$116:$H$131,MATCH(Emissions!$D57,EF!$D$116:$D$131,0))*kgtoGg</f>
        <v>7.5442559859280678</v>
      </c>
      <c r="M57" s="23">
        <f>INDEX('Activity data'!M$24:M$39,MATCH(Emissions!$D57,'Activity data'!$D$24:$D$39,0))*INDEX(EF!$H$84:$H$99,MATCH(Emissions!$D57,EF!$D$84:$D$99,0))*INDEX(EF!$H$100:$H$115,MATCH(Emissions!$D57,EF!$D$100:$D$115,0))*INDEX(EF!$H$116:$H$131,MATCH(Emissions!$D57,EF!$D$116:$D$131,0))*kgtoGg</f>
        <v>7.5442559859280678</v>
      </c>
      <c r="N57" s="23">
        <f>INDEX('Activity data'!N$24:N$39,MATCH(Emissions!$D57,'Activity data'!$D$24:$D$39,0))*INDEX(EF!$H$84:$H$99,MATCH(Emissions!$D57,EF!$D$84:$D$99,0))*INDEX(EF!$H$100:$H$115,MATCH(Emissions!$D57,EF!$D$100:$D$115,0))*INDEX(EF!$H$116:$H$131,MATCH(Emissions!$D57,EF!$D$116:$D$131,0))*kgtoGg</f>
        <v>7.5442559859280678</v>
      </c>
      <c r="O57" s="23">
        <f>INDEX('Activity data'!O$24:O$39,MATCH(Emissions!$D57,'Activity data'!$D$24:$D$39,0))*INDEX(EF!$H$84:$H$99,MATCH(Emissions!$D57,EF!$D$84:$D$99,0))*INDEX(EF!$H$100:$H$115,MATCH(Emissions!$D57,EF!$D$100:$D$115,0))*INDEX(EF!$H$116:$H$131,MATCH(Emissions!$D57,EF!$D$116:$D$131,0))*kgtoGg</f>
        <v>7.5442559859280678</v>
      </c>
      <c r="P57" s="23">
        <f>INDEX('Activity data'!P$24:P$39,MATCH(Emissions!$D57,'Activity data'!$D$24:$D$39,0))*INDEX(EF!$H$84:$H$99,MATCH(Emissions!$D57,EF!$D$84:$D$99,0))*INDEX(EF!$H$100:$H$115,MATCH(Emissions!$D57,EF!$D$100:$D$115,0))*INDEX(EF!$H$116:$H$131,MATCH(Emissions!$D57,EF!$D$116:$D$131,0))*kgtoGg</f>
        <v>7.5442559859280678</v>
      </c>
      <c r="Q57" s="23">
        <f>INDEX('Activity data'!Q$24:Q$39,MATCH(Emissions!$D57,'Activity data'!$D$24:$D$39,0))*INDEX(EF!$H$84:$H$99,MATCH(Emissions!$D57,EF!$D$84:$D$99,0))*INDEX(EF!$H$100:$H$115,MATCH(Emissions!$D57,EF!$D$100:$D$115,0))*INDEX(EF!$H$116:$H$131,MATCH(Emissions!$D57,EF!$D$116:$D$131,0))*kgtoGg</f>
        <v>7.5442559859280678</v>
      </c>
      <c r="R57" s="23">
        <f>INDEX('Activity data'!R$24:R$39,MATCH(Emissions!$D57,'Activity data'!$D$24:$D$39,0))*INDEX(EF!$H$84:$H$99,MATCH(Emissions!$D57,EF!$D$84:$D$99,0))*INDEX(EF!$H$100:$H$115,MATCH(Emissions!$D57,EF!$D$100:$D$115,0))*INDEX(EF!$H$116:$H$131,MATCH(Emissions!$D57,EF!$D$116:$D$131,0))*kgtoGg</f>
        <v>6.8796151958231224</v>
      </c>
      <c r="S57" s="23">
        <f>INDEX('Activity data'!S$24:S$39,MATCH(Emissions!$D57,'Activity data'!$D$24:$D$39,0))*INDEX(EF!$H$84:$H$99,MATCH(Emissions!$D57,EF!$D$84:$D$99,0))*INDEX(EF!$H$100:$H$115,MATCH(Emissions!$D57,EF!$D$100:$D$115,0))*INDEX(EF!$H$116:$H$131,MATCH(Emissions!$D57,EF!$D$116:$D$131,0))*kgtoGg</f>
        <v>8.4683398914687142</v>
      </c>
      <c r="T57" s="23">
        <f>INDEX('Activity data'!T$24:T$39,MATCH(Emissions!$D57,'Activity data'!$D$24:$D$39,0))*INDEX(EF!$H$84:$H$99,MATCH(Emissions!$D57,EF!$D$84:$D$99,0))*INDEX(EF!$H$100:$H$115,MATCH(Emissions!$D57,EF!$D$100:$D$115,0))*INDEX(EF!$H$116:$H$131,MATCH(Emissions!$D57,EF!$D$116:$D$131,0))*kgtoGg</f>
        <v>7.561017760239924</v>
      </c>
      <c r="U57" s="23">
        <f>INDEX('Activity data'!U$24:U$39,MATCH(Emissions!$D57,'Activity data'!$D$24:$D$39,0))*INDEX(EF!$H$84:$H$99,MATCH(Emissions!$D57,EF!$D$84:$D$99,0))*INDEX(EF!$H$100:$H$115,MATCH(Emissions!$D57,EF!$D$100:$D$115,0))*INDEX(EF!$H$116:$H$131,MATCH(Emissions!$D57,EF!$D$116:$D$131,0))*kgtoGg</f>
        <v>8.7780683298399893</v>
      </c>
      <c r="V57" s="23">
        <f>INDEX('Activity data'!V$24:V$39,MATCH(Emissions!$D57,'Activity data'!$D$24:$D$39,0))*INDEX(EF!$H$84:$H$99,MATCH(Emissions!$D57,EF!$D$84:$D$99,0))*INDEX(EF!$H$100:$H$115,MATCH(Emissions!$D57,EF!$D$100:$D$115,0))*INDEX(EF!$H$116:$H$131,MATCH(Emissions!$D57,EF!$D$116:$D$131,0))*kgtoGg</f>
        <v>6.0342387522685863</v>
      </c>
      <c r="W57" s="23">
        <f>INDEX('Activity data'!W$24:W$39,MATCH(Emissions!$D57,'Activity data'!$D$24:$D$39,0))*INDEX(EF!$H$84:$H$99,MATCH(Emissions!$D57,EF!$D$84:$D$99,0))*INDEX(EF!$H$100:$H$115,MATCH(Emissions!$D57,EF!$D$100:$D$115,0))*INDEX(EF!$H$116:$H$131,MATCH(Emissions!$D57,EF!$D$116:$D$131,0))*kgtoGg</f>
        <v>8.8436578814950799</v>
      </c>
      <c r="X57" s="23">
        <f>INDEX('Activity data'!X$24:X$39,MATCH(Emissions!$D57,'Activity data'!$D$24:$D$39,0))*INDEX(EF!$H$84:$H$99,MATCH(Emissions!$D57,EF!$D$84:$D$99,0))*INDEX(EF!$H$100:$H$115,MATCH(Emissions!$D57,EF!$D$100:$D$115,0))*INDEX(EF!$H$116:$H$131,MATCH(Emissions!$D57,EF!$D$116:$D$131,0))*kgtoGg</f>
        <v>6.9124099716506668</v>
      </c>
      <c r="Y57" s="23">
        <f>INDEX('Activity data'!Y$24:Y$39,MATCH(Emissions!$D57,'Activity data'!$D$24:$D$39,0))*INDEX(EF!$H$84:$H$99,MATCH(Emissions!$D57,EF!$D$84:$D$99,0))*INDEX(EF!$H$100:$H$115,MATCH(Emissions!$D57,EF!$D$100:$D$115,0))*INDEX(EF!$H$116:$H$131,MATCH(Emissions!$D57,EF!$D$116:$D$131,0))*kgtoGg</f>
        <v>12.870127580321645</v>
      </c>
      <c r="Z57" s="23">
        <f>INDEX('Activity data'!Z$24:Z$39,MATCH(Emissions!$D57,'Activity data'!$D$24:$D$39,0))*INDEX(EF!$H$84:$H$99,MATCH(Emissions!$D57,EF!$D$84:$D$99,0))*INDEX(EF!$H$100:$H$115,MATCH(Emissions!$D57,EF!$D$100:$D$115,0))*INDEX(EF!$H$116:$H$131,MATCH(Emissions!$D57,EF!$D$116:$D$131,0))*kgtoGg</f>
        <v>8.3152976042734963</v>
      </c>
      <c r="AA57" s="23">
        <f>INDEX('Activity data'!AA$24:AA$39,MATCH(Emissions!$D57,'Activity data'!$D$24:$D$39,0))*INDEX(EF!$H$84:$H$99,MATCH(Emissions!$D57,EF!$D$84:$D$99,0))*INDEX(EF!$H$100:$H$115,MATCH(Emissions!$D57,EF!$D$100:$D$115,0))*INDEX(EF!$H$116:$H$131,MATCH(Emissions!$D57,EF!$D$116:$D$131,0))*kgtoGg</f>
        <v>7.0836715787500779</v>
      </c>
      <c r="AB57" s="23">
        <f>INDEX('Activity data'!AB$24:AB$39,MATCH(Emissions!$D57,'Activity data'!$D$24:$D$39,0))*INDEX(EF!$H$84:$H$99,MATCH(Emissions!$D57,EF!$D$84:$D$99,0))*INDEX(EF!$H$100:$H$115,MATCH(Emissions!$D57,EF!$D$100:$D$115,0))*INDEX(EF!$H$116:$H$131,MATCH(Emissions!$D57,EF!$D$116:$D$131,0))*kgtoGg</f>
        <v>5.9791970448000002</v>
      </c>
      <c r="AC57" s="23">
        <f>INDEX('Activity data'!AC$24:AC$39,MATCH(Emissions!$D57,'Activity data'!$D$24:$D$39,0))*INDEX(EF!$H$84:$H$99,MATCH(Emissions!$D57,EF!$D$84:$D$99,0))*INDEX(EF!$H$100:$H$115,MATCH(Emissions!$D57,EF!$D$100:$D$115,0))*INDEX(EF!$H$116:$H$131,MATCH(Emissions!$D57,EF!$D$116:$D$131,0))*kgtoGg</f>
        <v>6.8024024208</v>
      </c>
      <c r="AD57" s="23">
        <f>INDEX('Activity data'!AD$24:AD$39,MATCH(Emissions!$D57,'Activity data'!$D$24:$D$39,0))*INDEX(EF!$H$84:$H$99,MATCH(Emissions!$D57,EF!$D$84:$D$99,0))*INDEX(EF!$H$100:$H$115,MATCH(Emissions!$D57,EF!$D$100:$D$115,0))*INDEX(EF!$H$116:$H$131,MATCH(Emissions!$D57,EF!$D$116:$D$131,0))*kgtoGg</f>
        <v>6.4469402927999999</v>
      </c>
      <c r="AE57" s="23">
        <f>INDEX('Activity data'!AE$24:AE$39,MATCH(Emissions!$D57,'Activity data'!$D$24:$D$39,0))*INDEX(EF!$H$84:$H$99,MATCH(Emissions!$D57,EF!$D$84:$D$99,0))*INDEX(EF!$H$100:$H$115,MATCH(Emissions!$D57,EF!$D$100:$D$115,0))*INDEX(EF!$H$116:$H$131,MATCH(Emissions!$D57,EF!$D$116:$D$131,0))*kgtoGg</f>
        <v>5.9013535392000014</v>
      </c>
      <c r="AF57" s="23">
        <f>INDEX('Activity data'!AF$24:AF$39,MATCH(Emissions!$D57,'Activity data'!$D$24:$D$39,0))*INDEX(EF!$H$84:$H$99,MATCH(Emissions!$D57,EF!$D$84:$D$99,0))*INDEX(EF!$H$100:$H$115,MATCH(Emissions!$D57,EF!$D$100:$D$115,0))*INDEX(EF!$H$116:$H$131,MATCH(Emissions!$D57,EF!$D$116:$D$131,0))*kgtoGg</f>
        <v>9.4098827088000014</v>
      </c>
      <c r="AG57" s="23">
        <f>INDEX('Activity data'!AG$24:AG$39,MATCH(Emissions!$D57,'Activity data'!$D$24:$D$39,0))*INDEX(EF!$H$84:$H$99,MATCH(Emissions!$D57,EF!$D$84:$D$99,0))*INDEX(EF!$H$100:$H$115,MATCH(Emissions!$D57,EF!$D$100:$D$115,0))*INDEX(EF!$H$116:$H$131,MATCH(Emissions!$D57,EF!$D$116:$D$131,0))*kgtoGg</f>
        <v>6.9998608512000011</v>
      </c>
      <c r="AH57" s="23">
        <f>INDEX('Activity data'!AH$24:AH$39,MATCH(Emissions!$D57,'Activity data'!$D$24:$D$39,0))*INDEX(EF!$H$84:$H$99,MATCH(Emissions!$D57,EF!$D$84:$D$99,0))*INDEX(EF!$H$100:$H$115,MATCH(Emissions!$D57,EF!$D$100:$D$115,0))*INDEX(EF!$H$116:$H$131,MATCH(Emissions!$D57,EF!$D$116:$D$131,0))*kgtoGg</f>
        <v>4.4831719296000001</v>
      </c>
      <c r="AI57" s="23">
        <f>INDEX('Activity data'!AI$24:AI$39,MATCH(Emissions!$D57,'Activity data'!$D$24:$D$39,0))*INDEX(EF!$H$84:$H$99,MATCH(Emissions!$D57,EF!$D$84:$D$99,0))*INDEX(EF!$H$100:$H$115,MATCH(Emissions!$D57,EF!$D$100:$D$115,0))*INDEX(EF!$H$116:$H$131,MATCH(Emissions!$D57,EF!$D$116:$D$131,0))*kgtoGg</f>
        <v>4.3519451472000004</v>
      </c>
      <c r="AJ57" s="23">
        <f>INDEX('Activity data'!AJ$24:AJ$39,MATCH(Emissions!$D57,'Activity data'!$D$24:$D$39,0))*INDEX(EF!$H$84:$H$99,MATCH(Emissions!$D57,EF!$D$84:$D$99,0))*INDEX(EF!$H$100:$H$115,MATCH(Emissions!$D57,EF!$D$100:$D$115,0))*INDEX(EF!$H$116:$H$131,MATCH(Emissions!$D57,EF!$D$116:$D$131,0))*kgtoGg</f>
        <v>4.4484988524282043</v>
      </c>
      <c r="AK57" s="23">
        <f>INDEX('Activity data'!AK$24:AK$39,MATCH(Emissions!$D57,'Activity data'!$D$24:$D$39,0))*INDEX(EF!$H$84:$H$99,MATCH(Emissions!$D57,EF!$D$84:$D$99,0))*INDEX(EF!$H$100:$H$115,MATCH(Emissions!$D57,EF!$D$100:$D$115,0))*INDEX(EF!$H$116:$H$131,MATCH(Emissions!$D57,EF!$D$116:$D$131,0))*kgtoGg</f>
        <v>4.4734254397126874</v>
      </c>
      <c r="AL57" s="23">
        <f>INDEX('Activity data'!AL$24:AL$39,MATCH(Emissions!$D57,'Activity data'!$D$24:$D$39,0))*INDEX(EF!$H$84:$H$99,MATCH(Emissions!$D57,EF!$D$84:$D$99,0))*INDEX(EF!$H$100:$H$115,MATCH(Emissions!$D57,EF!$D$100:$D$115,0))*INDEX(EF!$H$116:$H$131,MATCH(Emissions!$D57,EF!$D$116:$D$131,0))*kgtoGg</f>
        <v>4.4983520269971713</v>
      </c>
      <c r="AM57" s="23">
        <f>INDEX('Activity data'!AM$24:AM$39,MATCH(Emissions!$D57,'Activity data'!$D$24:$D$39,0))*INDEX(EF!$H$84:$H$99,MATCH(Emissions!$D57,EF!$D$84:$D$99,0))*INDEX(EF!$H$100:$H$115,MATCH(Emissions!$D57,EF!$D$100:$D$115,0))*INDEX(EF!$H$116:$H$131,MATCH(Emissions!$D57,EF!$D$116:$D$131,0))*kgtoGg</f>
        <v>4.5232786142816543</v>
      </c>
      <c r="AN57" s="23">
        <f>INDEX('Activity data'!AN$24:AN$39,MATCH(Emissions!$D57,'Activity data'!$D$24:$D$39,0))*INDEX(EF!$H$84:$H$99,MATCH(Emissions!$D57,EF!$D$84:$D$99,0))*INDEX(EF!$H$100:$H$115,MATCH(Emissions!$D57,EF!$D$100:$D$115,0))*INDEX(EF!$H$116:$H$131,MATCH(Emissions!$D57,EF!$D$116:$D$131,0))*kgtoGg</f>
        <v>4.5482052015661392</v>
      </c>
      <c r="AO57" s="23">
        <f>INDEX('Activity data'!AO$24:AO$39,MATCH(Emissions!$D57,'Activity data'!$D$24:$D$39,0))*INDEX(EF!$H$84:$H$99,MATCH(Emissions!$D57,EF!$D$84:$D$99,0))*INDEX(EF!$H$100:$H$115,MATCH(Emissions!$D57,EF!$D$100:$D$115,0))*INDEX(EF!$H$116:$H$131,MATCH(Emissions!$D57,EF!$D$116:$D$131,0))*kgtoGg</f>
        <v>4.5731317888506222</v>
      </c>
      <c r="AP57" s="23">
        <f>INDEX('Activity data'!AP$24:AP$39,MATCH(Emissions!$D57,'Activity data'!$D$24:$D$39,0))*INDEX(EF!$H$84:$H$99,MATCH(Emissions!$D57,EF!$D$84:$D$99,0))*INDEX(EF!$H$100:$H$115,MATCH(Emissions!$D57,EF!$D$100:$D$115,0))*INDEX(EF!$H$116:$H$131,MATCH(Emissions!$D57,EF!$D$116:$D$131,0))*kgtoGg</f>
        <v>4.5980583761351062</v>
      </c>
      <c r="AQ57" s="23">
        <f>INDEX('Activity data'!AQ$24:AQ$39,MATCH(Emissions!$D57,'Activity data'!$D$24:$D$39,0))*INDEX(EF!$H$84:$H$99,MATCH(Emissions!$D57,EF!$D$84:$D$99,0))*INDEX(EF!$H$100:$H$115,MATCH(Emissions!$D57,EF!$D$100:$D$115,0))*INDEX(EF!$H$116:$H$131,MATCH(Emissions!$D57,EF!$D$116:$D$131,0))*kgtoGg</f>
        <v>4.6229849634195901</v>
      </c>
      <c r="AR57" s="23">
        <f>INDEX('Activity data'!AR$24:AR$39,MATCH(Emissions!$D57,'Activity data'!$D$24:$D$39,0))*INDEX(EF!$H$84:$H$99,MATCH(Emissions!$D57,EF!$D$84:$D$99,0))*INDEX(EF!$H$100:$H$115,MATCH(Emissions!$D57,EF!$D$100:$D$115,0))*INDEX(EF!$H$116:$H$131,MATCH(Emissions!$D57,EF!$D$116:$D$131,0))*kgtoGg</f>
        <v>4.6479115507040731</v>
      </c>
      <c r="AS57" s="23">
        <f>INDEX('Activity data'!AS$24:AS$39,MATCH(Emissions!$D57,'Activity data'!$D$24:$D$39,0))*INDEX(EF!$H$84:$H$99,MATCH(Emissions!$D57,EF!$D$84:$D$99,0))*INDEX(EF!$H$100:$H$115,MATCH(Emissions!$D57,EF!$D$100:$D$115,0))*INDEX(EF!$H$116:$H$131,MATCH(Emissions!$D57,EF!$D$116:$D$131,0))*kgtoGg</f>
        <v>4.6728381379885571</v>
      </c>
      <c r="AT57" s="23">
        <f>INDEX('Activity data'!AT$24:AT$39,MATCH(Emissions!$D57,'Activity data'!$D$24:$D$39,0))*INDEX(EF!$H$84:$H$99,MATCH(Emissions!$D57,EF!$D$84:$D$99,0))*INDEX(EF!$H$100:$H$115,MATCH(Emissions!$D57,EF!$D$100:$D$115,0))*INDEX(EF!$H$116:$H$131,MATCH(Emissions!$D57,EF!$D$116:$D$131,0))*kgtoGg</f>
        <v>4.697764725273041</v>
      </c>
      <c r="AU57" s="23">
        <f>INDEX('Activity data'!AU$24:AU$39,MATCH(Emissions!$D57,'Activity data'!$D$24:$D$39,0))*INDEX(EF!$H$84:$H$99,MATCH(Emissions!$D57,EF!$D$84:$D$99,0))*INDEX(EF!$H$100:$H$115,MATCH(Emissions!$D57,EF!$D$100:$D$115,0))*INDEX(EF!$H$116:$H$131,MATCH(Emissions!$D57,EF!$D$116:$D$131,0))*kgtoGg</f>
        <v>4.7226913125575241</v>
      </c>
      <c r="AV57" s="23">
        <f>INDEX('Activity data'!AV$24:AV$39,MATCH(Emissions!$D57,'Activity data'!$D$24:$D$39,0))*INDEX(EF!$H$84:$H$99,MATCH(Emissions!$D57,EF!$D$84:$D$99,0))*INDEX(EF!$H$100:$H$115,MATCH(Emissions!$D57,EF!$D$100:$D$115,0))*INDEX(EF!$H$116:$H$131,MATCH(Emissions!$D57,EF!$D$116:$D$131,0))*kgtoGg</f>
        <v>4.747617899842008</v>
      </c>
      <c r="AW57" s="23">
        <f>INDEX('Activity data'!AW$24:AW$39,MATCH(Emissions!$D57,'Activity data'!$D$24:$D$39,0))*INDEX(EF!$H$84:$H$99,MATCH(Emissions!$D57,EF!$D$84:$D$99,0))*INDEX(EF!$H$100:$H$115,MATCH(Emissions!$D57,EF!$D$100:$D$115,0))*INDEX(EF!$H$116:$H$131,MATCH(Emissions!$D57,EF!$D$116:$D$131,0))*kgtoGg</f>
        <v>4.7725444871264919</v>
      </c>
      <c r="AX57" s="23">
        <f>INDEX('Activity data'!AX$24:AX$39,MATCH(Emissions!$D57,'Activity data'!$D$24:$D$39,0))*INDEX(EF!$H$84:$H$99,MATCH(Emissions!$D57,EF!$D$84:$D$99,0))*INDEX(EF!$H$100:$H$115,MATCH(Emissions!$D57,EF!$D$100:$D$115,0))*INDEX(EF!$H$116:$H$131,MATCH(Emissions!$D57,EF!$D$116:$D$131,0))*kgtoGg</f>
        <v>4.7974710744109759</v>
      </c>
      <c r="AY57" s="23">
        <f>INDEX('Activity data'!AY$24:AY$39,MATCH(Emissions!$D57,'Activity data'!$D$24:$D$39,0))*INDEX(EF!$H$84:$H$99,MATCH(Emissions!$D57,EF!$D$84:$D$99,0))*INDEX(EF!$H$100:$H$115,MATCH(Emissions!$D57,EF!$D$100:$D$115,0))*INDEX(EF!$H$116:$H$131,MATCH(Emissions!$D57,EF!$D$116:$D$131,0))*kgtoGg</f>
        <v>4.8223976616954589</v>
      </c>
      <c r="AZ57" s="23">
        <f>INDEX('Activity data'!AZ$24:AZ$39,MATCH(Emissions!$D57,'Activity data'!$D$24:$D$39,0))*INDEX(EF!$H$84:$H$99,MATCH(Emissions!$D57,EF!$D$84:$D$99,0))*INDEX(EF!$H$100:$H$115,MATCH(Emissions!$D57,EF!$D$100:$D$115,0))*INDEX(EF!$H$116:$H$131,MATCH(Emissions!$D57,EF!$D$116:$D$131,0))*kgtoGg</f>
        <v>4.8473242489799429</v>
      </c>
      <c r="BA57" s="23">
        <f>INDEX('Activity data'!BA$24:BA$39,MATCH(Emissions!$D57,'Activity data'!$D$24:$D$39,0))*INDEX(EF!$H$84:$H$99,MATCH(Emissions!$D57,EF!$D$84:$D$99,0))*INDEX(EF!$H$100:$H$115,MATCH(Emissions!$D57,EF!$D$100:$D$115,0))*INDEX(EF!$H$116:$H$131,MATCH(Emissions!$D57,EF!$D$116:$D$131,0))*kgtoGg</f>
        <v>4.8722508362644268</v>
      </c>
      <c r="BB57" s="23">
        <f>INDEX('Activity data'!BB$24:BB$39,MATCH(Emissions!$D57,'Activity data'!$D$24:$D$39,0))*INDEX(EF!$H$84:$H$99,MATCH(Emissions!$D57,EF!$D$84:$D$99,0))*INDEX(EF!$H$100:$H$115,MATCH(Emissions!$D57,EF!$D$100:$D$115,0))*INDEX(EF!$H$116:$H$131,MATCH(Emissions!$D57,EF!$D$116:$D$131,0))*kgtoGg</f>
        <v>4.8971774235489098</v>
      </c>
      <c r="BC57" s="23">
        <f>INDEX('Activity data'!BC$24:BC$39,MATCH(Emissions!$D57,'Activity data'!$D$24:$D$39,0))*INDEX(EF!$H$84:$H$99,MATCH(Emissions!$D57,EF!$D$84:$D$99,0))*INDEX(EF!$H$100:$H$115,MATCH(Emissions!$D57,EF!$D$100:$D$115,0))*INDEX(EF!$H$116:$H$131,MATCH(Emissions!$D57,EF!$D$116:$D$131,0))*kgtoGg</f>
        <v>4.9221040108333947</v>
      </c>
      <c r="BD57" s="23">
        <f>INDEX('Activity data'!BD$24:BD$39,MATCH(Emissions!$D57,'Activity data'!$D$24:$D$39,0))*INDEX(EF!$H$84:$H$99,MATCH(Emissions!$D57,EF!$D$84:$D$99,0))*INDEX(EF!$H$100:$H$115,MATCH(Emissions!$D57,EF!$D$100:$D$115,0))*INDEX(EF!$H$116:$H$131,MATCH(Emissions!$D57,EF!$D$116:$D$131,0))*kgtoGg</f>
        <v>4.9470305981178777</v>
      </c>
      <c r="BE57" s="23">
        <f>INDEX('Activity data'!BE$24:BE$39,MATCH(Emissions!$D57,'Activity data'!$D$24:$D$39,0))*INDEX(EF!$H$84:$H$99,MATCH(Emissions!$D57,EF!$D$84:$D$99,0))*INDEX(EF!$H$100:$H$115,MATCH(Emissions!$D57,EF!$D$100:$D$115,0))*INDEX(EF!$H$116:$H$131,MATCH(Emissions!$D57,EF!$D$116:$D$131,0))*kgtoGg</f>
        <v>4.9719571854023608</v>
      </c>
      <c r="BF57" s="23">
        <f>INDEX('Activity data'!BF$24:BF$39,MATCH(Emissions!$D57,'Activity data'!$D$24:$D$39,0))*INDEX(EF!$H$84:$H$99,MATCH(Emissions!$D57,EF!$D$84:$D$99,0))*INDEX(EF!$H$100:$H$115,MATCH(Emissions!$D57,EF!$D$100:$D$115,0))*INDEX(EF!$H$116:$H$131,MATCH(Emissions!$D57,EF!$D$116:$D$131,0))*kgtoGg</f>
        <v>4.9968837726868447</v>
      </c>
      <c r="BG57" s="23">
        <f>INDEX('Activity data'!BG$24:BG$39,MATCH(Emissions!$D57,'Activity data'!$D$24:$D$39,0))*INDEX(EF!$H$84:$H$99,MATCH(Emissions!$D57,EF!$D$84:$D$99,0))*INDEX(EF!$H$100:$H$115,MATCH(Emissions!$D57,EF!$D$100:$D$115,0))*INDEX(EF!$H$116:$H$131,MATCH(Emissions!$D57,EF!$D$116:$D$131,0))*kgtoGg</f>
        <v>5.0218103599713286</v>
      </c>
      <c r="BH57" s="23">
        <f>INDEX('Activity data'!BH$24:BH$39,MATCH(Emissions!$D57,'Activity data'!$D$24:$D$39,0))*INDEX(EF!$H$84:$H$99,MATCH(Emissions!$D57,EF!$D$84:$D$99,0))*INDEX(EF!$H$100:$H$115,MATCH(Emissions!$D57,EF!$D$100:$D$115,0))*INDEX(EF!$H$116:$H$131,MATCH(Emissions!$D57,EF!$D$116:$D$131,0))*kgtoGg</f>
        <v>5.0467369472558126</v>
      </c>
      <c r="BI57" s="23">
        <f>INDEX('Activity data'!BI$24:BI$39,MATCH(Emissions!$D57,'Activity data'!$D$24:$D$39,0))*INDEX(EF!$H$84:$H$99,MATCH(Emissions!$D57,EF!$D$84:$D$99,0))*INDEX(EF!$H$100:$H$115,MATCH(Emissions!$D57,EF!$D$100:$D$115,0))*INDEX(EF!$H$116:$H$131,MATCH(Emissions!$D57,EF!$D$116:$D$131,0))*kgtoGg</f>
        <v>5.0716635345402956</v>
      </c>
      <c r="BJ57" s="23">
        <f>INDEX('Activity data'!BJ$24:BJ$39,MATCH(Emissions!$D57,'Activity data'!$D$24:$D$39,0))*INDEX(EF!$H$84:$H$99,MATCH(Emissions!$D57,EF!$D$84:$D$99,0))*INDEX(EF!$H$100:$H$115,MATCH(Emissions!$D57,EF!$D$100:$D$115,0))*INDEX(EF!$H$116:$H$131,MATCH(Emissions!$D57,EF!$D$116:$D$131,0))*kgtoGg</f>
        <v>5.0965901218247796</v>
      </c>
      <c r="BK57" s="23">
        <f>INDEX('Activity data'!BK$24:BK$39,MATCH(Emissions!$D57,'Activity data'!$D$24:$D$39,0))*INDEX(EF!$H$84:$H$99,MATCH(Emissions!$D57,EF!$D$84:$D$99,0))*INDEX(EF!$H$100:$H$115,MATCH(Emissions!$D57,EF!$D$100:$D$115,0))*INDEX(EF!$H$116:$H$131,MATCH(Emissions!$D57,EF!$D$116:$D$131,0))*kgtoGg</f>
        <v>5.1215167091092635</v>
      </c>
      <c r="BL57" s="23">
        <f>INDEX('Activity data'!BL$24:BL$39,MATCH(Emissions!$D57,'Activity data'!$D$24:$D$39,0))*INDEX(EF!$H$84:$H$99,MATCH(Emissions!$D57,EF!$D$84:$D$99,0))*INDEX(EF!$H$100:$H$115,MATCH(Emissions!$D57,EF!$D$100:$D$115,0))*INDEX(EF!$H$116:$H$131,MATCH(Emissions!$D57,EF!$D$116:$D$131,0))*kgtoGg</f>
        <v>5.1464432963937474</v>
      </c>
      <c r="BM57" s="23">
        <f>INDEX('Activity data'!BM$24:BM$39,MATCH(Emissions!$D57,'Activity data'!$D$24:$D$39,0))*INDEX(EF!$H$84:$H$99,MATCH(Emissions!$D57,EF!$D$84:$D$99,0))*INDEX(EF!$H$100:$H$115,MATCH(Emissions!$D57,EF!$D$100:$D$115,0))*INDEX(EF!$H$116:$H$131,MATCH(Emissions!$D57,EF!$D$116:$D$131,0))*kgtoGg</f>
        <v>5.1713698836782305</v>
      </c>
      <c r="BN57" s="23">
        <f>INDEX('Activity data'!BN$24:BN$39,MATCH(Emissions!$D57,'Activity data'!$D$24:$D$39,0))*INDEX(EF!$H$84:$H$99,MATCH(Emissions!$D57,EF!$D$84:$D$99,0))*INDEX(EF!$H$100:$H$115,MATCH(Emissions!$D57,EF!$D$100:$D$115,0))*INDEX(EF!$H$116:$H$131,MATCH(Emissions!$D57,EF!$D$116:$D$131,0))*kgtoGg</f>
        <v>5.1962964709627144</v>
      </c>
      <c r="BO57" s="23">
        <f>INDEX('Activity data'!BO$24:BO$39,MATCH(Emissions!$D57,'Activity data'!$D$24:$D$39,0))*INDEX(EF!$H$84:$H$99,MATCH(Emissions!$D57,EF!$D$84:$D$99,0))*INDEX(EF!$H$100:$H$115,MATCH(Emissions!$D57,EF!$D$100:$D$115,0))*INDEX(EF!$H$116:$H$131,MATCH(Emissions!$D57,EF!$D$116:$D$131,0))*kgtoGg</f>
        <v>5.2212230582471983</v>
      </c>
      <c r="BP57" s="23">
        <f>INDEX('Activity data'!BP$24:BP$39,MATCH(Emissions!$D57,'Activity data'!$D$24:$D$39,0))*INDEX(EF!$H$84:$H$99,MATCH(Emissions!$D57,EF!$D$84:$D$99,0))*INDEX(EF!$H$100:$H$115,MATCH(Emissions!$D57,EF!$D$100:$D$115,0))*INDEX(EF!$H$116:$H$131,MATCH(Emissions!$D57,EF!$D$116:$D$131,0))*kgtoGg</f>
        <v>5.2461496455316823</v>
      </c>
    </row>
    <row r="58" spans="1:68" x14ac:dyDescent="0.25">
      <c r="A58" t="str">
        <f t="shared" si="13"/>
        <v>3C Aggregated and non-CO2 emissions on land</v>
      </c>
      <c r="B58" t="str">
        <f t="shared" si="14"/>
        <v>3C1 Biomass burning (CH4)</v>
      </c>
      <c r="C58" t="str">
        <f>'IPCC Categories'!C60</f>
        <v>3C1b Biomass burning in Croplands</v>
      </c>
      <c r="D58" t="str">
        <f>EF!D88</f>
        <v>Annual non-pivot</v>
      </c>
      <c r="E58" t="s">
        <v>729</v>
      </c>
      <c r="F58" t="str">
        <f t="shared" si="16"/>
        <v>CH4</v>
      </c>
      <c r="G58" t="str">
        <f t="shared" si="17"/>
        <v>Gg CH4</v>
      </c>
      <c r="H58" s="23">
        <f>INDEX('Activity data'!H$24:H$39,MATCH(Emissions!$D58,'Activity data'!$D$24:$D$39,0))*INDEX(EF!$H$84:$H$99,MATCH(Emissions!$D58,EF!$D$84:$D$99,0))*INDEX(EF!$H$100:$H$115,MATCH(Emissions!$D58,EF!$D$100:$D$115,0))*INDEX(EF!$H$116:$H$131,MATCH(Emissions!$D58,EF!$D$116:$D$131,0))*kgtoGg</f>
        <v>0.56789038673711778</v>
      </c>
      <c r="I58" s="23">
        <f>INDEX('Activity data'!I$24:I$39,MATCH(Emissions!$D58,'Activity data'!$D$24:$D$39,0))*INDEX(EF!$H$84:$H$99,MATCH(Emissions!$D58,EF!$D$84:$D$99,0))*INDEX(EF!$H$100:$H$115,MATCH(Emissions!$D58,EF!$D$100:$D$115,0))*INDEX(EF!$H$116:$H$131,MATCH(Emissions!$D58,EF!$D$116:$D$131,0))*kgtoGg</f>
        <v>0.56789038673711778</v>
      </c>
      <c r="J58" s="23">
        <f>INDEX('Activity data'!J$24:J$39,MATCH(Emissions!$D58,'Activity data'!$D$24:$D$39,0))*INDEX(EF!$H$84:$H$99,MATCH(Emissions!$D58,EF!$D$84:$D$99,0))*INDEX(EF!$H$100:$H$115,MATCH(Emissions!$D58,EF!$D$100:$D$115,0))*INDEX(EF!$H$116:$H$131,MATCH(Emissions!$D58,EF!$D$116:$D$131,0))*kgtoGg</f>
        <v>0.56789038673711778</v>
      </c>
      <c r="K58" s="23">
        <f>INDEX('Activity data'!K$24:K$39,MATCH(Emissions!$D58,'Activity data'!$D$24:$D$39,0))*INDEX(EF!$H$84:$H$99,MATCH(Emissions!$D58,EF!$D$84:$D$99,0))*INDEX(EF!$H$100:$H$115,MATCH(Emissions!$D58,EF!$D$100:$D$115,0))*INDEX(EF!$H$116:$H$131,MATCH(Emissions!$D58,EF!$D$116:$D$131,0))*kgtoGg</f>
        <v>0.56789038673711778</v>
      </c>
      <c r="L58" s="23">
        <f>INDEX('Activity data'!L$24:L$39,MATCH(Emissions!$D58,'Activity data'!$D$24:$D$39,0))*INDEX(EF!$H$84:$H$99,MATCH(Emissions!$D58,EF!$D$84:$D$99,0))*INDEX(EF!$H$100:$H$115,MATCH(Emissions!$D58,EF!$D$100:$D$115,0))*INDEX(EF!$H$116:$H$131,MATCH(Emissions!$D58,EF!$D$116:$D$131,0))*kgtoGg</f>
        <v>0.56789038673711778</v>
      </c>
      <c r="M58" s="23">
        <f>INDEX('Activity data'!M$24:M$39,MATCH(Emissions!$D58,'Activity data'!$D$24:$D$39,0))*INDEX(EF!$H$84:$H$99,MATCH(Emissions!$D58,EF!$D$84:$D$99,0))*INDEX(EF!$H$100:$H$115,MATCH(Emissions!$D58,EF!$D$100:$D$115,0))*INDEX(EF!$H$116:$H$131,MATCH(Emissions!$D58,EF!$D$116:$D$131,0))*kgtoGg</f>
        <v>0.56789038673711778</v>
      </c>
      <c r="N58" s="23">
        <f>INDEX('Activity data'!N$24:N$39,MATCH(Emissions!$D58,'Activity data'!$D$24:$D$39,0))*INDEX(EF!$H$84:$H$99,MATCH(Emissions!$D58,EF!$D$84:$D$99,0))*INDEX(EF!$H$100:$H$115,MATCH(Emissions!$D58,EF!$D$100:$D$115,0))*INDEX(EF!$H$116:$H$131,MATCH(Emissions!$D58,EF!$D$116:$D$131,0))*kgtoGg</f>
        <v>0.56789038673711778</v>
      </c>
      <c r="O58" s="23">
        <f>INDEX('Activity data'!O$24:O$39,MATCH(Emissions!$D58,'Activity data'!$D$24:$D$39,0))*INDEX(EF!$H$84:$H$99,MATCH(Emissions!$D58,EF!$D$84:$D$99,0))*INDEX(EF!$H$100:$H$115,MATCH(Emissions!$D58,EF!$D$100:$D$115,0))*INDEX(EF!$H$116:$H$131,MATCH(Emissions!$D58,EF!$D$116:$D$131,0))*kgtoGg</f>
        <v>0.56789038673711778</v>
      </c>
      <c r="P58" s="23">
        <f>INDEX('Activity data'!P$24:P$39,MATCH(Emissions!$D58,'Activity data'!$D$24:$D$39,0))*INDEX(EF!$H$84:$H$99,MATCH(Emissions!$D58,EF!$D$84:$D$99,0))*INDEX(EF!$H$100:$H$115,MATCH(Emissions!$D58,EF!$D$100:$D$115,0))*INDEX(EF!$H$116:$H$131,MATCH(Emissions!$D58,EF!$D$116:$D$131,0))*kgtoGg</f>
        <v>0.56789038673711778</v>
      </c>
      <c r="Q58" s="23">
        <f>INDEX('Activity data'!Q$24:Q$39,MATCH(Emissions!$D58,'Activity data'!$D$24:$D$39,0))*INDEX(EF!$H$84:$H$99,MATCH(Emissions!$D58,EF!$D$84:$D$99,0))*INDEX(EF!$H$100:$H$115,MATCH(Emissions!$D58,EF!$D$100:$D$115,0))*INDEX(EF!$H$116:$H$131,MATCH(Emissions!$D58,EF!$D$116:$D$131,0))*kgtoGg</f>
        <v>0.56789038673711778</v>
      </c>
      <c r="R58" s="23">
        <f>INDEX('Activity data'!R$24:R$39,MATCH(Emissions!$D58,'Activity data'!$D$24:$D$39,0))*INDEX(EF!$H$84:$H$99,MATCH(Emissions!$D58,EF!$D$84:$D$99,0))*INDEX(EF!$H$100:$H$115,MATCH(Emissions!$D58,EF!$D$100:$D$115,0))*INDEX(EF!$H$116:$H$131,MATCH(Emissions!$D58,EF!$D$116:$D$131,0))*kgtoGg</f>
        <v>0.57739738292116727</v>
      </c>
      <c r="S58" s="23">
        <f>INDEX('Activity data'!S$24:S$39,MATCH(Emissions!$D58,'Activity data'!$D$24:$D$39,0))*INDEX(EF!$H$84:$H$99,MATCH(Emissions!$D58,EF!$D$84:$D$99,0))*INDEX(EF!$H$100:$H$115,MATCH(Emissions!$D58,EF!$D$100:$D$115,0))*INDEX(EF!$H$116:$H$131,MATCH(Emissions!$D58,EF!$D$116:$D$131,0))*kgtoGg</f>
        <v>0.45049206688637894</v>
      </c>
      <c r="T58" s="23">
        <f>INDEX('Activity data'!T$24:T$39,MATCH(Emissions!$D58,'Activity data'!$D$24:$D$39,0))*INDEX(EF!$H$84:$H$99,MATCH(Emissions!$D58,EF!$D$84:$D$99,0))*INDEX(EF!$H$100:$H$115,MATCH(Emissions!$D58,EF!$D$100:$D$115,0))*INDEX(EF!$H$116:$H$131,MATCH(Emissions!$D58,EF!$D$116:$D$131,0))*kgtoGg</f>
        <v>0.58568329702653155</v>
      </c>
      <c r="U58" s="23">
        <f>INDEX('Activity data'!U$24:U$39,MATCH(Emissions!$D58,'Activity data'!$D$24:$D$39,0))*INDEX(EF!$H$84:$H$99,MATCH(Emissions!$D58,EF!$D$84:$D$99,0))*INDEX(EF!$H$100:$H$115,MATCH(Emissions!$D58,EF!$D$100:$D$115,0))*INDEX(EF!$H$116:$H$131,MATCH(Emissions!$D58,EF!$D$116:$D$131,0))*kgtoGg</f>
        <v>0.54250932353016013</v>
      </c>
      <c r="V58" s="23">
        <f>INDEX('Activity data'!V$24:V$39,MATCH(Emissions!$D58,'Activity data'!$D$24:$D$39,0))*INDEX(EF!$H$84:$H$99,MATCH(Emissions!$D58,EF!$D$84:$D$99,0))*INDEX(EF!$H$100:$H$115,MATCH(Emissions!$D58,EF!$D$100:$D$115,0))*INDEX(EF!$H$116:$H$131,MATCH(Emissions!$D58,EF!$D$116:$D$131,0))*kgtoGg</f>
        <v>0.68336986332135119</v>
      </c>
      <c r="W58" s="23">
        <f>INDEX('Activity data'!W$24:W$39,MATCH(Emissions!$D58,'Activity data'!$D$24:$D$39,0))*INDEX(EF!$H$84:$H$99,MATCH(Emissions!$D58,EF!$D$84:$D$99,0))*INDEX(EF!$H$100:$H$115,MATCH(Emissions!$D58,EF!$D$100:$D$115,0))*INDEX(EF!$H$116:$H$131,MATCH(Emissions!$D58,EF!$D$116:$D$131,0))*kgtoGg</f>
        <v>0.75052937764903993</v>
      </c>
      <c r="X58" s="23">
        <f>INDEX('Activity data'!X$24:X$39,MATCH(Emissions!$D58,'Activity data'!$D$24:$D$39,0))*INDEX(EF!$H$84:$H$99,MATCH(Emissions!$D58,EF!$D$84:$D$99,0))*INDEX(EF!$H$100:$H$115,MATCH(Emissions!$D58,EF!$D$100:$D$115,0))*INDEX(EF!$H$116:$H$131,MATCH(Emissions!$D58,EF!$D$116:$D$131,0))*kgtoGg</f>
        <v>0.5625699576799893</v>
      </c>
      <c r="Y58" s="23">
        <f>INDEX('Activity data'!Y$24:Y$39,MATCH(Emissions!$D58,'Activity data'!$D$24:$D$39,0))*INDEX(EF!$H$84:$H$99,MATCH(Emissions!$D58,EF!$D$84:$D$99,0))*INDEX(EF!$H$100:$H$115,MATCH(Emissions!$D58,EF!$D$100:$D$115,0))*INDEX(EF!$H$116:$H$131,MATCH(Emissions!$D58,EF!$D$116:$D$131,0))*kgtoGg</f>
        <v>0.56431436064953955</v>
      </c>
      <c r="Z58" s="23">
        <f>INDEX('Activity data'!Z$24:Z$39,MATCH(Emissions!$D58,'Activity data'!$D$24:$D$39,0))*INDEX(EF!$H$84:$H$99,MATCH(Emissions!$D58,EF!$D$84:$D$99,0))*INDEX(EF!$H$100:$H$115,MATCH(Emissions!$D58,EF!$D$100:$D$115,0))*INDEX(EF!$H$116:$H$131,MATCH(Emissions!$D58,EF!$D$116:$D$131,0))*kgtoGg</f>
        <v>0.39859607854225587</v>
      </c>
      <c r="AA58" s="23">
        <f>INDEX('Activity data'!AA$24:AA$39,MATCH(Emissions!$D58,'Activity data'!$D$24:$D$39,0))*INDEX(EF!$H$84:$H$99,MATCH(Emissions!$D58,EF!$D$84:$D$99,0))*INDEX(EF!$H$100:$H$115,MATCH(Emissions!$D58,EF!$D$100:$D$115,0))*INDEX(EF!$H$116:$H$131,MATCH(Emissions!$D58,EF!$D$116:$D$131,0))*kgtoGg</f>
        <v>0.41385960452582149</v>
      </c>
      <c r="AB58" s="23">
        <f>INDEX('Activity data'!AB$24:AB$39,MATCH(Emissions!$D58,'Activity data'!$D$24:$D$39,0))*INDEX(EF!$H$84:$H$99,MATCH(Emissions!$D58,EF!$D$84:$D$99,0))*INDEX(EF!$H$100:$H$115,MATCH(Emissions!$D58,EF!$D$100:$D$115,0))*INDEX(EF!$H$116:$H$131,MATCH(Emissions!$D58,EF!$D$116:$D$131,0))*kgtoGg</f>
        <v>0.58478679</v>
      </c>
      <c r="AC58" s="23">
        <f>INDEX('Activity data'!AC$24:AC$39,MATCH(Emissions!$D58,'Activity data'!$D$24:$D$39,0))*INDEX(EF!$H$84:$H$99,MATCH(Emissions!$D58,EF!$D$84:$D$99,0))*INDEX(EF!$H$100:$H$115,MATCH(Emissions!$D58,EF!$D$100:$D$115,0))*INDEX(EF!$H$116:$H$131,MATCH(Emissions!$D58,EF!$D$116:$D$131,0))*kgtoGg</f>
        <v>0.584370045</v>
      </c>
      <c r="AD58" s="23">
        <f>INDEX('Activity data'!AD$24:AD$39,MATCH(Emissions!$D58,'Activity data'!$D$24:$D$39,0))*INDEX(EF!$H$84:$H$99,MATCH(Emissions!$D58,EF!$D$84:$D$99,0))*INDEX(EF!$H$100:$H$115,MATCH(Emissions!$D58,EF!$D$100:$D$115,0))*INDEX(EF!$H$116:$H$131,MATCH(Emissions!$D58,EF!$D$116:$D$131,0))*kgtoGg</f>
        <v>0.58181174099999999</v>
      </c>
      <c r="AE58" s="23">
        <f>INDEX('Activity data'!AE$24:AE$39,MATCH(Emissions!$D58,'Activity data'!$D$24:$D$39,0))*INDEX(EF!$H$84:$H$99,MATCH(Emissions!$D58,EF!$D$84:$D$99,0))*INDEX(EF!$H$100:$H$115,MATCH(Emissions!$D58,EF!$D$100:$D$115,0))*INDEX(EF!$H$116:$H$131,MATCH(Emissions!$D58,EF!$D$116:$D$131,0))*kgtoGg</f>
        <v>0.64955066400000006</v>
      </c>
      <c r="AF58" s="23">
        <f>INDEX('Activity data'!AF$24:AF$39,MATCH(Emissions!$D58,'Activity data'!$D$24:$D$39,0))*INDEX(EF!$H$84:$H$99,MATCH(Emissions!$D58,EF!$D$84:$D$99,0))*INDEX(EF!$H$100:$H$115,MATCH(Emissions!$D58,EF!$D$100:$D$115,0))*INDEX(EF!$H$116:$H$131,MATCH(Emissions!$D58,EF!$D$116:$D$131,0))*kgtoGg</f>
        <v>0.64823408999999999</v>
      </c>
      <c r="AG58" s="23">
        <f>INDEX('Activity data'!AG$24:AG$39,MATCH(Emissions!$D58,'Activity data'!$D$24:$D$39,0))*INDEX(EF!$H$84:$H$99,MATCH(Emissions!$D58,EF!$D$84:$D$99,0))*INDEX(EF!$H$100:$H$115,MATCH(Emissions!$D58,EF!$D$100:$D$115,0))*INDEX(EF!$H$116:$H$131,MATCH(Emissions!$D58,EF!$D$116:$D$131,0))*kgtoGg</f>
        <v>0.58363351199999991</v>
      </c>
      <c r="AH58" s="23">
        <f>INDEX('Activity data'!AH$24:AH$39,MATCH(Emissions!$D58,'Activity data'!$D$24:$D$39,0))*INDEX(EF!$H$84:$H$99,MATCH(Emissions!$D58,EF!$D$84:$D$99,0))*INDEX(EF!$H$100:$H$115,MATCH(Emissions!$D58,EF!$D$100:$D$115,0))*INDEX(EF!$H$116:$H$131,MATCH(Emissions!$D58,EF!$D$116:$D$131,0))*kgtoGg</f>
        <v>0.31007699099999997</v>
      </c>
      <c r="AI58" s="23">
        <f>INDEX('Activity data'!AI$24:AI$39,MATCH(Emissions!$D58,'Activity data'!$D$24:$D$39,0))*INDEX(EF!$H$84:$H$99,MATCH(Emissions!$D58,EF!$D$84:$D$99,0))*INDEX(EF!$H$100:$H$115,MATCH(Emissions!$D58,EF!$D$100:$D$115,0))*INDEX(EF!$H$116:$H$131,MATCH(Emissions!$D58,EF!$D$116:$D$131,0))*kgtoGg</f>
        <v>0.370668312</v>
      </c>
      <c r="AJ58" s="23">
        <f>INDEX('Activity data'!AJ$24:AJ$39,MATCH(Emissions!$D58,'Activity data'!$D$24:$D$39,0))*INDEX(EF!$H$84:$H$99,MATCH(Emissions!$D58,EF!$D$84:$D$99,0))*INDEX(EF!$H$100:$H$115,MATCH(Emissions!$D58,EF!$D$100:$D$115,0))*INDEX(EF!$H$116:$H$131,MATCH(Emissions!$D58,EF!$D$116:$D$131,0))*kgtoGg</f>
        <v>6.0442521007182073</v>
      </c>
      <c r="AK58" s="23">
        <f>INDEX('Activity data'!AK$24:AK$39,MATCH(Emissions!$D58,'Activity data'!$D$24:$D$39,0))*INDEX(EF!$H$84:$H$99,MATCH(Emissions!$D58,EF!$D$84:$D$99,0))*INDEX(EF!$H$100:$H$115,MATCH(Emissions!$D58,EF!$D$100:$D$115,0))*INDEX(EF!$H$116:$H$131,MATCH(Emissions!$D58,EF!$D$116:$D$131,0))*kgtoGg</f>
        <v>6.0196168591989174</v>
      </c>
      <c r="AL58" s="23">
        <f>INDEX('Activity data'!AL$24:AL$39,MATCH(Emissions!$D58,'Activity data'!$D$24:$D$39,0))*INDEX(EF!$H$84:$H$99,MATCH(Emissions!$D58,EF!$D$84:$D$99,0))*INDEX(EF!$H$100:$H$115,MATCH(Emissions!$D58,EF!$D$100:$D$115,0))*INDEX(EF!$H$116:$H$131,MATCH(Emissions!$D58,EF!$D$116:$D$131,0))*kgtoGg</f>
        <v>5.9949816176796258</v>
      </c>
      <c r="AM58" s="23">
        <f>INDEX('Activity data'!AM$24:AM$39,MATCH(Emissions!$D58,'Activity data'!$D$24:$D$39,0))*INDEX(EF!$H$84:$H$99,MATCH(Emissions!$D58,EF!$D$84:$D$99,0))*INDEX(EF!$H$100:$H$115,MATCH(Emissions!$D58,EF!$D$100:$D$115,0))*INDEX(EF!$H$116:$H$131,MATCH(Emissions!$D58,EF!$D$116:$D$131,0))*kgtoGg</f>
        <v>5.9703463761603341</v>
      </c>
      <c r="AN58" s="23">
        <f>INDEX('Activity data'!AN$24:AN$39,MATCH(Emissions!$D58,'Activity data'!$D$24:$D$39,0))*INDEX(EF!$H$84:$H$99,MATCH(Emissions!$D58,EF!$D$84:$D$99,0))*INDEX(EF!$H$100:$H$115,MATCH(Emissions!$D58,EF!$D$100:$D$115,0))*INDEX(EF!$H$116:$H$131,MATCH(Emissions!$D58,EF!$D$116:$D$131,0))*kgtoGg</f>
        <v>5.9457111346410434</v>
      </c>
      <c r="AO58" s="23">
        <f>INDEX('Activity data'!AO$24:AO$39,MATCH(Emissions!$D58,'Activity data'!$D$24:$D$39,0))*INDEX(EF!$H$84:$H$99,MATCH(Emissions!$D58,EF!$D$84:$D$99,0))*INDEX(EF!$H$100:$H$115,MATCH(Emissions!$D58,EF!$D$100:$D$115,0))*INDEX(EF!$H$116:$H$131,MATCH(Emissions!$D58,EF!$D$116:$D$131,0))*kgtoGg</f>
        <v>5.9210758931217535</v>
      </c>
      <c r="AP58" s="23">
        <f>INDEX('Activity data'!AP$24:AP$39,MATCH(Emissions!$D58,'Activity data'!$D$24:$D$39,0))*INDEX(EF!$H$84:$H$99,MATCH(Emissions!$D58,EF!$D$84:$D$99,0))*INDEX(EF!$H$100:$H$115,MATCH(Emissions!$D58,EF!$D$100:$D$115,0))*INDEX(EF!$H$116:$H$131,MATCH(Emissions!$D58,EF!$D$116:$D$131,0))*kgtoGg</f>
        <v>5.8964406516024628</v>
      </c>
      <c r="AQ58" s="23">
        <f>INDEX('Activity data'!AQ$24:AQ$39,MATCH(Emissions!$D58,'Activity data'!$D$24:$D$39,0))*INDEX(EF!$H$84:$H$99,MATCH(Emissions!$D58,EF!$D$84:$D$99,0))*INDEX(EF!$H$100:$H$115,MATCH(Emissions!$D58,EF!$D$100:$D$115,0))*INDEX(EF!$H$116:$H$131,MATCH(Emissions!$D58,EF!$D$116:$D$131,0))*kgtoGg</f>
        <v>5.871805410083172</v>
      </c>
      <c r="AR58" s="23">
        <f>INDEX('Activity data'!AR$24:AR$39,MATCH(Emissions!$D58,'Activity data'!$D$24:$D$39,0))*INDEX(EF!$H$84:$H$99,MATCH(Emissions!$D58,EF!$D$84:$D$99,0))*INDEX(EF!$H$100:$H$115,MATCH(Emissions!$D58,EF!$D$100:$D$115,0))*INDEX(EF!$H$116:$H$131,MATCH(Emissions!$D58,EF!$D$116:$D$131,0))*kgtoGg</f>
        <v>5.8471701685638813</v>
      </c>
      <c r="AS58" s="23">
        <f>INDEX('Activity data'!AS$24:AS$39,MATCH(Emissions!$D58,'Activity data'!$D$24:$D$39,0))*INDEX(EF!$H$84:$H$99,MATCH(Emissions!$D58,EF!$D$84:$D$99,0))*INDEX(EF!$H$100:$H$115,MATCH(Emissions!$D58,EF!$D$100:$D$115,0))*INDEX(EF!$H$116:$H$131,MATCH(Emissions!$D58,EF!$D$116:$D$131,0))*kgtoGg</f>
        <v>5.8225349270445905</v>
      </c>
      <c r="AT58" s="23">
        <f>INDEX('Activity data'!AT$24:AT$39,MATCH(Emissions!$D58,'Activity data'!$D$24:$D$39,0))*INDEX(EF!$H$84:$H$99,MATCH(Emissions!$D58,EF!$D$84:$D$99,0))*INDEX(EF!$H$100:$H$115,MATCH(Emissions!$D58,EF!$D$100:$D$115,0))*INDEX(EF!$H$116:$H$131,MATCH(Emissions!$D58,EF!$D$116:$D$131,0))*kgtoGg</f>
        <v>5.7978996855252998</v>
      </c>
      <c r="AU58" s="23">
        <f>INDEX('Activity data'!AU$24:AU$39,MATCH(Emissions!$D58,'Activity data'!$D$24:$D$39,0))*INDEX(EF!$H$84:$H$99,MATCH(Emissions!$D58,EF!$D$84:$D$99,0))*INDEX(EF!$H$100:$H$115,MATCH(Emissions!$D58,EF!$D$100:$D$115,0))*INDEX(EF!$H$116:$H$131,MATCH(Emissions!$D58,EF!$D$116:$D$131,0))*kgtoGg</f>
        <v>5.773264444006009</v>
      </c>
      <c r="AV58" s="23">
        <f>INDEX('Activity data'!AV$24:AV$39,MATCH(Emissions!$D58,'Activity data'!$D$24:$D$39,0))*INDEX(EF!$H$84:$H$99,MATCH(Emissions!$D58,EF!$D$84:$D$99,0))*INDEX(EF!$H$100:$H$115,MATCH(Emissions!$D58,EF!$D$100:$D$115,0))*INDEX(EF!$H$116:$H$131,MATCH(Emissions!$D58,EF!$D$116:$D$131,0))*kgtoGg</f>
        <v>5.7486292024867174</v>
      </c>
      <c r="AW58" s="23">
        <f>INDEX('Activity data'!AW$24:AW$39,MATCH(Emissions!$D58,'Activity data'!$D$24:$D$39,0))*INDEX(EF!$H$84:$H$99,MATCH(Emissions!$D58,EF!$D$84:$D$99,0))*INDEX(EF!$H$100:$H$115,MATCH(Emissions!$D58,EF!$D$100:$D$115,0))*INDEX(EF!$H$116:$H$131,MATCH(Emissions!$D58,EF!$D$116:$D$131,0))*kgtoGg</f>
        <v>5.7239939609674266</v>
      </c>
      <c r="AX58" s="23">
        <f>INDEX('Activity data'!AX$24:AX$39,MATCH(Emissions!$D58,'Activity data'!$D$24:$D$39,0))*INDEX(EF!$H$84:$H$99,MATCH(Emissions!$D58,EF!$D$84:$D$99,0))*INDEX(EF!$H$100:$H$115,MATCH(Emissions!$D58,EF!$D$100:$D$115,0))*INDEX(EF!$H$116:$H$131,MATCH(Emissions!$D58,EF!$D$116:$D$131,0))*kgtoGg</f>
        <v>5.6993587194481359</v>
      </c>
      <c r="AY58" s="23">
        <f>INDEX('Activity data'!AY$24:AY$39,MATCH(Emissions!$D58,'Activity data'!$D$24:$D$39,0))*INDEX(EF!$H$84:$H$99,MATCH(Emissions!$D58,EF!$D$84:$D$99,0))*INDEX(EF!$H$100:$H$115,MATCH(Emissions!$D58,EF!$D$100:$D$115,0))*INDEX(EF!$H$116:$H$131,MATCH(Emissions!$D58,EF!$D$116:$D$131,0))*kgtoGg</f>
        <v>5.6747234779288451</v>
      </c>
      <c r="AZ58" s="23">
        <f>INDEX('Activity data'!AZ$24:AZ$39,MATCH(Emissions!$D58,'Activity data'!$D$24:$D$39,0))*INDEX(EF!$H$84:$H$99,MATCH(Emissions!$D58,EF!$D$84:$D$99,0))*INDEX(EF!$H$100:$H$115,MATCH(Emissions!$D58,EF!$D$100:$D$115,0))*INDEX(EF!$H$116:$H$131,MATCH(Emissions!$D58,EF!$D$116:$D$131,0))*kgtoGg</f>
        <v>5.6500882364095553</v>
      </c>
      <c r="BA58" s="23">
        <f>INDEX('Activity data'!BA$24:BA$39,MATCH(Emissions!$D58,'Activity data'!$D$24:$D$39,0))*INDEX(EF!$H$84:$H$99,MATCH(Emissions!$D58,EF!$D$84:$D$99,0))*INDEX(EF!$H$100:$H$115,MATCH(Emissions!$D58,EF!$D$100:$D$115,0))*INDEX(EF!$H$116:$H$131,MATCH(Emissions!$D58,EF!$D$116:$D$131,0))*kgtoGg</f>
        <v>5.6254529948902645</v>
      </c>
      <c r="BB58" s="23">
        <f>INDEX('Activity data'!BB$24:BB$39,MATCH(Emissions!$D58,'Activity data'!$D$24:$D$39,0))*INDEX(EF!$H$84:$H$99,MATCH(Emissions!$D58,EF!$D$84:$D$99,0))*INDEX(EF!$H$100:$H$115,MATCH(Emissions!$D58,EF!$D$100:$D$115,0))*INDEX(EF!$H$116:$H$131,MATCH(Emissions!$D58,EF!$D$116:$D$131,0))*kgtoGg</f>
        <v>5.6008177533709738</v>
      </c>
      <c r="BC58" s="23">
        <f>INDEX('Activity data'!BC$24:BC$39,MATCH(Emissions!$D58,'Activity data'!$D$24:$D$39,0))*INDEX(EF!$H$84:$H$99,MATCH(Emissions!$D58,EF!$D$84:$D$99,0))*INDEX(EF!$H$100:$H$115,MATCH(Emissions!$D58,EF!$D$100:$D$115,0))*INDEX(EF!$H$116:$H$131,MATCH(Emissions!$D58,EF!$D$116:$D$131,0))*kgtoGg</f>
        <v>5.576182511851683</v>
      </c>
      <c r="BD58" s="23">
        <f>INDEX('Activity data'!BD$24:BD$39,MATCH(Emissions!$D58,'Activity data'!$D$24:$D$39,0))*INDEX(EF!$H$84:$H$99,MATCH(Emissions!$D58,EF!$D$84:$D$99,0))*INDEX(EF!$H$100:$H$115,MATCH(Emissions!$D58,EF!$D$100:$D$115,0))*INDEX(EF!$H$116:$H$131,MATCH(Emissions!$D58,EF!$D$116:$D$131,0))*kgtoGg</f>
        <v>5.5515472703323923</v>
      </c>
      <c r="BE58" s="23">
        <f>INDEX('Activity data'!BE$24:BE$39,MATCH(Emissions!$D58,'Activity data'!$D$24:$D$39,0))*INDEX(EF!$H$84:$H$99,MATCH(Emissions!$D58,EF!$D$84:$D$99,0))*INDEX(EF!$H$100:$H$115,MATCH(Emissions!$D58,EF!$D$100:$D$115,0))*INDEX(EF!$H$116:$H$131,MATCH(Emissions!$D58,EF!$D$116:$D$131,0))*kgtoGg</f>
        <v>5.5269120288131024</v>
      </c>
      <c r="BF58" s="23">
        <f>INDEX('Activity data'!BF$24:BF$39,MATCH(Emissions!$D58,'Activity data'!$D$24:$D$39,0))*INDEX(EF!$H$84:$H$99,MATCH(Emissions!$D58,EF!$D$84:$D$99,0))*INDEX(EF!$H$100:$H$115,MATCH(Emissions!$D58,EF!$D$100:$D$115,0))*INDEX(EF!$H$116:$H$131,MATCH(Emissions!$D58,EF!$D$116:$D$131,0))*kgtoGg</f>
        <v>5.5022767872938108</v>
      </c>
      <c r="BG58" s="23">
        <f>INDEX('Activity data'!BG$24:BG$39,MATCH(Emissions!$D58,'Activity data'!$D$24:$D$39,0))*INDEX(EF!$H$84:$H$99,MATCH(Emissions!$D58,EF!$D$84:$D$99,0))*INDEX(EF!$H$100:$H$115,MATCH(Emissions!$D58,EF!$D$100:$D$115,0))*INDEX(EF!$H$116:$H$131,MATCH(Emissions!$D58,EF!$D$116:$D$131,0))*kgtoGg</f>
        <v>5.4776415457745191</v>
      </c>
      <c r="BH58" s="23">
        <f>INDEX('Activity data'!BH$24:BH$39,MATCH(Emissions!$D58,'Activity data'!$D$24:$D$39,0))*INDEX(EF!$H$84:$H$99,MATCH(Emissions!$D58,EF!$D$84:$D$99,0))*INDEX(EF!$H$100:$H$115,MATCH(Emissions!$D58,EF!$D$100:$D$115,0))*INDEX(EF!$H$116:$H$131,MATCH(Emissions!$D58,EF!$D$116:$D$131,0))*kgtoGg</f>
        <v>5.4530063042552293</v>
      </c>
      <c r="BI58" s="23">
        <f>INDEX('Activity data'!BI$24:BI$39,MATCH(Emissions!$D58,'Activity data'!$D$24:$D$39,0))*INDEX(EF!$H$84:$H$99,MATCH(Emissions!$D58,EF!$D$84:$D$99,0))*INDEX(EF!$H$100:$H$115,MATCH(Emissions!$D58,EF!$D$100:$D$115,0))*INDEX(EF!$H$116:$H$131,MATCH(Emissions!$D58,EF!$D$116:$D$131,0))*kgtoGg</f>
        <v>5.4283710627359385</v>
      </c>
      <c r="BJ58" s="23">
        <f>INDEX('Activity data'!BJ$24:BJ$39,MATCH(Emissions!$D58,'Activity data'!$D$24:$D$39,0))*INDEX(EF!$H$84:$H$99,MATCH(Emissions!$D58,EF!$D$84:$D$99,0))*INDEX(EF!$H$100:$H$115,MATCH(Emissions!$D58,EF!$D$100:$D$115,0))*INDEX(EF!$H$116:$H$131,MATCH(Emissions!$D58,EF!$D$116:$D$131,0))*kgtoGg</f>
        <v>5.4037358212166469</v>
      </c>
      <c r="BK58" s="23">
        <f>INDEX('Activity data'!BK$24:BK$39,MATCH(Emissions!$D58,'Activity data'!$D$24:$D$39,0))*INDEX(EF!$H$84:$H$99,MATCH(Emissions!$D58,EF!$D$84:$D$99,0))*INDEX(EF!$H$100:$H$115,MATCH(Emissions!$D58,EF!$D$100:$D$115,0))*INDEX(EF!$H$116:$H$131,MATCH(Emissions!$D58,EF!$D$116:$D$131,0))*kgtoGg</f>
        <v>5.379100579697357</v>
      </c>
      <c r="BL58" s="23">
        <f>INDEX('Activity data'!BL$24:BL$39,MATCH(Emissions!$D58,'Activity data'!$D$24:$D$39,0))*INDEX(EF!$H$84:$H$99,MATCH(Emissions!$D58,EF!$D$84:$D$99,0))*INDEX(EF!$H$100:$H$115,MATCH(Emissions!$D58,EF!$D$100:$D$115,0))*INDEX(EF!$H$116:$H$131,MATCH(Emissions!$D58,EF!$D$116:$D$131,0))*kgtoGg</f>
        <v>5.3544653381780662</v>
      </c>
      <c r="BM58" s="23">
        <f>INDEX('Activity data'!BM$24:BM$39,MATCH(Emissions!$D58,'Activity data'!$D$24:$D$39,0))*INDEX(EF!$H$84:$H$99,MATCH(Emissions!$D58,EF!$D$84:$D$99,0))*INDEX(EF!$H$100:$H$115,MATCH(Emissions!$D58,EF!$D$100:$D$115,0))*INDEX(EF!$H$116:$H$131,MATCH(Emissions!$D58,EF!$D$116:$D$131,0))*kgtoGg</f>
        <v>5.3298300966587773</v>
      </c>
      <c r="BN58" s="23">
        <f>INDEX('Activity data'!BN$24:BN$39,MATCH(Emissions!$D58,'Activity data'!$D$24:$D$39,0))*INDEX(EF!$H$84:$H$99,MATCH(Emissions!$D58,EF!$D$84:$D$99,0))*INDEX(EF!$H$100:$H$115,MATCH(Emissions!$D58,EF!$D$100:$D$115,0))*INDEX(EF!$H$116:$H$131,MATCH(Emissions!$D58,EF!$D$116:$D$131,0))*kgtoGg</f>
        <v>5.3051948551394847</v>
      </c>
      <c r="BO58" s="23">
        <f>INDEX('Activity data'!BO$24:BO$39,MATCH(Emissions!$D58,'Activity data'!$D$24:$D$39,0))*INDEX(EF!$H$84:$H$99,MATCH(Emissions!$D58,EF!$D$84:$D$99,0))*INDEX(EF!$H$100:$H$115,MATCH(Emissions!$D58,EF!$D$100:$D$115,0))*INDEX(EF!$H$116:$H$131,MATCH(Emissions!$D58,EF!$D$116:$D$131,0))*kgtoGg</f>
        <v>5.280559613620194</v>
      </c>
      <c r="BP58" s="23">
        <f>INDEX('Activity data'!BP$24:BP$39,MATCH(Emissions!$D58,'Activity data'!$D$24:$D$39,0))*INDEX(EF!$H$84:$H$99,MATCH(Emissions!$D58,EF!$D$84:$D$99,0))*INDEX(EF!$H$100:$H$115,MATCH(Emissions!$D58,EF!$D$100:$D$115,0))*INDEX(EF!$H$116:$H$131,MATCH(Emissions!$D58,EF!$D$116:$D$131,0))*kgtoGg</f>
        <v>5.2559243721009041</v>
      </c>
    </row>
    <row r="59" spans="1:68" x14ac:dyDescent="0.25">
      <c r="A59" t="str">
        <f t="shared" si="13"/>
        <v>3C Aggregated and non-CO2 emissions on land</v>
      </c>
      <c r="B59" t="str">
        <f t="shared" si="14"/>
        <v>3C1 Biomass burning (CH4)</v>
      </c>
      <c r="C59" t="str">
        <f>C58</f>
        <v>3C1b Biomass burning in Croplands</v>
      </c>
      <c r="D59" t="str">
        <f>EF!D89</f>
        <v>Annual pivot</v>
      </c>
      <c r="E59" t="s">
        <v>730</v>
      </c>
      <c r="F59" t="str">
        <f t="shared" si="16"/>
        <v>CH4</v>
      </c>
      <c r="G59" t="str">
        <f t="shared" si="17"/>
        <v>Gg CH4</v>
      </c>
      <c r="H59" s="23">
        <f>INDEX('Activity data'!H$24:H$39,MATCH(Emissions!$D59,'Activity data'!$D$24:$D$39,0))*INDEX(EF!$H$84:$H$99,MATCH(Emissions!$D59,EF!$D$84:$D$99,0))*INDEX(EF!$H$100:$H$115,MATCH(Emissions!$D59,EF!$D$100:$D$115,0))*INDEX(EF!$H$116:$H$131,MATCH(Emissions!$D59,EF!$D$116:$D$131,0))*kgtoGg</f>
        <v>7.1890335181109197</v>
      </c>
      <c r="I59" s="23">
        <f>INDEX('Activity data'!I$24:I$39,MATCH(Emissions!$D59,'Activity data'!$D$24:$D$39,0))*INDEX(EF!$H$84:$H$99,MATCH(Emissions!$D59,EF!$D$84:$D$99,0))*INDEX(EF!$H$100:$H$115,MATCH(Emissions!$D59,EF!$D$100:$D$115,0))*INDEX(EF!$H$116:$H$131,MATCH(Emissions!$D59,EF!$D$116:$D$131,0))*kgtoGg</f>
        <v>7.1890335181109197</v>
      </c>
      <c r="J59" s="23">
        <f>INDEX('Activity data'!J$24:J$39,MATCH(Emissions!$D59,'Activity data'!$D$24:$D$39,0))*INDEX(EF!$H$84:$H$99,MATCH(Emissions!$D59,EF!$D$84:$D$99,0))*INDEX(EF!$H$100:$H$115,MATCH(Emissions!$D59,EF!$D$100:$D$115,0))*INDEX(EF!$H$116:$H$131,MATCH(Emissions!$D59,EF!$D$116:$D$131,0))*kgtoGg</f>
        <v>7.1890335181109197</v>
      </c>
      <c r="K59" s="23">
        <f>INDEX('Activity data'!K$24:K$39,MATCH(Emissions!$D59,'Activity data'!$D$24:$D$39,0))*INDEX(EF!$H$84:$H$99,MATCH(Emissions!$D59,EF!$D$84:$D$99,0))*INDEX(EF!$H$100:$H$115,MATCH(Emissions!$D59,EF!$D$100:$D$115,0))*INDEX(EF!$H$116:$H$131,MATCH(Emissions!$D59,EF!$D$116:$D$131,0))*kgtoGg</f>
        <v>7.1890335181109197</v>
      </c>
      <c r="L59" s="23">
        <f>INDEX('Activity data'!L$24:L$39,MATCH(Emissions!$D59,'Activity data'!$D$24:$D$39,0))*INDEX(EF!$H$84:$H$99,MATCH(Emissions!$D59,EF!$D$84:$D$99,0))*INDEX(EF!$H$100:$H$115,MATCH(Emissions!$D59,EF!$D$100:$D$115,0))*INDEX(EF!$H$116:$H$131,MATCH(Emissions!$D59,EF!$D$116:$D$131,0))*kgtoGg</f>
        <v>7.1890335181109197</v>
      </c>
      <c r="M59" s="23">
        <f>INDEX('Activity data'!M$24:M$39,MATCH(Emissions!$D59,'Activity data'!$D$24:$D$39,0))*INDEX(EF!$H$84:$H$99,MATCH(Emissions!$D59,EF!$D$84:$D$99,0))*INDEX(EF!$H$100:$H$115,MATCH(Emissions!$D59,EF!$D$100:$D$115,0))*INDEX(EF!$H$116:$H$131,MATCH(Emissions!$D59,EF!$D$116:$D$131,0))*kgtoGg</f>
        <v>7.1890335181109197</v>
      </c>
      <c r="N59" s="23">
        <f>INDEX('Activity data'!N$24:N$39,MATCH(Emissions!$D59,'Activity data'!$D$24:$D$39,0))*INDEX(EF!$H$84:$H$99,MATCH(Emissions!$D59,EF!$D$84:$D$99,0))*INDEX(EF!$H$100:$H$115,MATCH(Emissions!$D59,EF!$D$100:$D$115,0))*INDEX(EF!$H$116:$H$131,MATCH(Emissions!$D59,EF!$D$116:$D$131,0))*kgtoGg</f>
        <v>7.1890335181109197</v>
      </c>
      <c r="O59" s="23">
        <f>INDEX('Activity data'!O$24:O$39,MATCH(Emissions!$D59,'Activity data'!$D$24:$D$39,0))*INDEX(EF!$H$84:$H$99,MATCH(Emissions!$D59,EF!$D$84:$D$99,0))*INDEX(EF!$H$100:$H$115,MATCH(Emissions!$D59,EF!$D$100:$D$115,0))*INDEX(EF!$H$116:$H$131,MATCH(Emissions!$D59,EF!$D$116:$D$131,0))*kgtoGg</f>
        <v>7.1890335181109197</v>
      </c>
      <c r="P59" s="23">
        <f>INDEX('Activity data'!P$24:P$39,MATCH(Emissions!$D59,'Activity data'!$D$24:$D$39,0))*INDEX(EF!$H$84:$H$99,MATCH(Emissions!$D59,EF!$D$84:$D$99,0))*INDEX(EF!$H$100:$H$115,MATCH(Emissions!$D59,EF!$D$100:$D$115,0))*INDEX(EF!$H$116:$H$131,MATCH(Emissions!$D59,EF!$D$116:$D$131,0))*kgtoGg</f>
        <v>7.1890335181109197</v>
      </c>
      <c r="Q59" s="23">
        <f>INDEX('Activity data'!Q$24:Q$39,MATCH(Emissions!$D59,'Activity data'!$D$24:$D$39,0))*INDEX(EF!$H$84:$H$99,MATCH(Emissions!$D59,EF!$D$84:$D$99,0))*INDEX(EF!$H$100:$H$115,MATCH(Emissions!$D59,EF!$D$100:$D$115,0))*INDEX(EF!$H$116:$H$131,MATCH(Emissions!$D59,EF!$D$116:$D$131,0))*kgtoGg</f>
        <v>7.1890335181109197</v>
      </c>
      <c r="R59" s="23">
        <f>INDEX('Activity data'!R$24:R$39,MATCH(Emissions!$D59,'Activity data'!$D$24:$D$39,0))*INDEX(EF!$H$84:$H$99,MATCH(Emissions!$D59,EF!$D$84:$D$99,0))*INDEX(EF!$H$100:$H$115,MATCH(Emissions!$D59,EF!$D$100:$D$115,0))*INDEX(EF!$H$116:$H$131,MATCH(Emissions!$D59,EF!$D$116:$D$131,0))*kgtoGg</f>
        <v>7.7769845389978656</v>
      </c>
      <c r="S59" s="23">
        <f>INDEX('Activity data'!S$24:S$39,MATCH(Emissions!$D59,'Activity data'!$D$24:$D$39,0))*INDEX(EF!$H$84:$H$99,MATCH(Emissions!$D59,EF!$D$84:$D$99,0))*INDEX(EF!$H$100:$H$115,MATCH(Emissions!$D59,EF!$D$100:$D$115,0))*INDEX(EF!$H$116:$H$131,MATCH(Emissions!$D59,EF!$D$116:$D$131,0))*kgtoGg</f>
        <v>7.2043842642429627</v>
      </c>
      <c r="T59" s="23">
        <f>INDEX('Activity data'!T$24:T$39,MATCH(Emissions!$D59,'Activity data'!$D$24:$D$39,0))*INDEX(EF!$H$84:$H$99,MATCH(Emissions!$D59,EF!$D$84:$D$99,0))*INDEX(EF!$H$100:$H$115,MATCH(Emissions!$D59,EF!$D$100:$D$115,0))*INDEX(EF!$H$116:$H$131,MATCH(Emissions!$D59,EF!$D$116:$D$131,0))*kgtoGg</f>
        <v>8.8223180185009138</v>
      </c>
      <c r="U59" s="23">
        <f>INDEX('Activity data'!U$24:U$39,MATCH(Emissions!$D59,'Activity data'!$D$24:$D$39,0))*INDEX(EF!$H$84:$H$99,MATCH(Emissions!$D59,EF!$D$84:$D$99,0))*INDEX(EF!$H$100:$H$115,MATCH(Emissions!$D59,EF!$D$100:$D$115,0))*INDEX(EF!$H$116:$H$131,MATCH(Emissions!$D59,EF!$D$116:$D$131,0))*kgtoGg</f>
        <v>6.58642951227975</v>
      </c>
      <c r="V59" s="23">
        <f>INDEX('Activity data'!V$24:V$39,MATCH(Emissions!$D59,'Activity data'!$D$24:$D$39,0))*INDEX(EF!$H$84:$H$99,MATCH(Emissions!$D59,EF!$D$84:$D$99,0))*INDEX(EF!$H$100:$H$115,MATCH(Emissions!$D59,EF!$D$100:$D$115,0))*INDEX(EF!$H$116:$H$131,MATCH(Emissions!$D59,EF!$D$116:$D$131,0))*kgtoGg</f>
        <v>5.5550512565331021</v>
      </c>
      <c r="W59" s="23">
        <f>INDEX('Activity data'!W$24:W$39,MATCH(Emissions!$D59,'Activity data'!$D$24:$D$39,0))*INDEX(EF!$H$84:$H$99,MATCH(Emissions!$D59,EF!$D$84:$D$99,0))*INDEX(EF!$H$100:$H$115,MATCH(Emissions!$D59,EF!$D$100:$D$115,0))*INDEX(EF!$H$116:$H$131,MATCH(Emissions!$D59,EF!$D$116:$D$131,0))*kgtoGg</f>
        <v>9.4036403081035704</v>
      </c>
      <c r="X59" s="23">
        <f>INDEX('Activity data'!X$24:X$39,MATCH(Emissions!$D59,'Activity data'!$D$24:$D$39,0))*INDEX(EF!$H$84:$H$99,MATCH(Emissions!$D59,EF!$D$84:$D$99,0))*INDEX(EF!$H$100:$H$115,MATCH(Emissions!$D59,EF!$D$100:$D$115,0))*INDEX(EF!$H$116:$H$131,MATCH(Emissions!$D59,EF!$D$116:$D$131,0))*kgtoGg</f>
        <v>9.5850582169368082</v>
      </c>
      <c r="Y59" s="23">
        <f>INDEX('Activity data'!Y$24:Y$39,MATCH(Emissions!$D59,'Activity data'!$D$24:$D$39,0))*INDEX(EF!$H$84:$H$99,MATCH(Emissions!$D59,EF!$D$84:$D$99,0))*INDEX(EF!$H$100:$H$115,MATCH(Emissions!$D59,EF!$D$100:$D$115,0))*INDEX(EF!$H$116:$H$131,MATCH(Emissions!$D59,EF!$D$116:$D$131,0))*kgtoGg</f>
        <v>5.4189878249081751</v>
      </c>
      <c r="Z59" s="23">
        <f>INDEX('Activity data'!Z$24:Z$39,MATCH(Emissions!$D59,'Activity data'!$D$24:$D$39,0))*INDEX(EF!$H$84:$H$99,MATCH(Emissions!$D59,EF!$D$84:$D$99,0))*INDEX(EF!$H$100:$H$115,MATCH(Emissions!$D59,EF!$D$100:$D$115,0))*INDEX(EF!$H$116:$H$131,MATCH(Emissions!$D59,EF!$D$116:$D$131,0))*kgtoGg</f>
        <v>6.2693842725639728</v>
      </c>
      <c r="AA59" s="23">
        <f>INDEX('Activity data'!AA$24:AA$39,MATCH(Emissions!$D59,'Activity data'!$D$24:$D$39,0))*INDEX(EF!$H$84:$H$99,MATCH(Emissions!$D59,EF!$D$84:$D$99,0))*INDEX(EF!$H$100:$H$115,MATCH(Emissions!$D59,EF!$D$100:$D$115,0))*INDEX(EF!$H$116:$H$131,MATCH(Emissions!$D59,EF!$D$116:$D$131,0))*kgtoGg</f>
        <v>6.2022247582362837</v>
      </c>
      <c r="AB59" s="23">
        <f>INDEX('Activity data'!AB$24:AB$39,MATCH(Emissions!$D59,'Activity data'!$D$24:$D$39,0))*INDEX(EF!$H$84:$H$99,MATCH(Emissions!$D59,EF!$D$84:$D$99,0))*INDEX(EF!$H$100:$H$115,MATCH(Emissions!$D59,EF!$D$100:$D$115,0))*INDEX(EF!$H$116:$H$131,MATCH(Emissions!$D59,EF!$D$116:$D$131,0))*kgtoGg</f>
        <v>6.9937244370000009</v>
      </c>
      <c r="AC59" s="23">
        <f>INDEX('Activity data'!AC$24:AC$39,MATCH(Emissions!$D59,'Activity data'!$D$24:$D$39,0))*INDEX(EF!$H$84:$H$99,MATCH(Emissions!$D59,EF!$D$84:$D$99,0))*INDEX(EF!$H$100:$H$115,MATCH(Emissions!$D59,EF!$D$100:$D$115,0))*INDEX(EF!$H$116:$H$131,MATCH(Emissions!$D59,EF!$D$116:$D$131,0))*kgtoGg</f>
        <v>7.3062814859999996</v>
      </c>
      <c r="AD59" s="23">
        <f>INDEX('Activity data'!AD$24:AD$39,MATCH(Emissions!$D59,'Activity data'!$D$24:$D$39,0))*INDEX(EF!$H$84:$H$99,MATCH(Emissions!$D59,EF!$D$84:$D$99,0))*INDEX(EF!$H$100:$H$115,MATCH(Emissions!$D59,EF!$D$100:$D$115,0))*INDEX(EF!$H$116:$H$131,MATCH(Emissions!$D59,EF!$D$116:$D$131,0))*kgtoGg</f>
        <v>5.3716780530000001</v>
      </c>
      <c r="AE59" s="23">
        <f>INDEX('Activity data'!AE$24:AE$39,MATCH(Emissions!$D59,'Activity data'!$D$24:$D$39,0))*INDEX(EF!$H$84:$H$99,MATCH(Emissions!$D59,EF!$D$84:$D$99,0))*INDEX(EF!$H$100:$H$115,MATCH(Emissions!$D59,EF!$D$100:$D$115,0))*INDEX(EF!$H$116:$H$131,MATCH(Emissions!$D59,EF!$D$116:$D$131,0))*kgtoGg</f>
        <v>5.1376425660000002</v>
      </c>
      <c r="AF59" s="23">
        <f>INDEX('Activity data'!AF$24:AF$39,MATCH(Emissions!$D59,'Activity data'!$D$24:$D$39,0))*INDEX(EF!$H$84:$H$99,MATCH(Emissions!$D59,EF!$D$84:$D$99,0))*INDEX(EF!$H$100:$H$115,MATCH(Emissions!$D59,EF!$D$100:$D$115,0))*INDEX(EF!$H$116:$H$131,MATCH(Emissions!$D59,EF!$D$116:$D$131,0))*kgtoGg</f>
        <v>5.5593493829999989</v>
      </c>
      <c r="AG59" s="23">
        <f>INDEX('Activity data'!AG$24:AG$39,MATCH(Emissions!$D59,'Activity data'!$D$24:$D$39,0))*INDEX(EF!$H$84:$H$99,MATCH(Emissions!$D59,EF!$D$84:$D$99,0))*INDEX(EF!$H$100:$H$115,MATCH(Emissions!$D59,EF!$D$100:$D$115,0))*INDEX(EF!$H$116:$H$131,MATCH(Emissions!$D59,EF!$D$116:$D$131,0))*kgtoGg</f>
        <v>4.1087655000000005</v>
      </c>
      <c r="AH59" s="23">
        <f>INDEX('Activity data'!AH$24:AH$39,MATCH(Emissions!$D59,'Activity data'!$D$24:$D$39,0))*INDEX(EF!$H$84:$H$99,MATCH(Emissions!$D59,EF!$D$84:$D$99,0))*INDEX(EF!$H$100:$H$115,MATCH(Emissions!$D59,EF!$D$100:$D$115,0))*INDEX(EF!$H$116:$H$131,MATCH(Emissions!$D59,EF!$D$116:$D$131,0))*kgtoGg</f>
        <v>2.1441785400000004</v>
      </c>
      <c r="AI59" s="23">
        <f>INDEX('Activity data'!AI$24:AI$39,MATCH(Emissions!$D59,'Activity data'!$D$24:$D$39,0))*INDEX(EF!$H$84:$H$99,MATCH(Emissions!$D59,EF!$D$84:$D$99,0))*INDEX(EF!$H$100:$H$115,MATCH(Emissions!$D59,EF!$D$100:$D$115,0))*INDEX(EF!$H$116:$H$131,MATCH(Emissions!$D59,EF!$D$116:$D$131,0))*kgtoGg</f>
        <v>2.0740497120000003</v>
      </c>
      <c r="AJ59" s="23">
        <f>INDEX('Activity data'!AJ$24:AJ$39,MATCH(Emissions!$D59,'Activity data'!$D$24:$D$39,0))*INDEX(EF!$H$84:$H$99,MATCH(Emissions!$D59,EF!$D$84:$D$99,0))*INDEX(EF!$H$100:$H$115,MATCH(Emissions!$D59,EF!$D$100:$D$115,0))*INDEX(EF!$H$116:$H$131,MATCH(Emissions!$D59,EF!$D$116:$D$131,0))*kgtoGg</f>
        <v>0.61066059778736492</v>
      </c>
      <c r="AK59" s="23">
        <f>INDEX('Activity data'!AK$24:AK$39,MATCH(Emissions!$D59,'Activity data'!$D$24:$D$39,0))*INDEX(EF!$H$84:$H$99,MATCH(Emissions!$D59,EF!$D$84:$D$99,0))*INDEX(EF!$H$100:$H$115,MATCH(Emissions!$D59,EF!$D$100:$D$115,0))*INDEX(EF!$H$116:$H$131,MATCH(Emissions!$D59,EF!$D$116:$D$131,0))*kgtoGg</f>
        <v>0.62633873219015079</v>
      </c>
      <c r="AL59" s="23">
        <f>INDEX('Activity data'!AL$24:AL$39,MATCH(Emissions!$D59,'Activity data'!$D$24:$D$39,0))*INDEX(EF!$H$84:$H$99,MATCH(Emissions!$D59,EF!$D$84:$D$99,0))*INDEX(EF!$H$100:$H$115,MATCH(Emissions!$D59,EF!$D$100:$D$115,0))*INDEX(EF!$H$116:$H$131,MATCH(Emissions!$D59,EF!$D$116:$D$131,0))*kgtoGg</f>
        <v>0.64201686659293589</v>
      </c>
      <c r="AM59" s="23">
        <f>INDEX('Activity data'!AM$24:AM$39,MATCH(Emissions!$D59,'Activity data'!$D$24:$D$39,0))*INDEX(EF!$H$84:$H$99,MATCH(Emissions!$D59,EF!$D$84:$D$99,0))*INDEX(EF!$H$100:$H$115,MATCH(Emissions!$D59,EF!$D$100:$D$115,0))*INDEX(EF!$H$116:$H$131,MATCH(Emissions!$D59,EF!$D$116:$D$131,0))*kgtoGg</f>
        <v>0.65769500099572131</v>
      </c>
      <c r="AN59" s="23">
        <f>INDEX('Activity data'!AN$24:AN$39,MATCH(Emissions!$D59,'Activity data'!$D$24:$D$39,0))*INDEX(EF!$H$84:$H$99,MATCH(Emissions!$D59,EF!$D$84:$D$99,0))*INDEX(EF!$H$100:$H$115,MATCH(Emissions!$D59,EF!$D$100:$D$115,0))*INDEX(EF!$H$116:$H$131,MATCH(Emissions!$D59,EF!$D$116:$D$131,0))*kgtoGg</f>
        <v>0.67337313539850641</v>
      </c>
      <c r="AO59" s="23">
        <f>INDEX('Activity data'!AO$24:AO$39,MATCH(Emissions!$D59,'Activity data'!$D$24:$D$39,0))*INDEX(EF!$H$84:$H$99,MATCH(Emissions!$D59,EF!$D$84:$D$99,0))*INDEX(EF!$H$100:$H$115,MATCH(Emissions!$D59,EF!$D$100:$D$115,0))*INDEX(EF!$H$116:$H$131,MATCH(Emissions!$D59,EF!$D$116:$D$131,0))*kgtoGg</f>
        <v>0.68905126980129161</v>
      </c>
      <c r="AP59" s="23">
        <f>INDEX('Activity data'!AP$24:AP$39,MATCH(Emissions!$D59,'Activity data'!$D$24:$D$39,0))*INDEX(EF!$H$84:$H$99,MATCH(Emissions!$D59,EF!$D$84:$D$99,0))*INDEX(EF!$H$100:$H$115,MATCH(Emissions!$D59,EF!$D$100:$D$115,0))*INDEX(EF!$H$116:$H$131,MATCH(Emissions!$D59,EF!$D$116:$D$131,0))*kgtoGg</f>
        <v>0.7047294042040767</v>
      </c>
      <c r="AQ59" s="23">
        <f>INDEX('Activity data'!AQ$24:AQ$39,MATCH(Emissions!$D59,'Activity data'!$D$24:$D$39,0))*INDEX(EF!$H$84:$H$99,MATCH(Emissions!$D59,EF!$D$84:$D$99,0))*INDEX(EF!$H$100:$H$115,MATCH(Emissions!$D59,EF!$D$100:$D$115,0))*INDEX(EF!$H$116:$H$131,MATCH(Emissions!$D59,EF!$D$116:$D$131,0))*kgtoGg</f>
        <v>0.72040753860686224</v>
      </c>
      <c r="AR59" s="23">
        <f>INDEX('Activity data'!AR$24:AR$39,MATCH(Emissions!$D59,'Activity data'!$D$24:$D$39,0))*INDEX(EF!$H$84:$H$99,MATCH(Emissions!$D59,EF!$D$84:$D$99,0))*INDEX(EF!$H$100:$H$115,MATCH(Emissions!$D59,EF!$D$100:$D$115,0))*INDEX(EF!$H$116:$H$131,MATCH(Emissions!$D59,EF!$D$116:$D$131,0))*kgtoGg</f>
        <v>0.73608567300964756</v>
      </c>
      <c r="AS59" s="23">
        <f>INDEX('Activity data'!AS$24:AS$39,MATCH(Emissions!$D59,'Activity data'!$D$24:$D$39,0))*INDEX(EF!$H$84:$H$99,MATCH(Emissions!$D59,EF!$D$84:$D$99,0))*INDEX(EF!$H$100:$H$115,MATCH(Emissions!$D59,EF!$D$100:$D$115,0))*INDEX(EF!$H$116:$H$131,MATCH(Emissions!$D59,EF!$D$116:$D$131,0))*kgtoGg</f>
        <v>0.75176380741243298</v>
      </c>
      <c r="AT59" s="23">
        <f>INDEX('Activity data'!AT$24:AT$39,MATCH(Emissions!$D59,'Activity data'!$D$24:$D$39,0))*INDEX(EF!$H$84:$H$99,MATCH(Emissions!$D59,EF!$D$84:$D$99,0))*INDEX(EF!$H$100:$H$115,MATCH(Emissions!$D59,EF!$D$100:$D$115,0))*INDEX(EF!$H$116:$H$131,MATCH(Emissions!$D59,EF!$D$116:$D$131,0))*kgtoGg</f>
        <v>0.76744194181521808</v>
      </c>
      <c r="AU59" s="23">
        <f>INDEX('Activity data'!AU$24:AU$39,MATCH(Emissions!$D59,'Activity data'!$D$24:$D$39,0))*INDEX(EF!$H$84:$H$99,MATCH(Emissions!$D59,EF!$D$84:$D$99,0))*INDEX(EF!$H$100:$H$115,MATCH(Emissions!$D59,EF!$D$100:$D$115,0))*INDEX(EF!$H$116:$H$131,MATCH(Emissions!$D59,EF!$D$116:$D$131,0))*kgtoGg</f>
        <v>0.78312007621800339</v>
      </c>
      <c r="AV59" s="23">
        <f>INDEX('Activity data'!AV$24:AV$39,MATCH(Emissions!$D59,'Activity data'!$D$24:$D$39,0))*INDEX(EF!$H$84:$H$99,MATCH(Emissions!$D59,EF!$D$84:$D$99,0))*INDEX(EF!$H$100:$H$115,MATCH(Emissions!$D59,EF!$D$100:$D$115,0))*INDEX(EF!$H$116:$H$131,MATCH(Emissions!$D59,EF!$D$116:$D$131,0))*kgtoGg</f>
        <v>0.79879821062078871</v>
      </c>
      <c r="AW59" s="23">
        <f>INDEX('Activity data'!AW$24:AW$39,MATCH(Emissions!$D59,'Activity data'!$D$24:$D$39,0))*INDEX(EF!$H$84:$H$99,MATCH(Emissions!$D59,EF!$D$84:$D$99,0))*INDEX(EF!$H$100:$H$115,MATCH(Emissions!$D59,EF!$D$100:$D$115,0))*INDEX(EF!$H$116:$H$131,MATCH(Emissions!$D59,EF!$D$116:$D$131,0))*kgtoGg</f>
        <v>0.81447634502357391</v>
      </c>
      <c r="AX59" s="23">
        <f>INDEX('Activity data'!AX$24:AX$39,MATCH(Emissions!$D59,'Activity data'!$D$24:$D$39,0))*INDEX(EF!$H$84:$H$99,MATCH(Emissions!$D59,EF!$D$84:$D$99,0))*INDEX(EF!$H$100:$H$115,MATCH(Emissions!$D59,EF!$D$100:$D$115,0))*INDEX(EF!$H$116:$H$131,MATCH(Emissions!$D59,EF!$D$116:$D$131,0))*kgtoGg</f>
        <v>0.83015447942635923</v>
      </c>
      <c r="AY59" s="23">
        <f>INDEX('Activity data'!AY$24:AY$39,MATCH(Emissions!$D59,'Activity data'!$D$24:$D$39,0))*INDEX(EF!$H$84:$H$99,MATCH(Emissions!$D59,EF!$D$84:$D$99,0))*INDEX(EF!$H$100:$H$115,MATCH(Emissions!$D59,EF!$D$100:$D$115,0))*INDEX(EF!$H$116:$H$131,MATCH(Emissions!$D59,EF!$D$116:$D$131,0))*kgtoGg</f>
        <v>0.84583261382914454</v>
      </c>
      <c r="AZ59" s="23">
        <f>INDEX('Activity data'!AZ$24:AZ$39,MATCH(Emissions!$D59,'Activity data'!$D$24:$D$39,0))*INDEX(EF!$H$84:$H$99,MATCH(Emissions!$D59,EF!$D$84:$D$99,0))*INDEX(EF!$H$100:$H$115,MATCH(Emissions!$D59,EF!$D$100:$D$115,0))*INDEX(EF!$H$116:$H$131,MATCH(Emissions!$D59,EF!$D$116:$D$131,0))*kgtoGg</f>
        <v>0.86151074823192997</v>
      </c>
      <c r="BA59" s="23">
        <f>INDEX('Activity data'!BA$24:BA$39,MATCH(Emissions!$D59,'Activity data'!$D$24:$D$39,0))*INDEX(EF!$H$84:$H$99,MATCH(Emissions!$D59,EF!$D$84:$D$99,0))*INDEX(EF!$H$100:$H$115,MATCH(Emissions!$D59,EF!$D$100:$D$115,0))*INDEX(EF!$H$116:$H$131,MATCH(Emissions!$D59,EF!$D$116:$D$131,0))*kgtoGg</f>
        <v>0.87718888263471517</v>
      </c>
      <c r="BB59" s="23">
        <f>INDEX('Activity data'!BB$24:BB$39,MATCH(Emissions!$D59,'Activity data'!$D$24:$D$39,0))*INDEX(EF!$H$84:$H$99,MATCH(Emissions!$D59,EF!$D$84:$D$99,0))*INDEX(EF!$H$100:$H$115,MATCH(Emissions!$D59,EF!$D$100:$D$115,0))*INDEX(EF!$H$116:$H$131,MATCH(Emissions!$D59,EF!$D$116:$D$131,0))*kgtoGg</f>
        <v>0.89286701703750049</v>
      </c>
      <c r="BC59" s="23">
        <f>INDEX('Activity data'!BC$24:BC$39,MATCH(Emissions!$D59,'Activity data'!$D$24:$D$39,0))*INDEX(EF!$H$84:$H$99,MATCH(Emissions!$D59,EF!$D$84:$D$99,0))*INDEX(EF!$H$100:$H$115,MATCH(Emissions!$D59,EF!$D$100:$D$115,0))*INDEX(EF!$H$116:$H$131,MATCH(Emissions!$D59,EF!$D$116:$D$131,0))*kgtoGg</f>
        <v>0.90854515144028558</v>
      </c>
      <c r="BD59" s="23">
        <f>INDEX('Activity data'!BD$24:BD$39,MATCH(Emissions!$D59,'Activity data'!$D$24:$D$39,0))*INDEX(EF!$H$84:$H$99,MATCH(Emissions!$D59,EF!$D$84:$D$99,0))*INDEX(EF!$H$100:$H$115,MATCH(Emissions!$D59,EF!$D$100:$D$115,0))*INDEX(EF!$H$116:$H$131,MATCH(Emissions!$D59,EF!$D$116:$D$131,0))*kgtoGg</f>
        <v>0.92422328584307123</v>
      </c>
      <c r="BE59" s="23">
        <f>INDEX('Activity data'!BE$24:BE$39,MATCH(Emissions!$D59,'Activity data'!$D$24:$D$39,0))*INDEX(EF!$H$84:$H$99,MATCH(Emissions!$D59,EF!$D$84:$D$99,0))*INDEX(EF!$H$100:$H$115,MATCH(Emissions!$D59,EF!$D$100:$D$115,0))*INDEX(EF!$H$116:$H$131,MATCH(Emissions!$D59,EF!$D$116:$D$131,0))*kgtoGg</f>
        <v>0.93990142024585654</v>
      </c>
      <c r="BF59" s="23">
        <f>INDEX('Activity data'!BF$24:BF$39,MATCH(Emissions!$D59,'Activity data'!$D$24:$D$39,0))*INDEX(EF!$H$84:$H$99,MATCH(Emissions!$D59,EF!$D$84:$D$99,0))*INDEX(EF!$H$100:$H$115,MATCH(Emissions!$D59,EF!$D$100:$D$115,0))*INDEX(EF!$H$116:$H$131,MATCH(Emissions!$D59,EF!$D$116:$D$131,0))*kgtoGg</f>
        <v>0.95557955464864153</v>
      </c>
      <c r="BG59" s="23">
        <f>INDEX('Activity data'!BG$24:BG$39,MATCH(Emissions!$D59,'Activity data'!$D$24:$D$39,0))*INDEX(EF!$H$84:$H$99,MATCH(Emissions!$D59,EF!$D$84:$D$99,0))*INDEX(EF!$H$100:$H$115,MATCH(Emissions!$D59,EF!$D$100:$D$115,0))*INDEX(EF!$H$116:$H$131,MATCH(Emissions!$D59,EF!$D$116:$D$131,0))*kgtoGg</f>
        <v>0.97125768905142718</v>
      </c>
      <c r="BH59" s="23">
        <f>INDEX('Activity data'!BH$24:BH$39,MATCH(Emissions!$D59,'Activity data'!$D$24:$D$39,0))*INDEX(EF!$H$84:$H$99,MATCH(Emissions!$D59,EF!$D$84:$D$99,0))*INDEX(EF!$H$100:$H$115,MATCH(Emissions!$D59,EF!$D$100:$D$115,0))*INDEX(EF!$H$116:$H$131,MATCH(Emissions!$D59,EF!$D$116:$D$131,0))*kgtoGg</f>
        <v>0.98693582345421205</v>
      </c>
      <c r="BI59" s="23">
        <f>INDEX('Activity data'!BI$24:BI$39,MATCH(Emissions!$D59,'Activity data'!$D$24:$D$39,0))*INDEX(EF!$H$84:$H$99,MATCH(Emissions!$D59,EF!$D$84:$D$99,0))*INDEX(EF!$H$100:$H$115,MATCH(Emissions!$D59,EF!$D$100:$D$115,0))*INDEX(EF!$H$116:$H$131,MATCH(Emissions!$D59,EF!$D$116:$D$131,0))*kgtoGg</f>
        <v>1.0026139578569973</v>
      </c>
      <c r="BJ59" s="23">
        <f>INDEX('Activity data'!BJ$24:BJ$39,MATCH(Emissions!$D59,'Activity data'!$D$24:$D$39,0))*INDEX(EF!$H$84:$H$99,MATCH(Emissions!$D59,EF!$D$84:$D$99,0))*INDEX(EF!$H$100:$H$115,MATCH(Emissions!$D59,EF!$D$100:$D$115,0))*INDEX(EF!$H$116:$H$131,MATCH(Emissions!$D59,EF!$D$116:$D$131,0))*kgtoGg</f>
        <v>1.0182920922597827</v>
      </c>
      <c r="BK59" s="23">
        <f>INDEX('Activity data'!BK$24:BK$39,MATCH(Emissions!$D59,'Activity data'!$D$24:$D$39,0))*INDEX(EF!$H$84:$H$99,MATCH(Emissions!$D59,EF!$D$84:$D$99,0))*INDEX(EF!$H$100:$H$115,MATCH(Emissions!$D59,EF!$D$100:$D$115,0))*INDEX(EF!$H$116:$H$131,MATCH(Emissions!$D59,EF!$D$116:$D$131,0))*kgtoGg</f>
        <v>1.0339702266625681</v>
      </c>
      <c r="BL59" s="23">
        <f>INDEX('Activity data'!BL$24:BL$39,MATCH(Emissions!$D59,'Activity data'!$D$24:$D$39,0))*INDEX(EF!$H$84:$H$99,MATCH(Emissions!$D59,EF!$D$84:$D$99,0))*INDEX(EF!$H$100:$H$115,MATCH(Emissions!$D59,EF!$D$100:$D$115,0))*INDEX(EF!$H$116:$H$131,MATCH(Emissions!$D59,EF!$D$116:$D$131,0))*kgtoGg</f>
        <v>1.0496483610653533</v>
      </c>
      <c r="BM59" s="23">
        <f>INDEX('Activity data'!BM$24:BM$39,MATCH(Emissions!$D59,'Activity data'!$D$24:$D$39,0))*INDEX(EF!$H$84:$H$99,MATCH(Emissions!$D59,EF!$D$84:$D$99,0))*INDEX(EF!$H$100:$H$115,MATCH(Emissions!$D59,EF!$D$100:$D$115,0))*INDEX(EF!$H$116:$H$131,MATCH(Emissions!$D59,EF!$D$116:$D$131,0))*kgtoGg</f>
        <v>1.0653264954681385</v>
      </c>
      <c r="BN59" s="23">
        <f>INDEX('Activity data'!BN$24:BN$39,MATCH(Emissions!$D59,'Activity data'!$D$24:$D$39,0))*INDEX(EF!$H$84:$H$99,MATCH(Emissions!$D59,EF!$D$84:$D$99,0))*INDEX(EF!$H$100:$H$115,MATCH(Emissions!$D59,EF!$D$100:$D$115,0))*INDEX(EF!$H$116:$H$131,MATCH(Emissions!$D59,EF!$D$116:$D$131,0))*kgtoGg</f>
        <v>1.0810046298709233</v>
      </c>
      <c r="BO59" s="23">
        <f>INDEX('Activity data'!BO$24:BO$39,MATCH(Emissions!$D59,'Activity data'!$D$24:$D$39,0))*INDEX(EF!$H$84:$H$99,MATCH(Emissions!$D59,EF!$D$84:$D$99,0))*INDEX(EF!$H$100:$H$115,MATCH(Emissions!$D59,EF!$D$100:$D$115,0))*INDEX(EF!$H$116:$H$131,MATCH(Emissions!$D59,EF!$D$116:$D$131,0))*kgtoGg</f>
        <v>1.0966827642737085</v>
      </c>
      <c r="BP59" s="23">
        <f>INDEX('Activity data'!BP$24:BP$39,MATCH(Emissions!$D59,'Activity data'!$D$24:$D$39,0))*INDEX(EF!$H$84:$H$99,MATCH(Emissions!$D59,EF!$D$84:$D$99,0))*INDEX(EF!$H$100:$H$115,MATCH(Emissions!$D59,EF!$D$100:$D$115,0))*INDEX(EF!$H$116:$H$131,MATCH(Emissions!$D59,EF!$D$116:$D$131,0))*kgtoGg</f>
        <v>1.1123608986764937</v>
      </c>
    </row>
    <row r="60" spans="1:68" x14ac:dyDescent="0.25">
      <c r="A60" t="str">
        <f t="shared" si="13"/>
        <v>3C Aggregated and non-CO2 emissions on land</v>
      </c>
      <c r="B60" t="str">
        <f>B59</f>
        <v>3C1 Biomass burning (CH4)</v>
      </c>
      <c r="C60" t="str">
        <f t="shared" ref="C60:C62" si="18">C59</f>
        <v>3C1b Biomass burning in Croplands</v>
      </c>
      <c r="D60" t="str">
        <f>EF!D90</f>
        <v>Perennial orchards</v>
      </c>
      <c r="E60" t="s">
        <v>731</v>
      </c>
      <c r="F60" t="str">
        <f>F59</f>
        <v>CH4</v>
      </c>
      <c r="G60" t="str">
        <f>G59</f>
        <v>Gg CH4</v>
      </c>
      <c r="H60" s="23">
        <f>INDEX('Activity data'!H$24:H$39,MATCH(Emissions!$D60,'Activity data'!$D$24:$D$39,0))*INDEX(EF!$H$84:$H$99,MATCH(Emissions!$D60,EF!$D$84:$D$99,0))*INDEX(EF!$H$100:$H$115,MATCH(Emissions!$D60,EF!$D$100:$D$115,0))*INDEX(EF!$H$116:$H$131,MATCH(Emissions!$D60,EF!$D$116:$D$131,0))*kgtoGg</f>
        <v>5.1372667453257928E-2</v>
      </c>
      <c r="I60" s="23">
        <f>INDEX('Activity data'!I$24:I$39,MATCH(Emissions!$D60,'Activity data'!$D$24:$D$39,0))*INDEX(EF!$H$84:$H$99,MATCH(Emissions!$D60,EF!$D$84:$D$99,0))*INDEX(EF!$H$100:$H$115,MATCH(Emissions!$D60,EF!$D$100:$D$115,0))*INDEX(EF!$H$116:$H$131,MATCH(Emissions!$D60,EF!$D$116:$D$131,0))*kgtoGg</f>
        <v>5.1372667453257928E-2</v>
      </c>
      <c r="J60" s="23">
        <f>INDEX('Activity data'!J$24:J$39,MATCH(Emissions!$D60,'Activity data'!$D$24:$D$39,0))*INDEX(EF!$H$84:$H$99,MATCH(Emissions!$D60,EF!$D$84:$D$99,0))*INDEX(EF!$H$100:$H$115,MATCH(Emissions!$D60,EF!$D$100:$D$115,0))*INDEX(EF!$H$116:$H$131,MATCH(Emissions!$D60,EF!$D$116:$D$131,0))*kgtoGg</f>
        <v>5.1372667453257928E-2</v>
      </c>
      <c r="K60" s="23">
        <f>INDEX('Activity data'!K$24:K$39,MATCH(Emissions!$D60,'Activity data'!$D$24:$D$39,0))*INDEX(EF!$H$84:$H$99,MATCH(Emissions!$D60,EF!$D$84:$D$99,0))*INDEX(EF!$H$100:$H$115,MATCH(Emissions!$D60,EF!$D$100:$D$115,0))*INDEX(EF!$H$116:$H$131,MATCH(Emissions!$D60,EF!$D$116:$D$131,0))*kgtoGg</f>
        <v>5.1372667453257928E-2</v>
      </c>
      <c r="L60" s="23">
        <f>INDEX('Activity data'!L$24:L$39,MATCH(Emissions!$D60,'Activity data'!$D$24:$D$39,0))*INDEX(EF!$H$84:$H$99,MATCH(Emissions!$D60,EF!$D$84:$D$99,0))*INDEX(EF!$H$100:$H$115,MATCH(Emissions!$D60,EF!$D$100:$D$115,0))*INDEX(EF!$H$116:$H$131,MATCH(Emissions!$D60,EF!$D$116:$D$131,0))*kgtoGg</f>
        <v>5.1372667453257928E-2</v>
      </c>
      <c r="M60" s="23">
        <f>INDEX('Activity data'!M$24:M$39,MATCH(Emissions!$D60,'Activity data'!$D$24:$D$39,0))*INDEX(EF!$H$84:$H$99,MATCH(Emissions!$D60,EF!$D$84:$D$99,0))*INDEX(EF!$H$100:$H$115,MATCH(Emissions!$D60,EF!$D$100:$D$115,0))*INDEX(EF!$H$116:$H$131,MATCH(Emissions!$D60,EF!$D$116:$D$131,0))*kgtoGg</f>
        <v>5.1372667453257928E-2</v>
      </c>
      <c r="N60" s="23">
        <f>INDEX('Activity data'!N$24:N$39,MATCH(Emissions!$D60,'Activity data'!$D$24:$D$39,0))*INDEX(EF!$H$84:$H$99,MATCH(Emissions!$D60,EF!$D$84:$D$99,0))*INDEX(EF!$H$100:$H$115,MATCH(Emissions!$D60,EF!$D$100:$D$115,0))*INDEX(EF!$H$116:$H$131,MATCH(Emissions!$D60,EF!$D$116:$D$131,0))*kgtoGg</f>
        <v>5.1372667453257928E-2</v>
      </c>
      <c r="O60" s="23">
        <f>INDEX('Activity data'!O$24:O$39,MATCH(Emissions!$D60,'Activity data'!$D$24:$D$39,0))*INDEX(EF!$H$84:$H$99,MATCH(Emissions!$D60,EF!$D$84:$D$99,0))*INDEX(EF!$H$100:$H$115,MATCH(Emissions!$D60,EF!$D$100:$D$115,0))*INDEX(EF!$H$116:$H$131,MATCH(Emissions!$D60,EF!$D$116:$D$131,0))*kgtoGg</f>
        <v>5.1372667453257928E-2</v>
      </c>
      <c r="P60" s="23">
        <f>INDEX('Activity data'!P$24:P$39,MATCH(Emissions!$D60,'Activity data'!$D$24:$D$39,0))*INDEX(EF!$H$84:$H$99,MATCH(Emissions!$D60,EF!$D$84:$D$99,0))*INDEX(EF!$H$100:$H$115,MATCH(Emissions!$D60,EF!$D$100:$D$115,0))*INDEX(EF!$H$116:$H$131,MATCH(Emissions!$D60,EF!$D$116:$D$131,0))*kgtoGg</f>
        <v>5.1372667453257928E-2</v>
      </c>
      <c r="Q60" s="23">
        <f>INDEX('Activity data'!Q$24:Q$39,MATCH(Emissions!$D60,'Activity data'!$D$24:$D$39,0))*INDEX(EF!$H$84:$H$99,MATCH(Emissions!$D60,EF!$D$84:$D$99,0))*INDEX(EF!$H$100:$H$115,MATCH(Emissions!$D60,EF!$D$100:$D$115,0))*INDEX(EF!$H$116:$H$131,MATCH(Emissions!$D60,EF!$D$116:$D$131,0))*kgtoGg</f>
        <v>5.1372667453257928E-2</v>
      </c>
      <c r="R60" s="23">
        <f>INDEX('Activity data'!R$24:R$39,MATCH(Emissions!$D60,'Activity data'!$D$24:$D$39,0))*INDEX(EF!$H$84:$H$99,MATCH(Emissions!$D60,EF!$D$84:$D$99,0))*INDEX(EF!$H$100:$H$115,MATCH(Emissions!$D60,EF!$D$100:$D$115,0))*INDEX(EF!$H$116:$H$131,MATCH(Emissions!$D60,EF!$D$116:$D$131,0))*kgtoGg</f>
        <v>3.9249066814882973E-2</v>
      </c>
      <c r="S60" s="23">
        <f>INDEX('Activity data'!S$24:S$39,MATCH(Emissions!$D60,'Activity data'!$D$24:$D$39,0))*INDEX(EF!$H$84:$H$99,MATCH(Emissions!$D60,EF!$D$84:$D$99,0))*INDEX(EF!$H$100:$H$115,MATCH(Emissions!$D60,EF!$D$100:$D$115,0))*INDEX(EF!$H$116:$H$131,MATCH(Emissions!$D60,EF!$D$116:$D$131,0))*kgtoGg</f>
        <v>7.5445428433052811E-2</v>
      </c>
      <c r="T60" s="23">
        <f>INDEX('Activity data'!T$24:T$39,MATCH(Emissions!$D60,'Activity data'!$D$24:$D$39,0))*INDEX(EF!$H$84:$H$99,MATCH(Emissions!$D60,EF!$D$84:$D$99,0))*INDEX(EF!$H$100:$H$115,MATCH(Emissions!$D60,EF!$D$100:$D$115,0))*INDEX(EF!$H$116:$H$131,MATCH(Emissions!$D60,EF!$D$116:$D$131,0))*kgtoGg</f>
        <v>5.494869354083616E-2</v>
      </c>
      <c r="U60" s="23">
        <f>INDEX('Activity data'!U$24:U$39,MATCH(Emissions!$D60,'Activity data'!$D$24:$D$39,0))*INDEX(EF!$H$84:$H$99,MATCH(Emissions!$D60,EF!$D$84:$D$99,0))*INDEX(EF!$H$100:$H$115,MATCH(Emissions!$D60,EF!$D$100:$D$115,0))*INDEX(EF!$H$116:$H$131,MATCH(Emissions!$D60,EF!$D$116:$D$131,0))*kgtoGg</f>
        <v>5.6256995767998919E-2</v>
      </c>
      <c r="V60" s="23">
        <f>INDEX('Activity data'!V$24:V$39,MATCH(Emissions!$D60,'Activity data'!$D$24:$D$39,0))*INDEX(EF!$H$84:$H$99,MATCH(Emissions!$D60,EF!$D$84:$D$99,0))*INDEX(EF!$H$100:$H$115,MATCH(Emissions!$D60,EF!$D$100:$D$115,0))*INDEX(EF!$H$116:$H$131,MATCH(Emissions!$D60,EF!$D$116:$D$131,0))*kgtoGg</f>
        <v>3.0963152709518785E-2</v>
      </c>
      <c r="W60" s="23">
        <f>INDEX('Activity data'!W$24:W$39,MATCH(Emissions!$D60,'Activity data'!$D$24:$D$39,0))*INDEX(EF!$H$84:$H$99,MATCH(Emissions!$D60,EF!$D$84:$D$99,0))*INDEX(EF!$H$100:$H$115,MATCH(Emissions!$D60,EF!$D$100:$D$115,0))*INDEX(EF!$H$116:$H$131,MATCH(Emissions!$D60,EF!$D$116:$D$131,0))*kgtoGg</f>
        <v>6.977611878201416E-2</v>
      </c>
      <c r="X60" s="23">
        <f>INDEX('Activity data'!X$24:X$39,MATCH(Emissions!$D60,'Activity data'!$D$24:$D$39,0))*INDEX(EF!$H$84:$H$99,MATCH(Emissions!$D60,EF!$D$84:$D$99,0))*INDEX(EF!$H$100:$H$115,MATCH(Emissions!$D60,EF!$D$100:$D$115,0))*INDEX(EF!$H$116:$H$131,MATCH(Emissions!$D60,EF!$D$116:$D$131,0))*kgtoGg</f>
        <v>4.8407182405022328E-2</v>
      </c>
      <c r="Y60" s="23">
        <f>INDEX('Activity data'!Y$24:Y$39,MATCH(Emissions!$D60,'Activity data'!$D$24:$D$39,0))*INDEX(EF!$H$84:$H$99,MATCH(Emissions!$D60,EF!$D$84:$D$99,0))*INDEX(EF!$H$100:$H$115,MATCH(Emissions!$D60,EF!$D$100:$D$115,0))*INDEX(EF!$H$116:$H$131,MATCH(Emissions!$D60,EF!$D$116:$D$131,0))*kgtoGg</f>
        <v>8.4167443280804582E-2</v>
      </c>
      <c r="Z60" s="23">
        <f>INDEX('Activity data'!Z$24:Z$39,MATCH(Emissions!$D60,'Activity data'!$D$24:$D$39,0))*INDEX(EF!$H$84:$H$99,MATCH(Emissions!$D60,EF!$D$84:$D$99,0))*INDEX(EF!$H$100:$H$115,MATCH(Emissions!$D60,EF!$D$100:$D$115,0))*INDEX(EF!$H$116:$H$131,MATCH(Emissions!$D60,EF!$D$116:$D$131,0))*kgtoGg</f>
        <v>0.10728078262734679</v>
      </c>
      <c r="AA60" s="23">
        <f>INDEX('Activity data'!AA$24:AA$39,MATCH(Emissions!$D60,'Activity data'!$D$24:$D$39,0))*INDEX(EF!$H$84:$H$99,MATCH(Emissions!$D60,EF!$D$84:$D$99,0))*INDEX(EF!$H$100:$H$115,MATCH(Emissions!$D60,EF!$D$100:$D$115,0))*INDEX(EF!$H$116:$H$131,MATCH(Emissions!$D60,EF!$D$116:$D$131,0))*kgtoGg</f>
        <v>4.5790577950696791E-2</v>
      </c>
      <c r="AB60" s="23">
        <f>INDEX('Activity data'!AB$24:AB$39,MATCH(Emissions!$D60,'Activity data'!$D$24:$D$39,0))*INDEX(EF!$H$84:$H$99,MATCH(Emissions!$D60,EF!$D$84:$D$99,0))*INDEX(EF!$H$100:$H$115,MATCH(Emissions!$D60,EF!$D$100:$D$115,0))*INDEX(EF!$H$116:$H$131,MATCH(Emissions!$D60,EF!$D$116:$D$131,0))*kgtoGg</f>
        <v>7.6968548999999997E-2</v>
      </c>
      <c r="AC60" s="23">
        <f>INDEX('Activity data'!AC$24:AC$39,MATCH(Emissions!$D60,'Activity data'!$D$24:$D$39,0))*INDEX(EF!$H$84:$H$99,MATCH(Emissions!$D60,EF!$D$84:$D$99,0))*INDEX(EF!$H$100:$H$115,MATCH(Emissions!$D60,EF!$D$100:$D$115,0))*INDEX(EF!$H$116:$H$131,MATCH(Emissions!$D60,EF!$D$116:$D$131,0))*kgtoGg</f>
        <v>5.8869908999999998E-2</v>
      </c>
      <c r="AD60" s="23">
        <f>INDEX('Activity data'!AD$24:AD$39,MATCH(Emissions!$D60,'Activity data'!$D$24:$D$39,0))*INDEX(EF!$H$84:$H$99,MATCH(Emissions!$D60,EF!$D$84:$D$99,0))*INDEX(EF!$H$100:$H$115,MATCH(Emissions!$D60,EF!$D$100:$D$115,0))*INDEX(EF!$H$116:$H$131,MATCH(Emissions!$D60,EF!$D$116:$D$131,0))*kgtoGg</f>
        <v>9.6460307999999995E-2</v>
      </c>
      <c r="AE60" s="23">
        <f>INDEX('Activity data'!AE$24:AE$39,MATCH(Emissions!$D60,'Activity data'!$D$24:$D$39,0))*INDEX(EF!$H$84:$H$99,MATCH(Emissions!$D60,EF!$D$84:$D$99,0))*INDEX(EF!$H$100:$H$115,MATCH(Emissions!$D60,EF!$D$100:$D$115,0))*INDEX(EF!$H$116:$H$131,MATCH(Emissions!$D60,EF!$D$116:$D$131,0))*kgtoGg</f>
        <v>6.7150376999999983E-2</v>
      </c>
      <c r="AF60" s="23">
        <f>INDEX('Activity data'!AF$24:AF$39,MATCH(Emissions!$D60,'Activity data'!$D$24:$D$39,0))*INDEX(EF!$H$84:$H$99,MATCH(Emissions!$D60,EF!$D$84:$D$99,0))*INDEX(EF!$H$100:$H$115,MATCH(Emissions!$D60,EF!$D$100:$D$115,0))*INDEX(EF!$H$116:$H$131,MATCH(Emissions!$D60,EF!$D$116:$D$131,0))*kgtoGg</f>
        <v>5.9917725000000005E-2</v>
      </c>
      <c r="AG60" s="23">
        <f>INDEX('Activity data'!AG$24:AG$39,MATCH(Emissions!$D60,'Activity data'!$D$24:$D$39,0))*INDEX(EF!$H$84:$H$99,MATCH(Emissions!$D60,EF!$D$84:$D$99,0))*INDEX(EF!$H$100:$H$115,MATCH(Emissions!$D60,EF!$D$100:$D$115,0))*INDEX(EF!$H$116:$H$131,MATCH(Emissions!$D60,EF!$D$116:$D$131,0))*kgtoGg</f>
        <v>4.7913768000000002E-2</v>
      </c>
      <c r="AH60" s="23">
        <f>INDEX('Activity data'!AH$24:AH$39,MATCH(Emissions!$D60,'Activity data'!$D$24:$D$39,0))*INDEX(EF!$H$84:$H$99,MATCH(Emissions!$D60,EF!$D$84:$D$99,0))*INDEX(EF!$H$100:$H$115,MATCH(Emissions!$D60,EF!$D$100:$D$115,0))*INDEX(EF!$H$116:$H$131,MATCH(Emissions!$D60,EF!$D$116:$D$131,0))*kgtoGg</f>
        <v>4.8590766000000007E-2</v>
      </c>
      <c r="AI60" s="23">
        <f>INDEX('Activity data'!AI$24:AI$39,MATCH(Emissions!$D60,'Activity data'!$D$24:$D$39,0))*INDEX(EF!$H$84:$H$99,MATCH(Emissions!$D60,EF!$D$84:$D$99,0))*INDEX(EF!$H$100:$H$115,MATCH(Emissions!$D60,EF!$D$100:$D$115,0))*INDEX(EF!$H$116:$H$131,MATCH(Emissions!$D60,EF!$D$116:$D$131,0))*kgtoGg</f>
        <v>4.8743855999999995E-2</v>
      </c>
      <c r="AJ60" s="23">
        <f>INDEX('Activity data'!AJ$24:AJ$39,MATCH(Emissions!$D60,'Activity data'!$D$24:$D$39,0))*INDEX(EF!$H$84:$H$99,MATCH(Emissions!$D60,EF!$D$84:$D$99,0))*INDEX(EF!$H$100:$H$115,MATCH(Emissions!$D60,EF!$D$100:$D$115,0))*INDEX(EF!$H$116:$H$131,MATCH(Emissions!$D60,EF!$D$116:$D$131,0))*kgtoGg</f>
        <v>5.378756112010144E-2</v>
      </c>
      <c r="AK60" s="23">
        <f>INDEX('Activity data'!AK$24:AK$39,MATCH(Emissions!$D60,'Activity data'!$D$24:$D$39,0))*INDEX(EF!$H$84:$H$99,MATCH(Emissions!$D60,EF!$D$84:$D$99,0))*INDEX(EF!$H$100:$H$115,MATCH(Emissions!$D60,EF!$D$100:$D$115,0))*INDEX(EF!$H$116:$H$131,MATCH(Emissions!$D60,EF!$D$116:$D$131,0))*kgtoGg</f>
        <v>5.3702753122865959E-2</v>
      </c>
      <c r="AL60" s="23">
        <f>INDEX('Activity data'!AL$24:AL$39,MATCH(Emissions!$D60,'Activity data'!$D$24:$D$39,0))*INDEX(EF!$H$84:$H$99,MATCH(Emissions!$D60,EF!$D$84:$D$99,0))*INDEX(EF!$H$100:$H$115,MATCH(Emissions!$D60,EF!$D$100:$D$115,0))*INDEX(EF!$H$116:$H$131,MATCH(Emissions!$D60,EF!$D$116:$D$131,0))*kgtoGg</f>
        <v>5.3617945125630499E-2</v>
      </c>
      <c r="AM60" s="23">
        <f>INDEX('Activity data'!AM$24:AM$39,MATCH(Emissions!$D60,'Activity data'!$D$24:$D$39,0))*INDEX(EF!$H$84:$H$99,MATCH(Emissions!$D60,EF!$D$84:$D$99,0))*INDEX(EF!$H$100:$H$115,MATCH(Emissions!$D60,EF!$D$100:$D$115,0))*INDEX(EF!$H$116:$H$131,MATCH(Emissions!$D60,EF!$D$116:$D$131,0))*kgtoGg</f>
        <v>5.3533137128395039E-2</v>
      </c>
      <c r="AN60" s="23">
        <f>INDEX('Activity data'!AN$24:AN$39,MATCH(Emissions!$D60,'Activity data'!$D$24:$D$39,0))*INDEX(EF!$H$84:$H$99,MATCH(Emissions!$D60,EF!$D$84:$D$99,0))*INDEX(EF!$H$100:$H$115,MATCH(Emissions!$D60,EF!$D$100:$D$115,0))*INDEX(EF!$H$116:$H$131,MATCH(Emissions!$D60,EF!$D$116:$D$131,0))*kgtoGg</f>
        <v>5.3448329131159565E-2</v>
      </c>
      <c r="AO60" s="23">
        <f>INDEX('Activity data'!AO$24:AO$39,MATCH(Emissions!$D60,'Activity data'!$D$24:$D$39,0))*INDEX(EF!$H$84:$H$99,MATCH(Emissions!$D60,EF!$D$84:$D$99,0))*INDEX(EF!$H$100:$H$115,MATCH(Emissions!$D60,EF!$D$100:$D$115,0))*INDEX(EF!$H$116:$H$131,MATCH(Emissions!$D60,EF!$D$116:$D$131,0))*kgtoGg</f>
        <v>5.3363521133924105E-2</v>
      </c>
      <c r="AP60" s="23">
        <f>INDEX('Activity data'!AP$24:AP$39,MATCH(Emissions!$D60,'Activity data'!$D$24:$D$39,0))*INDEX(EF!$H$84:$H$99,MATCH(Emissions!$D60,EF!$D$84:$D$99,0))*INDEX(EF!$H$100:$H$115,MATCH(Emissions!$D60,EF!$D$100:$D$115,0))*INDEX(EF!$H$116:$H$131,MATCH(Emissions!$D60,EF!$D$116:$D$131,0))*kgtoGg</f>
        <v>5.3278713136688631E-2</v>
      </c>
      <c r="AQ60" s="23">
        <f>INDEX('Activity data'!AQ$24:AQ$39,MATCH(Emissions!$D60,'Activity data'!$D$24:$D$39,0))*INDEX(EF!$H$84:$H$99,MATCH(Emissions!$D60,EF!$D$84:$D$99,0))*INDEX(EF!$H$100:$H$115,MATCH(Emissions!$D60,EF!$D$100:$D$115,0))*INDEX(EF!$H$116:$H$131,MATCH(Emissions!$D60,EF!$D$116:$D$131,0))*kgtoGg</f>
        <v>5.3193905139453171E-2</v>
      </c>
      <c r="AR60" s="23">
        <f>INDEX('Activity data'!AR$24:AR$39,MATCH(Emissions!$D60,'Activity data'!$D$24:$D$39,0))*INDEX(EF!$H$84:$H$99,MATCH(Emissions!$D60,EF!$D$84:$D$99,0))*INDEX(EF!$H$100:$H$115,MATCH(Emissions!$D60,EF!$D$100:$D$115,0))*INDEX(EF!$H$116:$H$131,MATCH(Emissions!$D60,EF!$D$116:$D$131,0))*kgtoGg</f>
        <v>5.310909714221769E-2</v>
      </c>
      <c r="AS60" s="23">
        <f>INDEX('Activity data'!AS$24:AS$39,MATCH(Emissions!$D60,'Activity data'!$D$24:$D$39,0))*INDEX(EF!$H$84:$H$99,MATCH(Emissions!$D60,EF!$D$84:$D$99,0))*INDEX(EF!$H$100:$H$115,MATCH(Emissions!$D60,EF!$D$100:$D$115,0))*INDEX(EF!$H$116:$H$131,MATCH(Emissions!$D60,EF!$D$116:$D$131,0))*kgtoGg</f>
        <v>5.3024289144982223E-2</v>
      </c>
      <c r="AT60" s="23">
        <f>INDEX('Activity data'!AT$24:AT$39,MATCH(Emissions!$D60,'Activity data'!$D$24:$D$39,0))*INDEX(EF!$H$84:$H$99,MATCH(Emissions!$D60,EF!$D$84:$D$99,0))*INDEX(EF!$H$100:$H$115,MATCH(Emissions!$D60,EF!$D$100:$D$115,0))*INDEX(EF!$H$116:$H$131,MATCH(Emissions!$D60,EF!$D$116:$D$131,0))*kgtoGg</f>
        <v>5.2939481147746756E-2</v>
      </c>
      <c r="AU60" s="23">
        <f>INDEX('Activity data'!AU$24:AU$39,MATCH(Emissions!$D60,'Activity data'!$D$24:$D$39,0))*INDEX(EF!$H$84:$H$99,MATCH(Emissions!$D60,EF!$D$84:$D$99,0))*INDEX(EF!$H$100:$H$115,MATCH(Emissions!$D60,EF!$D$100:$D$115,0))*INDEX(EF!$H$116:$H$131,MATCH(Emissions!$D60,EF!$D$116:$D$131,0))*kgtoGg</f>
        <v>5.2854673150511289E-2</v>
      </c>
      <c r="AV60" s="23">
        <f>INDEX('Activity data'!AV$24:AV$39,MATCH(Emissions!$D60,'Activity data'!$D$24:$D$39,0))*INDEX(EF!$H$84:$H$99,MATCH(Emissions!$D60,EF!$D$84:$D$99,0))*INDEX(EF!$H$100:$H$115,MATCH(Emissions!$D60,EF!$D$100:$D$115,0))*INDEX(EF!$H$116:$H$131,MATCH(Emissions!$D60,EF!$D$116:$D$131,0))*kgtoGg</f>
        <v>5.2769865153275829E-2</v>
      </c>
      <c r="AW60" s="23">
        <f>INDEX('Activity data'!AW$24:AW$39,MATCH(Emissions!$D60,'Activity data'!$D$24:$D$39,0))*INDEX(EF!$H$84:$H$99,MATCH(Emissions!$D60,EF!$D$84:$D$99,0))*INDEX(EF!$H$100:$H$115,MATCH(Emissions!$D60,EF!$D$100:$D$115,0))*INDEX(EF!$H$116:$H$131,MATCH(Emissions!$D60,EF!$D$116:$D$131,0))*kgtoGg</f>
        <v>5.2685057156040355E-2</v>
      </c>
      <c r="AX60" s="23">
        <f>INDEX('Activity data'!AX$24:AX$39,MATCH(Emissions!$D60,'Activity data'!$D$24:$D$39,0))*INDEX(EF!$H$84:$H$99,MATCH(Emissions!$D60,EF!$D$84:$D$99,0))*INDEX(EF!$H$100:$H$115,MATCH(Emissions!$D60,EF!$D$100:$D$115,0))*INDEX(EF!$H$116:$H$131,MATCH(Emissions!$D60,EF!$D$116:$D$131,0))*kgtoGg</f>
        <v>5.2600249158804895E-2</v>
      </c>
      <c r="AY60" s="23">
        <f>INDEX('Activity data'!AY$24:AY$39,MATCH(Emissions!$D60,'Activity data'!$D$24:$D$39,0))*INDEX(EF!$H$84:$H$99,MATCH(Emissions!$D60,EF!$D$84:$D$99,0))*INDEX(EF!$H$100:$H$115,MATCH(Emissions!$D60,EF!$D$100:$D$115,0))*INDEX(EF!$H$116:$H$131,MATCH(Emissions!$D60,EF!$D$116:$D$131,0))*kgtoGg</f>
        <v>5.2515441161569414E-2</v>
      </c>
      <c r="AZ60" s="23">
        <f>INDEX('Activity data'!AZ$24:AZ$39,MATCH(Emissions!$D60,'Activity data'!$D$24:$D$39,0))*INDEX(EF!$H$84:$H$99,MATCH(Emissions!$D60,EF!$D$84:$D$99,0))*INDEX(EF!$H$100:$H$115,MATCH(Emissions!$D60,EF!$D$100:$D$115,0))*INDEX(EF!$H$116:$H$131,MATCH(Emissions!$D60,EF!$D$116:$D$131,0))*kgtoGg</f>
        <v>5.2430633164333953E-2</v>
      </c>
      <c r="BA60" s="23">
        <f>INDEX('Activity data'!BA$24:BA$39,MATCH(Emissions!$D60,'Activity data'!$D$24:$D$39,0))*INDEX(EF!$H$84:$H$99,MATCH(Emissions!$D60,EF!$D$84:$D$99,0))*INDEX(EF!$H$100:$H$115,MATCH(Emissions!$D60,EF!$D$100:$D$115,0))*INDEX(EF!$H$116:$H$131,MATCH(Emissions!$D60,EF!$D$116:$D$131,0))*kgtoGg</f>
        <v>5.2345825167098493E-2</v>
      </c>
      <c r="BB60" s="23">
        <f>INDEX('Activity data'!BB$24:BB$39,MATCH(Emissions!$D60,'Activity data'!$D$24:$D$39,0))*INDEX(EF!$H$84:$H$99,MATCH(Emissions!$D60,EF!$D$84:$D$99,0))*INDEX(EF!$H$100:$H$115,MATCH(Emissions!$D60,EF!$D$100:$D$115,0))*INDEX(EF!$H$116:$H$131,MATCH(Emissions!$D60,EF!$D$116:$D$131,0))*kgtoGg</f>
        <v>5.2261017169863019E-2</v>
      </c>
      <c r="BC60" s="23">
        <f>INDEX('Activity data'!BC$24:BC$39,MATCH(Emissions!$D60,'Activity data'!$D$24:$D$39,0))*INDEX(EF!$H$84:$H$99,MATCH(Emissions!$D60,EF!$D$84:$D$99,0))*INDEX(EF!$H$100:$H$115,MATCH(Emissions!$D60,EF!$D$100:$D$115,0))*INDEX(EF!$H$116:$H$131,MATCH(Emissions!$D60,EF!$D$116:$D$131,0))*kgtoGg</f>
        <v>5.2176209172627559E-2</v>
      </c>
      <c r="BD60" s="23">
        <f>INDEX('Activity data'!BD$24:BD$39,MATCH(Emissions!$D60,'Activity data'!$D$24:$D$39,0))*INDEX(EF!$H$84:$H$99,MATCH(Emissions!$D60,EF!$D$84:$D$99,0))*INDEX(EF!$H$100:$H$115,MATCH(Emissions!$D60,EF!$D$100:$D$115,0))*INDEX(EF!$H$116:$H$131,MATCH(Emissions!$D60,EF!$D$116:$D$131,0))*kgtoGg</f>
        <v>5.2091401175392085E-2</v>
      </c>
      <c r="BE60" s="23">
        <f>INDEX('Activity data'!BE$24:BE$39,MATCH(Emissions!$D60,'Activity data'!$D$24:$D$39,0))*INDEX(EF!$H$84:$H$99,MATCH(Emissions!$D60,EF!$D$84:$D$99,0))*INDEX(EF!$H$100:$H$115,MATCH(Emissions!$D60,EF!$D$100:$D$115,0))*INDEX(EF!$H$116:$H$131,MATCH(Emissions!$D60,EF!$D$116:$D$131,0))*kgtoGg</f>
        <v>5.2006593178156618E-2</v>
      </c>
      <c r="BF60" s="23">
        <f>INDEX('Activity data'!BF$24:BF$39,MATCH(Emissions!$D60,'Activity data'!$D$24:$D$39,0))*INDEX(EF!$H$84:$H$99,MATCH(Emissions!$D60,EF!$D$84:$D$99,0))*INDEX(EF!$H$100:$H$115,MATCH(Emissions!$D60,EF!$D$100:$D$115,0))*INDEX(EF!$H$116:$H$131,MATCH(Emissions!$D60,EF!$D$116:$D$131,0))*kgtoGg</f>
        <v>5.1921785180921144E-2</v>
      </c>
      <c r="BG60" s="23">
        <f>INDEX('Activity data'!BG$24:BG$39,MATCH(Emissions!$D60,'Activity data'!$D$24:$D$39,0))*INDEX(EF!$H$84:$H$99,MATCH(Emissions!$D60,EF!$D$84:$D$99,0))*INDEX(EF!$H$100:$H$115,MATCH(Emissions!$D60,EF!$D$100:$D$115,0))*INDEX(EF!$H$116:$H$131,MATCH(Emissions!$D60,EF!$D$116:$D$131,0))*kgtoGg</f>
        <v>5.1836977183685677E-2</v>
      </c>
      <c r="BH60" s="23">
        <f>INDEX('Activity data'!BH$24:BH$39,MATCH(Emissions!$D60,'Activity data'!$D$24:$D$39,0))*INDEX(EF!$H$84:$H$99,MATCH(Emissions!$D60,EF!$D$84:$D$99,0))*INDEX(EF!$H$100:$H$115,MATCH(Emissions!$D60,EF!$D$100:$D$115,0))*INDEX(EF!$H$116:$H$131,MATCH(Emissions!$D60,EF!$D$116:$D$131,0))*kgtoGg</f>
        <v>5.175216918645021E-2</v>
      </c>
      <c r="BI60" s="23">
        <f>INDEX('Activity data'!BI$24:BI$39,MATCH(Emissions!$D60,'Activity data'!$D$24:$D$39,0))*INDEX(EF!$H$84:$H$99,MATCH(Emissions!$D60,EF!$D$84:$D$99,0))*INDEX(EF!$H$100:$H$115,MATCH(Emissions!$D60,EF!$D$100:$D$115,0))*INDEX(EF!$H$116:$H$131,MATCH(Emissions!$D60,EF!$D$116:$D$131,0))*kgtoGg</f>
        <v>5.1667361189214743E-2</v>
      </c>
      <c r="BJ60" s="23">
        <f>INDEX('Activity data'!BJ$24:BJ$39,MATCH(Emissions!$D60,'Activity data'!$D$24:$D$39,0))*INDEX(EF!$H$84:$H$99,MATCH(Emissions!$D60,EF!$D$84:$D$99,0))*INDEX(EF!$H$100:$H$115,MATCH(Emissions!$D60,EF!$D$100:$D$115,0))*INDEX(EF!$H$116:$H$131,MATCH(Emissions!$D60,EF!$D$116:$D$131,0))*kgtoGg</f>
        <v>5.1582553191979283E-2</v>
      </c>
      <c r="BK60" s="23">
        <f>INDEX('Activity data'!BK$24:BK$39,MATCH(Emissions!$D60,'Activity data'!$D$24:$D$39,0))*INDEX(EF!$H$84:$H$99,MATCH(Emissions!$D60,EF!$D$84:$D$99,0))*INDEX(EF!$H$100:$H$115,MATCH(Emissions!$D60,EF!$D$100:$D$115,0))*INDEX(EF!$H$116:$H$131,MATCH(Emissions!$D60,EF!$D$116:$D$131,0))*kgtoGg</f>
        <v>5.1497745194743816E-2</v>
      </c>
      <c r="BL60" s="23">
        <f>INDEX('Activity data'!BL$24:BL$39,MATCH(Emissions!$D60,'Activity data'!$D$24:$D$39,0))*INDEX(EF!$H$84:$H$99,MATCH(Emissions!$D60,EF!$D$84:$D$99,0))*INDEX(EF!$H$100:$H$115,MATCH(Emissions!$D60,EF!$D$100:$D$115,0))*INDEX(EF!$H$116:$H$131,MATCH(Emissions!$D60,EF!$D$116:$D$131,0))*kgtoGg</f>
        <v>5.1412937197508349E-2</v>
      </c>
      <c r="BM60" s="23">
        <f>INDEX('Activity data'!BM$24:BM$39,MATCH(Emissions!$D60,'Activity data'!$D$24:$D$39,0))*INDEX(EF!$H$84:$H$99,MATCH(Emissions!$D60,EF!$D$84:$D$99,0))*INDEX(EF!$H$100:$H$115,MATCH(Emissions!$D60,EF!$D$100:$D$115,0))*INDEX(EF!$H$116:$H$131,MATCH(Emissions!$D60,EF!$D$116:$D$131,0))*kgtoGg</f>
        <v>5.1328129200272889E-2</v>
      </c>
      <c r="BN60" s="23">
        <f>INDEX('Activity data'!BN$24:BN$39,MATCH(Emissions!$D60,'Activity data'!$D$24:$D$39,0))*INDEX(EF!$H$84:$H$99,MATCH(Emissions!$D60,EF!$D$84:$D$99,0))*INDEX(EF!$H$100:$H$115,MATCH(Emissions!$D60,EF!$D$100:$D$115,0))*INDEX(EF!$H$116:$H$131,MATCH(Emissions!$D60,EF!$D$116:$D$131,0))*kgtoGg</f>
        <v>5.1243321203037408E-2</v>
      </c>
      <c r="BO60" s="23">
        <f>INDEX('Activity data'!BO$24:BO$39,MATCH(Emissions!$D60,'Activity data'!$D$24:$D$39,0))*INDEX(EF!$H$84:$H$99,MATCH(Emissions!$D60,EF!$D$84:$D$99,0))*INDEX(EF!$H$100:$H$115,MATCH(Emissions!$D60,EF!$D$100:$D$115,0))*INDEX(EF!$H$116:$H$131,MATCH(Emissions!$D60,EF!$D$116:$D$131,0))*kgtoGg</f>
        <v>5.1158513205801948E-2</v>
      </c>
      <c r="BP60" s="23">
        <f>INDEX('Activity data'!BP$24:BP$39,MATCH(Emissions!$D60,'Activity data'!$D$24:$D$39,0))*INDEX(EF!$H$84:$H$99,MATCH(Emissions!$D60,EF!$D$84:$D$99,0))*INDEX(EF!$H$100:$H$115,MATCH(Emissions!$D60,EF!$D$100:$D$115,0))*INDEX(EF!$H$116:$H$131,MATCH(Emissions!$D60,EF!$D$116:$D$131,0))*kgtoGg</f>
        <v>5.1073705208566474E-2</v>
      </c>
    </row>
    <row r="61" spans="1:68" x14ac:dyDescent="0.25">
      <c r="A61" t="str">
        <f t="shared" ref="A61:A85" si="19">A60</f>
        <v>3C Aggregated and non-CO2 emissions on land</v>
      </c>
      <c r="B61" t="str">
        <f t="shared" ref="B61:B69" si="20">B60</f>
        <v>3C1 Biomass burning (CH4)</v>
      </c>
      <c r="C61" t="str">
        <f t="shared" si="18"/>
        <v>3C1b Biomass burning in Croplands</v>
      </c>
      <c r="D61" t="str">
        <f>EF!D91</f>
        <v>Perennial vineyards</v>
      </c>
      <c r="E61" t="s">
        <v>732</v>
      </c>
      <c r="F61" t="str">
        <f>F60</f>
        <v>CH4</v>
      </c>
      <c r="G61" t="str">
        <f>G60</f>
        <v>Gg CH4</v>
      </c>
      <c r="H61" s="23">
        <f>INDEX('Activity data'!H$24:H$39,MATCH(Emissions!$D61,'Activity data'!$D$24:$D$39,0))*INDEX(EF!$H$84:$H$99,MATCH(Emissions!$D61,EF!$D$84:$D$99,0))*INDEX(EF!$H$100:$H$115,MATCH(Emissions!$D61,EF!$D$100:$D$115,0))*INDEX(EF!$H$116:$H$131,MATCH(Emissions!$D61,EF!$D$116:$D$131,0))*kgtoGg</f>
        <v>1.2298040935329995E-2</v>
      </c>
      <c r="I61" s="23">
        <f>INDEX('Activity data'!I$24:I$39,MATCH(Emissions!$D61,'Activity data'!$D$24:$D$39,0))*INDEX(EF!$H$84:$H$99,MATCH(Emissions!$D61,EF!$D$84:$D$99,0))*INDEX(EF!$H$100:$H$115,MATCH(Emissions!$D61,EF!$D$100:$D$115,0))*INDEX(EF!$H$116:$H$131,MATCH(Emissions!$D61,EF!$D$116:$D$131,0))*kgtoGg</f>
        <v>1.2298040935329995E-2</v>
      </c>
      <c r="J61" s="23">
        <f>INDEX('Activity data'!J$24:J$39,MATCH(Emissions!$D61,'Activity data'!$D$24:$D$39,0))*INDEX(EF!$H$84:$H$99,MATCH(Emissions!$D61,EF!$D$84:$D$99,0))*INDEX(EF!$H$100:$H$115,MATCH(Emissions!$D61,EF!$D$100:$D$115,0))*INDEX(EF!$H$116:$H$131,MATCH(Emissions!$D61,EF!$D$116:$D$131,0))*kgtoGg</f>
        <v>1.2298040935329995E-2</v>
      </c>
      <c r="K61" s="23">
        <f>INDEX('Activity data'!K$24:K$39,MATCH(Emissions!$D61,'Activity data'!$D$24:$D$39,0))*INDEX(EF!$H$84:$H$99,MATCH(Emissions!$D61,EF!$D$84:$D$99,0))*INDEX(EF!$H$100:$H$115,MATCH(Emissions!$D61,EF!$D$100:$D$115,0))*INDEX(EF!$H$116:$H$131,MATCH(Emissions!$D61,EF!$D$116:$D$131,0))*kgtoGg</f>
        <v>1.2298040935329995E-2</v>
      </c>
      <c r="L61" s="23">
        <f>INDEX('Activity data'!L$24:L$39,MATCH(Emissions!$D61,'Activity data'!$D$24:$D$39,0))*INDEX(EF!$H$84:$H$99,MATCH(Emissions!$D61,EF!$D$84:$D$99,0))*INDEX(EF!$H$100:$H$115,MATCH(Emissions!$D61,EF!$D$100:$D$115,0))*INDEX(EF!$H$116:$H$131,MATCH(Emissions!$D61,EF!$D$116:$D$131,0))*kgtoGg</f>
        <v>1.2298040935329995E-2</v>
      </c>
      <c r="M61" s="23">
        <f>INDEX('Activity data'!M$24:M$39,MATCH(Emissions!$D61,'Activity data'!$D$24:$D$39,0))*INDEX(EF!$H$84:$H$99,MATCH(Emissions!$D61,EF!$D$84:$D$99,0))*INDEX(EF!$H$100:$H$115,MATCH(Emissions!$D61,EF!$D$100:$D$115,0))*INDEX(EF!$H$116:$H$131,MATCH(Emissions!$D61,EF!$D$116:$D$131,0))*kgtoGg</f>
        <v>1.2298040935329995E-2</v>
      </c>
      <c r="N61" s="23">
        <f>INDEX('Activity data'!N$24:N$39,MATCH(Emissions!$D61,'Activity data'!$D$24:$D$39,0))*INDEX(EF!$H$84:$H$99,MATCH(Emissions!$D61,EF!$D$84:$D$99,0))*INDEX(EF!$H$100:$H$115,MATCH(Emissions!$D61,EF!$D$100:$D$115,0))*INDEX(EF!$H$116:$H$131,MATCH(Emissions!$D61,EF!$D$116:$D$131,0))*kgtoGg</f>
        <v>1.2298040935329995E-2</v>
      </c>
      <c r="O61" s="23">
        <f>INDEX('Activity data'!O$24:O$39,MATCH(Emissions!$D61,'Activity data'!$D$24:$D$39,0))*INDEX(EF!$H$84:$H$99,MATCH(Emissions!$D61,EF!$D$84:$D$99,0))*INDEX(EF!$H$100:$H$115,MATCH(Emissions!$D61,EF!$D$100:$D$115,0))*INDEX(EF!$H$116:$H$131,MATCH(Emissions!$D61,EF!$D$116:$D$131,0))*kgtoGg</f>
        <v>1.2298040935329995E-2</v>
      </c>
      <c r="P61" s="23">
        <f>INDEX('Activity data'!P$24:P$39,MATCH(Emissions!$D61,'Activity data'!$D$24:$D$39,0))*INDEX(EF!$H$84:$H$99,MATCH(Emissions!$D61,EF!$D$84:$D$99,0))*INDEX(EF!$H$100:$H$115,MATCH(Emissions!$D61,EF!$D$100:$D$115,0))*INDEX(EF!$H$116:$H$131,MATCH(Emissions!$D61,EF!$D$116:$D$131,0))*kgtoGg</f>
        <v>1.2298040935329995E-2</v>
      </c>
      <c r="Q61" s="23">
        <f>INDEX('Activity data'!Q$24:Q$39,MATCH(Emissions!$D61,'Activity data'!$D$24:$D$39,0))*INDEX(EF!$H$84:$H$99,MATCH(Emissions!$D61,EF!$D$84:$D$99,0))*INDEX(EF!$H$100:$H$115,MATCH(Emissions!$D61,EF!$D$100:$D$115,0))*INDEX(EF!$H$116:$H$131,MATCH(Emissions!$D61,EF!$D$116:$D$131,0))*kgtoGg</f>
        <v>1.2298040935329995E-2</v>
      </c>
      <c r="R61" s="23">
        <f>INDEX('Activity data'!R$24:R$39,MATCH(Emissions!$D61,'Activity data'!$D$24:$D$39,0))*INDEX(EF!$H$84:$H$99,MATCH(Emissions!$D61,EF!$D$84:$D$99,0))*INDEX(EF!$H$100:$H$115,MATCH(Emissions!$D61,EF!$D$100:$D$115,0))*INDEX(EF!$H$116:$H$131,MATCH(Emissions!$D61,EF!$D$116:$D$131,0))*kgtoGg</f>
        <v>1.9188432665053896E-2</v>
      </c>
      <c r="S61" s="23">
        <f>INDEX('Activity data'!S$24:S$39,MATCH(Emissions!$D61,'Activity data'!$D$24:$D$39,0))*INDEX(EF!$H$84:$H$99,MATCH(Emissions!$D61,EF!$D$84:$D$99,0))*INDEX(EF!$H$100:$H$115,MATCH(Emissions!$D61,EF!$D$100:$D$115,0))*INDEX(EF!$H$116:$H$131,MATCH(Emissions!$D61,EF!$D$116:$D$131,0))*kgtoGg</f>
        <v>1.2646921529240067E-2</v>
      </c>
      <c r="T61" s="23">
        <f>INDEX('Activity data'!T$24:T$39,MATCH(Emissions!$D61,'Activity data'!$D$24:$D$39,0))*INDEX(EF!$H$84:$H$99,MATCH(Emissions!$D61,EF!$D$84:$D$99,0))*INDEX(EF!$H$100:$H$115,MATCH(Emissions!$D61,EF!$D$100:$D$115,0))*INDEX(EF!$H$116:$H$131,MATCH(Emissions!$D61,EF!$D$116:$D$131,0))*kgtoGg</f>
        <v>1.0030317074914535E-2</v>
      </c>
      <c r="U61" s="23">
        <f>INDEX('Activity data'!U$24:U$39,MATCH(Emissions!$D61,'Activity data'!$D$24:$D$39,0))*INDEX(EF!$H$84:$H$99,MATCH(Emissions!$D61,EF!$D$84:$D$99,0))*INDEX(EF!$H$100:$H$115,MATCH(Emissions!$D61,EF!$D$100:$D$115,0))*INDEX(EF!$H$116:$H$131,MATCH(Emissions!$D61,EF!$D$116:$D$131,0))*kgtoGg</f>
        <v>1.5699626725953191E-2</v>
      </c>
      <c r="V61" s="23">
        <f>INDEX('Activity data'!V$24:V$39,MATCH(Emissions!$D61,'Activity data'!$D$24:$D$39,0))*INDEX(EF!$H$84:$H$99,MATCH(Emissions!$D61,EF!$D$84:$D$99,0))*INDEX(EF!$H$100:$H$115,MATCH(Emissions!$D61,EF!$D$100:$D$115,0))*INDEX(EF!$H$116:$H$131,MATCH(Emissions!$D61,EF!$D$116:$D$131,0))*kgtoGg</f>
        <v>3.9249066814882978E-3</v>
      </c>
      <c r="W61" s="23">
        <f>INDEX('Activity data'!W$24:W$39,MATCH(Emissions!$D61,'Activity data'!$D$24:$D$39,0))*INDEX(EF!$H$84:$H$99,MATCH(Emissions!$D61,EF!$D$84:$D$99,0))*INDEX(EF!$H$100:$H$115,MATCH(Emissions!$D61,EF!$D$100:$D$115,0))*INDEX(EF!$H$116:$H$131,MATCH(Emissions!$D61,EF!$D$116:$D$131,0))*kgtoGg</f>
        <v>1.0902518559689715E-2</v>
      </c>
      <c r="X61" s="23">
        <f>INDEX('Activity data'!X$24:X$39,MATCH(Emissions!$D61,'Activity data'!$D$24:$D$39,0))*INDEX(EF!$H$84:$H$99,MATCH(Emissions!$D61,EF!$D$84:$D$99,0))*INDEX(EF!$H$100:$H$115,MATCH(Emissions!$D61,EF!$D$100:$D$115,0))*INDEX(EF!$H$116:$H$131,MATCH(Emissions!$D61,EF!$D$116:$D$131,0))*kgtoGg</f>
        <v>2.1805037119379429E-2</v>
      </c>
      <c r="Y61" s="23">
        <f>INDEX('Activity data'!Y$24:Y$39,MATCH(Emissions!$D61,'Activity data'!$D$24:$D$39,0))*INDEX(EF!$H$84:$H$99,MATCH(Emissions!$D61,EF!$D$84:$D$99,0))*INDEX(EF!$H$100:$H$115,MATCH(Emissions!$D61,EF!$D$100:$D$115,0))*INDEX(EF!$H$116:$H$131,MATCH(Emissions!$D61,EF!$D$116:$D$131,0))*kgtoGg</f>
        <v>1.0466417817302124E-2</v>
      </c>
      <c r="Z61" s="23">
        <f>INDEX('Activity data'!Z$24:Z$39,MATCH(Emissions!$D61,'Activity data'!$D$24:$D$39,0))*INDEX(EF!$H$84:$H$99,MATCH(Emissions!$D61,EF!$D$84:$D$99,0))*INDEX(EF!$H$100:$H$115,MATCH(Emissions!$D61,EF!$D$100:$D$115,0))*INDEX(EF!$H$116:$H$131,MATCH(Emissions!$D61,EF!$D$116:$D$131,0))*kgtoGg</f>
        <v>7.8498133629765956E-3</v>
      </c>
      <c r="AA61" s="23">
        <f>INDEX('Activity data'!AA$24:AA$39,MATCH(Emissions!$D61,'Activity data'!$D$24:$D$39,0))*INDEX(EF!$H$84:$H$99,MATCH(Emissions!$D61,EF!$D$84:$D$99,0))*INDEX(EF!$H$100:$H$115,MATCH(Emissions!$D61,EF!$D$100:$D$115,0))*INDEX(EF!$H$116:$H$131,MATCH(Emissions!$D61,EF!$D$116:$D$131,0))*kgtoGg</f>
        <v>1.1774720044464891E-2</v>
      </c>
      <c r="AB61" s="23">
        <f>INDEX('Activity data'!AB$24:AB$39,MATCH(Emissions!$D61,'Activity data'!$D$24:$D$39,0))*INDEX(EF!$H$84:$H$99,MATCH(Emissions!$D61,EF!$D$84:$D$99,0))*INDEX(EF!$H$100:$H$115,MATCH(Emissions!$D61,EF!$D$100:$D$115,0))*INDEX(EF!$H$116:$H$131,MATCH(Emissions!$D61,EF!$D$116:$D$131,0))*kgtoGg</f>
        <v>1.9544489999999998E-2</v>
      </c>
      <c r="AC61" s="23">
        <f>INDEX('Activity data'!AC$24:AC$39,MATCH(Emissions!$D61,'Activity data'!$D$24:$D$39,0))*INDEX(EF!$H$84:$H$99,MATCH(Emissions!$D61,EF!$D$84:$D$99,0))*INDEX(EF!$H$100:$H$115,MATCH(Emissions!$D61,EF!$D$100:$D$115,0))*INDEX(EF!$H$116:$H$131,MATCH(Emissions!$D61,EF!$D$116:$D$131,0))*kgtoGg</f>
        <v>5.1569217000000007E-2</v>
      </c>
      <c r="AD61" s="23">
        <f>INDEX('Activity data'!AD$24:AD$39,MATCH(Emissions!$D61,'Activity data'!$D$24:$D$39,0))*INDEX(EF!$H$84:$H$99,MATCH(Emissions!$D61,EF!$D$84:$D$99,0))*INDEX(EF!$H$100:$H$115,MATCH(Emissions!$D61,EF!$D$100:$D$115,0))*INDEX(EF!$H$116:$H$131,MATCH(Emissions!$D61,EF!$D$116:$D$131,0))*kgtoGg</f>
        <v>1.2228488999999999E-2</v>
      </c>
      <c r="AE61" s="23">
        <f>INDEX('Activity data'!AE$24:AE$39,MATCH(Emissions!$D61,'Activity data'!$D$24:$D$39,0))*INDEX(EF!$H$84:$H$99,MATCH(Emissions!$D61,EF!$D$84:$D$99,0))*INDEX(EF!$H$100:$H$115,MATCH(Emissions!$D61,EF!$D$100:$D$115,0))*INDEX(EF!$H$116:$H$131,MATCH(Emissions!$D61,EF!$D$116:$D$131,0))*kgtoGg</f>
        <v>1.46286E-2</v>
      </c>
      <c r="AF61" s="23">
        <f>INDEX('Activity data'!AF$24:AF$39,MATCH(Emissions!$D61,'Activity data'!$D$24:$D$39,0))*INDEX(EF!$H$84:$H$99,MATCH(Emissions!$D61,EF!$D$84:$D$99,0))*INDEX(EF!$H$100:$H$115,MATCH(Emissions!$D61,EF!$D$100:$D$115,0))*INDEX(EF!$H$116:$H$131,MATCH(Emissions!$D61,EF!$D$116:$D$131,0))*kgtoGg</f>
        <v>5.570775E-3</v>
      </c>
      <c r="AG61" s="23">
        <f>INDEX('Activity data'!AG$24:AG$39,MATCH(Emissions!$D61,'Activity data'!$D$24:$D$39,0))*INDEX(EF!$H$84:$H$99,MATCH(Emissions!$D61,EF!$D$84:$D$99,0))*INDEX(EF!$H$100:$H$115,MATCH(Emissions!$D61,EF!$D$100:$D$115,0))*INDEX(EF!$H$116:$H$131,MATCH(Emissions!$D61,EF!$D$116:$D$131,0))*kgtoGg</f>
        <v>2.9269106999999999E-2</v>
      </c>
      <c r="AH61" s="23">
        <f>INDEX('Activity data'!AH$24:AH$39,MATCH(Emissions!$D61,'Activity data'!$D$24:$D$39,0))*INDEX(EF!$H$84:$H$99,MATCH(Emissions!$D61,EF!$D$84:$D$99,0))*INDEX(EF!$H$100:$H$115,MATCH(Emissions!$D61,EF!$D$100:$D$115,0))*INDEX(EF!$H$116:$H$131,MATCH(Emissions!$D61,EF!$D$116:$D$131,0))*kgtoGg</f>
        <v>2.5062534000000001E-2</v>
      </c>
      <c r="AI61" s="23">
        <f>INDEX('Activity data'!AI$24:AI$39,MATCH(Emissions!$D61,'Activity data'!$D$24:$D$39,0))*INDEX(EF!$H$84:$H$99,MATCH(Emissions!$D61,EF!$D$84:$D$99,0))*INDEX(EF!$H$100:$H$115,MATCH(Emissions!$D61,EF!$D$100:$D$115,0))*INDEX(EF!$H$116:$H$131,MATCH(Emissions!$D61,EF!$D$116:$D$131,0))*kgtoGg</f>
        <v>2.5307477999999998E-2</v>
      </c>
      <c r="AJ61" s="23">
        <f>INDEX('Activity data'!AJ$24:AJ$39,MATCH(Emissions!$D61,'Activity data'!$D$24:$D$39,0))*INDEX(EF!$H$84:$H$99,MATCH(Emissions!$D61,EF!$D$84:$D$99,0))*INDEX(EF!$H$100:$H$115,MATCH(Emissions!$D61,EF!$D$100:$D$115,0))*INDEX(EF!$H$116:$H$131,MATCH(Emissions!$D61,EF!$D$116:$D$131,0))*kgtoGg</f>
        <v>1.2918022559896972E-2</v>
      </c>
      <c r="AK61" s="23">
        <f>INDEX('Activity data'!AK$24:AK$39,MATCH(Emissions!$D61,'Activity data'!$D$24:$D$39,0))*INDEX(EF!$H$84:$H$99,MATCH(Emissions!$D61,EF!$D$84:$D$99,0))*INDEX(EF!$H$100:$H$115,MATCH(Emissions!$D61,EF!$D$100:$D$115,0))*INDEX(EF!$H$116:$H$131,MATCH(Emissions!$D61,EF!$D$116:$D$131,0))*kgtoGg</f>
        <v>1.2853751220868721E-2</v>
      </c>
      <c r="AL61" s="23">
        <f>INDEX('Activity data'!AL$24:AL$39,MATCH(Emissions!$D61,'Activity data'!$D$24:$D$39,0))*INDEX(EF!$H$84:$H$99,MATCH(Emissions!$D61,EF!$D$84:$D$99,0))*INDEX(EF!$H$100:$H$115,MATCH(Emissions!$D61,EF!$D$100:$D$115,0))*INDEX(EF!$H$116:$H$131,MATCH(Emissions!$D61,EF!$D$116:$D$131,0))*kgtoGg</f>
        <v>1.2789479881840472E-2</v>
      </c>
      <c r="AM61" s="23">
        <f>INDEX('Activity data'!AM$24:AM$39,MATCH(Emissions!$D61,'Activity data'!$D$24:$D$39,0))*INDEX(EF!$H$84:$H$99,MATCH(Emissions!$D61,EF!$D$84:$D$99,0))*INDEX(EF!$H$100:$H$115,MATCH(Emissions!$D61,EF!$D$100:$D$115,0))*INDEX(EF!$H$116:$H$131,MATCH(Emissions!$D61,EF!$D$116:$D$131,0))*kgtoGg</f>
        <v>1.2725208542812222E-2</v>
      </c>
      <c r="AN61" s="23">
        <f>INDEX('Activity data'!AN$24:AN$39,MATCH(Emissions!$D61,'Activity data'!$D$24:$D$39,0))*INDEX(EF!$H$84:$H$99,MATCH(Emissions!$D61,EF!$D$84:$D$99,0))*INDEX(EF!$H$100:$H$115,MATCH(Emissions!$D61,EF!$D$100:$D$115,0))*INDEX(EF!$H$116:$H$131,MATCH(Emissions!$D61,EF!$D$116:$D$131,0))*kgtoGg</f>
        <v>1.2660937203783975E-2</v>
      </c>
      <c r="AO61" s="23">
        <f>INDEX('Activity data'!AO$24:AO$39,MATCH(Emissions!$D61,'Activity data'!$D$24:$D$39,0))*INDEX(EF!$H$84:$H$99,MATCH(Emissions!$D61,EF!$D$84:$D$99,0))*INDEX(EF!$H$100:$H$115,MATCH(Emissions!$D61,EF!$D$100:$D$115,0))*INDEX(EF!$H$116:$H$131,MATCH(Emissions!$D61,EF!$D$116:$D$131,0))*kgtoGg</f>
        <v>1.2596665864755725E-2</v>
      </c>
      <c r="AP61" s="23">
        <f>INDEX('Activity data'!AP$24:AP$39,MATCH(Emissions!$D61,'Activity data'!$D$24:$D$39,0))*INDEX(EF!$H$84:$H$99,MATCH(Emissions!$D61,EF!$D$84:$D$99,0))*INDEX(EF!$H$100:$H$115,MATCH(Emissions!$D61,EF!$D$100:$D$115,0))*INDEX(EF!$H$116:$H$131,MATCH(Emissions!$D61,EF!$D$116:$D$131,0))*kgtoGg</f>
        <v>1.2532394525727474E-2</v>
      </c>
      <c r="AQ61" s="23">
        <f>INDEX('Activity data'!AQ$24:AQ$39,MATCH(Emissions!$D61,'Activity data'!$D$24:$D$39,0))*INDEX(EF!$H$84:$H$99,MATCH(Emissions!$D61,EF!$D$84:$D$99,0))*INDEX(EF!$H$100:$H$115,MATCH(Emissions!$D61,EF!$D$100:$D$115,0))*INDEX(EF!$H$116:$H$131,MATCH(Emissions!$D61,EF!$D$116:$D$131,0))*kgtoGg</f>
        <v>1.2468123186699228E-2</v>
      </c>
      <c r="AR61" s="23">
        <f>INDEX('Activity data'!AR$24:AR$39,MATCH(Emissions!$D61,'Activity data'!$D$24:$D$39,0))*INDEX(EF!$H$84:$H$99,MATCH(Emissions!$D61,EF!$D$84:$D$99,0))*INDEX(EF!$H$100:$H$115,MATCH(Emissions!$D61,EF!$D$100:$D$115,0))*INDEX(EF!$H$116:$H$131,MATCH(Emissions!$D61,EF!$D$116:$D$131,0))*kgtoGg</f>
        <v>1.2403851847670977E-2</v>
      </c>
      <c r="AS61" s="23">
        <f>INDEX('Activity data'!AS$24:AS$39,MATCH(Emissions!$D61,'Activity data'!$D$24:$D$39,0))*INDEX(EF!$H$84:$H$99,MATCH(Emissions!$D61,EF!$D$84:$D$99,0))*INDEX(EF!$H$100:$H$115,MATCH(Emissions!$D61,EF!$D$100:$D$115,0))*INDEX(EF!$H$116:$H$131,MATCH(Emissions!$D61,EF!$D$116:$D$131,0))*kgtoGg</f>
        <v>1.2339580508642728E-2</v>
      </c>
      <c r="AT61" s="23">
        <f>INDEX('Activity data'!AT$24:AT$39,MATCH(Emissions!$D61,'Activity data'!$D$24:$D$39,0))*INDEX(EF!$H$84:$H$99,MATCH(Emissions!$D61,EF!$D$84:$D$99,0))*INDEX(EF!$H$100:$H$115,MATCH(Emissions!$D61,EF!$D$100:$D$115,0))*INDEX(EF!$H$116:$H$131,MATCH(Emissions!$D61,EF!$D$116:$D$131,0))*kgtoGg</f>
        <v>1.2275309169614479E-2</v>
      </c>
      <c r="AU61" s="23">
        <f>INDEX('Activity data'!AU$24:AU$39,MATCH(Emissions!$D61,'Activity data'!$D$24:$D$39,0))*INDEX(EF!$H$84:$H$99,MATCH(Emissions!$D61,EF!$D$84:$D$99,0))*INDEX(EF!$H$100:$H$115,MATCH(Emissions!$D61,EF!$D$100:$D$115,0))*INDEX(EF!$H$116:$H$131,MATCH(Emissions!$D61,EF!$D$116:$D$131,0))*kgtoGg</f>
        <v>1.2211037830586228E-2</v>
      </c>
      <c r="AV61" s="23">
        <f>INDEX('Activity data'!AV$24:AV$39,MATCH(Emissions!$D61,'Activity data'!$D$24:$D$39,0))*INDEX(EF!$H$84:$H$99,MATCH(Emissions!$D61,EF!$D$84:$D$99,0))*INDEX(EF!$H$100:$H$115,MATCH(Emissions!$D61,EF!$D$100:$D$115,0))*INDEX(EF!$H$116:$H$131,MATCH(Emissions!$D61,EF!$D$116:$D$131,0))*kgtoGg</f>
        <v>1.2146766491557982E-2</v>
      </c>
      <c r="AW61" s="23">
        <f>INDEX('Activity data'!AW$24:AW$39,MATCH(Emissions!$D61,'Activity data'!$D$24:$D$39,0))*INDEX(EF!$H$84:$H$99,MATCH(Emissions!$D61,EF!$D$84:$D$99,0))*INDEX(EF!$H$100:$H$115,MATCH(Emissions!$D61,EF!$D$100:$D$115,0))*INDEX(EF!$H$116:$H$131,MATCH(Emissions!$D61,EF!$D$116:$D$131,0))*kgtoGg</f>
        <v>1.2082495152529736E-2</v>
      </c>
      <c r="AX61" s="23">
        <f>INDEX('Activity data'!AX$24:AX$39,MATCH(Emissions!$D61,'Activity data'!$D$24:$D$39,0))*INDEX(EF!$H$84:$H$99,MATCH(Emissions!$D61,EF!$D$84:$D$99,0))*INDEX(EF!$H$100:$H$115,MATCH(Emissions!$D61,EF!$D$100:$D$115,0))*INDEX(EF!$H$116:$H$131,MATCH(Emissions!$D61,EF!$D$116:$D$131,0))*kgtoGg</f>
        <v>1.2018223813501486E-2</v>
      </c>
      <c r="AY61" s="23">
        <f>INDEX('Activity data'!AY$24:AY$39,MATCH(Emissions!$D61,'Activity data'!$D$24:$D$39,0))*INDEX(EF!$H$84:$H$99,MATCH(Emissions!$D61,EF!$D$84:$D$99,0))*INDEX(EF!$H$100:$H$115,MATCH(Emissions!$D61,EF!$D$100:$D$115,0))*INDEX(EF!$H$116:$H$131,MATCH(Emissions!$D61,EF!$D$116:$D$131,0))*kgtoGg</f>
        <v>1.1953952474473237E-2</v>
      </c>
      <c r="AZ61" s="23">
        <f>INDEX('Activity data'!AZ$24:AZ$39,MATCH(Emissions!$D61,'Activity data'!$D$24:$D$39,0))*INDEX(EF!$H$84:$H$99,MATCH(Emissions!$D61,EF!$D$84:$D$99,0))*INDEX(EF!$H$100:$H$115,MATCH(Emissions!$D61,EF!$D$100:$D$115,0))*INDEX(EF!$H$116:$H$131,MATCH(Emissions!$D61,EF!$D$116:$D$131,0))*kgtoGg</f>
        <v>1.1889681135444986E-2</v>
      </c>
      <c r="BA61" s="23">
        <f>INDEX('Activity data'!BA$24:BA$39,MATCH(Emissions!$D61,'Activity data'!$D$24:$D$39,0))*INDEX(EF!$H$84:$H$99,MATCH(Emissions!$D61,EF!$D$84:$D$99,0))*INDEX(EF!$H$100:$H$115,MATCH(Emissions!$D61,EF!$D$100:$D$115,0))*INDEX(EF!$H$116:$H$131,MATCH(Emissions!$D61,EF!$D$116:$D$131,0))*kgtoGg</f>
        <v>1.1825409796416738E-2</v>
      </c>
      <c r="BB61" s="23">
        <f>INDEX('Activity data'!BB$24:BB$39,MATCH(Emissions!$D61,'Activity data'!$D$24:$D$39,0))*INDEX(EF!$H$84:$H$99,MATCH(Emissions!$D61,EF!$D$84:$D$99,0))*INDEX(EF!$H$100:$H$115,MATCH(Emissions!$D61,EF!$D$100:$D$115,0))*INDEX(EF!$H$116:$H$131,MATCH(Emissions!$D61,EF!$D$116:$D$131,0))*kgtoGg</f>
        <v>1.1761138457388489E-2</v>
      </c>
      <c r="BC61" s="23">
        <f>INDEX('Activity data'!BC$24:BC$39,MATCH(Emissions!$D61,'Activity data'!$D$24:$D$39,0))*INDEX(EF!$H$84:$H$99,MATCH(Emissions!$D61,EF!$D$84:$D$99,0))*INDEX(EF!$H$100:$H$115,MATCH(Emissions!$D61,EF!$D$100:$D$115,0))*INDEX(EF!$H$116:$H$131,MATCH(Emissions!$D61,EF!$D$116:$D$131,0))*kgtoGg</f>
        <v>1.169686711836024E-2</v>
      </c>
      <c r="BD61" s="23">
        <f>INDEX('Activity data'!BD$24:BD$39,MATCH(Emissions!$D61,'Activity data'!$D$24:$D$39,0))*INDEX(EF!$H$84:$H$99,MATCH(Emissions!$D61,EF!$D$84:$D$99,0))*INDEX(EF!$H$100:$H$115,MATCH(Emissions!$D61,EF!$D$100:$D$115,0))*INDEX(EF!$H$116:$H$131,MATCH(Emissions!$D61,EF!$D$116:$D$131,0))*kgtoGg</f>
        <v>1.1632595779331994E-2</v>
      </c>
      <c r="BE61" s="23">
        <f>INDEX('Activity data'!BE$24:BE$39,MATCH(Emissions!$D61,'Activity data'!$D$24:$D$39,0))*INDEX(EF!$H$84:$H$99,MATCH(Emissions!$D61,EF!$D$84:$D$99,0))*INDEX(EF!$H$100:$H$115,MATCH(Emissions!$D61,EF!$D$100:$D$115,0))*INDEX(EF!$H$116:$H$131,MATCH(Emissions!$D61,EF!$D$116:$D$131,0))*kgtoGg</f>
        <v>1.1568324440303744E-2</v>
      </c>
      <c r="BF61" s="23">
        <f>INDEX('Activity data'!BF$24:BF$39,MATCH(Emissions!$D61,'Activity data'!$D$24:$D$39,0))*INDEX(EF!$H$84:$H$99,MATCH(Emissions!$D61,EF!$D$84:$D$99,0))*INDEX(EF!$H$100:$H$115,MATCH(Emissions!$D61,EF!$D$100:$D$115,0))*INDEX(EF!$H$116:$H$131,MATCH(Emissions!$D61,EF!$D$116:$D$131,0))*kgtoGg</f>
        <v>1.1504053101275493E-2</v>
      </c>
      <c r="BG61" s="23">
        <f>INDEX('Activity data'!BG$24:BG$39,MATCH(Emissions!$D61,'Activity data'!$D$24:$D$39,0))*INDEX(EF!$H$84:$H$99,MATCH(Emissions!$D61,EF!$D$84:$D$99,0))*INDEX(EF!$H$100:$H$115,MATCH(Emissions!$D61,EF!$D$100:$D$115,0))*INDEX(EF!$H$116:$H$131,MATCH(Emissions!$D61,EF!$D$116:$D$131,0))*kgtoGg</f>
        <v>1.1439781762247242E-2</v>
      </c>
      <c r="BH61" s="23">
        <f>INDEX('Activity data'!BH$24:BH$39,MATCH(Emissions!$D61,'Activity data'!$D$24:$D$39,0))*INDEX(EF!$H$84:$H$99,MATCH(Emissions!$D61,EF!$D$84:$D$99,0))*INDEX(EF!$H$100:$H$115,MATCH(Emissions!$D61,EF!$D$100:$D$115,0))*INDEX(EF!$H$116:$H$131,MATCH(Emissions!$D61,EF!$D$116:$D$131,0))*kgtoGg</f>
        <v>1.1375510423218993E-2</v>
      </c>
      <c r="BI61" s="23">
        <f>INDEX('Activity data'!BI$24:BI$39,MATCH(Emissions!$D61,'Activity data'!$D$24:$D$39,0))*INDEX(EF!$H$84:$H$99,MATCH(Emissions!$D61,EF!$D$84:$D$99,0))*INDEX(EF!$H$100:$H$115,MATCH(Emissions!$D61,EF!$D$100:$D$115,0))*INDEX(EF!$H$116:$H$131,MATCH(Emissions!$D61,EF!$D$116:$D$131,0))*kgtoGg</f>
        <v>1.1311239084190747E-2</v>
      </c>
      <c r="BJ61" s="23">
        <f>INDEX('Activity data'!BJ$24:BJ$39,MATCH(Emissions!$D61,'Activity data'!$D$24:$D$39,0))*INDEX(EF!$H$84:$H$99,MATCH(Emissions!$D61,EF!$D$84:$D$99,0))*INDEX(EF!$H$100:$H$115,MATCH(Emissions!$D61,EF!$D$100:$D$115,0))*INDEX(EF!$H$116:$H$131,MATCH(Emissions!$D61,EF!$D$116:$D$131,0))*kgtoGg</f>
        <v>1.1246967745162498E-2</v>
      </c>
      <c r="BK61" s="23">
        <f>INDEX('Activity data'!BK$24:BK$39,MATCH(Emissions!$D61,'Activity data'!$D$24:$D$39,0))*INDEX(EF!$H$84:$H$99,MATCH(Emissions!$D61,EF!$D$84:$D$99,0))*INDEX(EF!$H$100:$H$115,MATCH(Emissions!$D61,EF!$D$100:$D$115,0))*INDEX(EF!$H$116:$H$131,MATCH(Emissions!$D61,EF!$D$116:$D$131,0))*kgtoGg</f>
        <v>1.1182696406134247E-2</v>
      </c>
      <c r="BL61" s="23">
        <f>INDEX('Activity data'!BL$24:BL$39,MATCH(Emissions!$D61,'Activity data'!$D$24:$D$39,0))*INDEX(EF!$H$84:$H$99,MATCH(Emissions!$D61,EF!$D$84:$D$99,0))*INDEX(EF!$H$100:$H$115,MATCH(Emissions!$D61,EF!$D$100:$D$115,0))*INDEX(EF!$H$116:$H$131,MATCH(Emissions!$D61,EF!$D$116:$D$131,0))*kgtoGg</f>
        <v>1.1118425067105999E-2</v>
      </c>
      <c r="BM61" s="23">
        <f>INDEX('Activity data'!BM$24:BM$39,MATCH(Emissions!$D61,'Activity data'!$D$24:$D$39,0))*INDEX(EF!$H$84:$H$99,MATCH(Emissions!$D61,EF!$D$84:$D$99,0))*INDEX(EF!$H$100:$H$115,MATCH(Emissions!$D61,EF!$D$100:$D$115,0))*INDEX(EF!$H$116:$H$131,MATCH(Emissions!$D61,EF!$D$116:$D$131,0))*kgtoGg</f>
        <v>1.105415372807775E-2</v>
      </c>
      <c r="BN61" s="23">
        <f>INDEX('Activity data'!BN$24:BN$39,MATCH(Emissions!$D61,'Activity data'!$D$24:$D$39,0))*INDEX(EF!$H$84:$H$99,MATCH(Emissions!$D61,EF!$D$84:$D$99,0))*INDEX(EF!$H$100:$H$115,MATCH(Emissions!$D61,EF!$D$100:$D$115,0))*INDEX(EF!$H$116:$H$131,MATCH(Emissions!$D61,EF!$D$116:$D$131,0))*kgtoGg</f>
        <v>1.09898823890495E-2</v>
      </c>
      <c r="BO61" s="23">
        <f>INDEX('Activity data'!BO$24:BO$39,MATCH(Emissions!$D61,'Activity data'!$D$24:$D$39,0))*INDEX(EF!$H$84:$H$99,MATCH(Emissions!$D61,EF!$D$84:$D$99,0))*INDEX(EF!$H$100:$H$115,MATCH(Emissions!$D61,EF!$D$100:$D$115,0))*INDEX(EF!$H$116:$H$131,MATCH(Emissions!$D61,EF!$D$116:$D$131,0))*kgtoGg</f>
        <v>1.0925611050021251E-2</v>
      </c>
      <c r="BP61" s="23">
        <f>INDEX('Activity data'!BP$24:BP$39,MATCH(Emissions!$D61,'Activity data'!$D$24:$D$39,0))*INDEX(EF!$H$84:$H$99,MATCH(Emissions!$D61,EF!$D$84:$D$99,0))*INDEX(EF!$H$100:$H$115,MATCH(Emissions!$D61,EF!$D$100:$D$115,0))*INDEX(EF!$H$116:$H$131,MATCH(Emissions!$D61,EF!$D$116:$D$131,0))*kgtoGg</f>
        <v>1.0861339710993E-2</v>
      </c>
    </row>
    <row r="62" spans="1:68" x14ac:dyDescent="0.25">
      <c r="A62" t="str">
        <f t="shared" si="19"/>
        <v>3C Aggregated and non-CO2 emissions on land</v>
      </c>
      <c r="B62" t="str">
        <f t="shared" si="20"/>
        <v>3C1 Biomass burning (CH4)</v>
      </c>
      <c r="C62" t="str">
        <f t="shared" si="18"/>
        <v>3C1b Biomass burning in Croplands</v>
      </c>
      <c r="D62" t="str">
        <f>EF!D92</f>
        <v>Cropland subsistence</v>
      </c>
      <c r="E62" t="s">
        <v>733</v>
      </c>
      <c r="F62" t="str">
        <f t="shared" ref="F62:F65" si="21">F61</f>
        <v>CH4</v>
      </c>
      <c r="G62" t="str">
        <f t="shared" ref="G62:G65" si="22">G61</f>
        <v>Gg CH4</v>
      </c>
      <c r="H62" s="23">
        <f>INDEX('Activity data'!H$24:H$39,MATCH(Emissions!$D62,'Activity data'!$D$24:$D$39,0))*INDEX(EF!$H$84:$H$99,MATCH(Emissions!$D62,EF!$D$84:$D$99,0))*INDEX(EF!$H$100:$H$115,MATCH(Emissions!$D62,EF!$D$100:$D$115,0))*INDEX(EF!$H$116:$H$131,MATCH(Emissions!$D62,EF!$D$116:$D$131,0))*kgtoGg</f>
        <v>2.2958959683736984</v>
      </c>
      <c r="I62" s="23">
        <f>INDEX('Activity data'!I$24:I$39,MATCH(Emissions!$D62,'Activity data'!$D$24:$D$39,0))*INDEX(EF!$H$84:$H$99,MATCH(Emissions!$D62,EF!$D$84:$D$99,0))*INDEX(EF!$H$100:$H$115,MATCH(Emissions!$D62,EF!$D$100:$D$115,0))*INDEX(EF!$H$116:$H$131,MATCH(Emissions!$D62,EF!$D$116:$D$131,0))*kgtoGg</f>
        <v>2.2958959683736984</v>
      </c>
      <c r="J62" s="23">
        <f>INDEX('Activity data'!J$24:J$39,MATCH(Emissions!$D62,'Activity data'!$D$24:$D$39,0))*INDEX(EF!$H$84:$H$99,MATCH(Emissions!$D62,EF!$D$84:$D$99,0))*INDEX(EF!$H$100:$H$115,MATCH(Emissions!$D62,EF!$D$100:$D$115,0))*INDEX(EF!$H$116:$H$131,MATCH(Emissions!$D62,EF!$D$116:$D$131,0))*kgtoGg</f>
        <v>2.2958959683736984</v>
      </c>
      <c r="K62" s="23">
        <f>INDEX('Activity data'!K$24:K$39,MATCH(Emissions!$D62,'Activity data'!$D$24:$D$39,0))*INDEX(EF!$H$84:$H$99,MATCH(Emissions!$D62,EF!$D$84:$D$99,0))*INDEX(EF!$H$100:$H$115,MATCH(Emissions!$D62,EF!$D$100:$D$115,0))*INDEX(EF!$H$116:$H$131,MATCH(Emissions!$D62,EF!$D$116:$D$131,0))*kgtoGg</f>
        <v>2.2958959683736984</v>
      </c>
      <c r="L62" s="23">
        <f>INDEX('Activity data'!L$24:L$39,MATCH(Emissions!$D62,'Activity data'!$D$24:$D$39,0))*INDEX(EF!$H$84:$H$99,MATCH(Emissions!$D62,EF!$D$84:$D$99,0))*INDEX(EF!$H$100:$H$115,MATCH(Emissions!$D62,EF!$D$100:$D$115,0))*INDEX(EF!$H$116:$H$131,MATCH(Emissions!$D62,EF!$D$116:$D$131,0))*kgtoGg</f>
        <v>2.2958959683736984</v>
      </c>
      <c r="M62" s="23">
        <f>INDEX('Activity data'!M$24:M$39,MATCH(Emissions!$D62,'Activity data'!$D$24:$D$39,0))*INDEX(EF!$H$84:$H$99,MATCH(Emissions!$D62,EF!$D$84:$D$99,0))*INDEX(EF!$H$100:$H$115,MATCH(Emissions!$D62,EF!$D$100:$D$115,0))*INDEX(EF!$H$116:$H$131,MATCH(Emissions!$D62,EF!$D$116:$D$131,0))*kgtoGg</f>
        <v>2.2958959683736984</v>
      </c>
      <c r="N62" s="23">
        <f>INDEX('Activity data'!N$24:N$39,MATCH(Emissions!$D62,'Activity data'!$D$24:$D$39,0))*INDEX(EF!$H$84:$H$99,MATCH(Emissions!$D62,EF!$D$84:$D$99,0))*INDEX(EF!$H$100:$H$115,MATCH(Emissions!$D62,EF!$D$100:$D$115,0))*INDEX(EF!$H$116:$H$131,MATCH(Emissions!$D62,EF!$D$116:$D$131,0))*kgtoGg</f>
        <v>2.2958959683736984</v>
      </c>
      <c r="O62" s="23">
        <f>INDEX('Activity data'!O$24:O$39,MATCH(Emissions!$D62,'Activity data'!$D$24:$D$39,0))*INDEX(EF!$H$84:$H$99,MATCH(Emissions!$D62,EF!$D$84:$D$99,0))*INDEX(EF!$H$100:$H$115,MATCH(Emissions!$D62,EF!$D$100:$D$115,0))*INDEX(EF!$H$116:$H$131,MATCH(Emissions!$D62,EF!$D$116:$D$131,0))*kgtoGg</f>
        <v>2.2958959683736984</v>
      </c>
      <c r="P62" s="23">
        <f>INDEX('Activity data'!P$24:P$39,MATCH(Emissions!$D62,'Activity data'!$D$24:$D$39,0))*INDEX(EF!$H$84:$H$99,MATCH(Emissions!$D62,EF!$D$84:$D$99,0))*INDEX(EF!$H$100:$H$115,MATCH(Emissions!$D62,EF!$D$100:$D$115,0))*INDEX(EF!$H$116:$H$131,MATCH(Emissions!$D62,EF!$D$116:$D$131,0))*kgtoGg</f>
        <v>2.2958959683736984</v>
      </c>
      <c r="Q62" s="23">
        <f>INDEX('Activity data'!Q$24:Q$39,MATCH(Emissions!$D62,'Activity data'!$D$24:$D$39,0))*INDEX(EF!$H$84:$H$99,MATCH(Emissions!$D62,EF!$D$84:$D$99,0))*INDEX(EF!$H$100:$H$115,MATCH(Emissions!$D62,EF!$D$100:$D$115,0))*INDEX(EF!$H$116:$H$131,MATCH(Emissions!$D62,EF!$D$116:$D$131,0))*kgtoGg</f>
        <v>2.2958959683736984</v>
      </c>
      <c r="R62" s="23">
        <f>INDEX('Activity data'!R$24:R$39,MATCH(Emissions!$D62,'Activity data'!$D$24:$D$39,0))*INDEX(EF!$H$84:$H$99,MATCH(Emissions!$D62,EF!$D$84:$D$99,0))*INDEX(EF!$H$100:$H$115,MATCH(Emissions!$D62,EF!$D$100:$D$115,0))*INDEX(EF!$H$116:$H$131,MATCH(Emissions!$D62,EF!$D$116:$D$131,0))*kgtoGg</f>
        <v>2.0976445708843015</v>
      </c>
      <c r="S62" s="23">
        <f>INDEX('Activity data'!S$24:S$39,MATCH(Emissions!$D62,'Activity data'!$D$24:$D$39,0))*INDEX(EF!$H$84:$H$99,MATCH(Emissions!$D62,EF!$D$84:$D$99,0))*INDEX(EF!$H$100:$H$115,MATCH(Emissions!$D62,EF!$D$100:$D$115,0))*INDEX(EF!$H$116:$H$131,MATCH(Emissions!$D62,EF!$D$116:$D$131,0))*kgtoGg</f>
        <v>3.1399253451906373</v>
      </c>
      <c r="T62" s="23">
        <f>INDEX('Activity data'!T$24:T$39,MATCH(Emissions!$D62,'Activity data'!$D$24:$D$39,0))*INDEX(EF!$H$84:$H$99,MATCH(Emissions!$D62,EF!$D$84:$D$99,0))*INDEX(EF!$H$100:$H$115,MATCH(Emissions!$D62,EF!$D$100:$D$115,0))*INDEX(EF!$H$116:$H$131,MATCH(Emissions!$D62,EF!$D$116:$D$131,0))*kgtoGg</f>
        <v>2.47225510859524</v>
      </c>
      <c r="U62" s="23">
        <f>INDEX('Activity data'!U$24:U$39,MATCH(Emissions!$D62,'Activity data'!$D$24:$D$39,0))*INDEX(EF!$H$84:$H$99,MATCH(Emissions!$D62,EF!$D$84:$D$99,0))*INDEX(EF!$H$100:$H$115,MATCH(Emissions!$D62,EF!$D$100:$D$115,0))*INDEX(EF!$H$116:$H$131,MATCH(Emissions!$D62,EF!$D$116:$D$131,0))*kgtoGg</f>
        <v>2.0972084701419136</v>
      </c>
      <c r="V62" s="23">
        <f>INDEX('Activity data'!V$24:V$39,MATCH(Emissions!$D62,'Activity data'!$D$24:$D$39,0))*INDEX(EF!$H$84:$H$99,MATCH(Emissions!$D62,EF!$D$84:$D$99,0))*INDEX(EF!$H$100:$H$115,MATCH(Emissions!$D62,EF!$D$100:$D$115,0))*INDEX(EF!$H$116:$H$131,MATCH(Emissions!$D62,EF!$D$116:$D$131,0))*kgtoGg</f>
        <v>1.6724463470564022</v>
      </c>
      <c r="W62" s="23">
        <f>INDEX('Activity data'!W$24:W$39,MATCH(Emissions!$D62,'Activity data'!$D$24:$D$39,0))*INDEX(EF!$H$84:$H$99,MATCH(Emissions!$D62,EF!$D$84:$D$99,0))*INDEX(EF!$H$100:$H$115,MATCH(Emissions!$D62,EF!$D$100:$D$115,0))*INDEX(EF!$H$116:$H$131,MATCH(Emissions!$D62,EF!$D$116:$D$131,0))*kgtoGg</f>
        <v>3.6253054714680237</v>
      </c>
      <c r="X62" s="23">
        <f>INDEX('Activity data'!X$24:X$39,MATCH(Emissions!$D62,'Activity data'!$D$24:$D$39,0))*INDEX(EF!$H$84:$H$99,MATCH(Emissions!$D62,EF!$D$84:$D$99,0))*INDEX(EF!$H$100:$H$115,MATCH(Emissions!$D62,EF!$D$100:$D$115,0))*INDEX(EF!$H$116:$H$131,MATCH(Emissions!$D62,EF!$D$116:$D$131,0))*kgtoGg</f>
        <v>2.840760235912752</v>
      </c>
      <c r="Y62" s="23">
        <f>INDEX('Activity data'!Y$24:Y$39,MATCH(Emissions!$D62,'Activity data'!$D$24:$D$39,0))*INDEX(EF!$H$84:$H$99,MATCH(Emissions!$D62,EF!$D$84:$D$99,0))*INDEX(EF!$H$100:$H$115,MATCH(Emissions!$D62,EF!$D$100:$D$115,0))*INDEX(EF!$H$116:$H$131,MATCH(Emissions!$D62,EF!$D$116:$D$131,0))*kgtoGg</f>
        <v>4.3989481884636055</v>
      </c>
      <c r="Z62" s="23">
        <f>INDEX('Activity data'!Z$24:Z$39,MATCH(Emissions!$D62,'Activity data'!$D$24:$D$39,0))*INDEX(EF!$H$84:$H$99,MATCH(Emissions!$D62,EF!$D$84:$D$99,0))*INDEX(EF!$H$100:$H$115,MATCH(Emissions!$D62,EF!$D$100:$D$115,0))*INDEX(EF!$H$116:$H$131,MATCH(Emissions!$D62,EF!$D$116:$D$131,0))*kgtoGg</f>
        <v>2.6466954055502754</v>
      </c>
      <c r="AA62" s="23">
        <f>INDEX('Activity data'!AA$24:AA$39,MATCH(Emissions!$D62,'Activity data'!$D$24:$D$39,0))*INDEX(EF!$H$84:$H$99,MATCH(Emissions!$D62,EF!$D$84:$D$99,0))*INDEX(EF!$H$100:$H$115,MATCH(Emissions!$D62,EF!$D$100:$D$115,0))*INDEX(EF!$H$116:$H$131,MATCH(Emissions!$D62,EF!$D$116:$D$131,0))*kgtoGg</f>
        <v>3.1307672296004982</v>
      </c>
      <c r="AB62" s="23">
        <f>INDEX('Activity data'!AB$24:AB$39,MATCH(Emissions!$D62,'Activity data'!$D$24:$D$39,0))*INDEX(EF!$H$84:$H$99,MATCH(Emissions!$D62,EF!$D$84:$D$99,0))*INDEX(EF!$H$100:$H$115,MATCH(Emissions!$D62,EF!$D$100:$D$115,0))*INDEX(EF!$H$116:$H$131,MATCH(Emissions!$D62,EF!$D$116:$D$131,0))*kgtoGg</f>
        <v>2.1033375300000001</v>
      </c>
      <c r="AC62" s="23">
        <f>INDEX('Activity data'!AC$24:AC$39,MATCH(Emissions!$D62,'Activity data'!$D$24:$D$39,0))*INDEX(EF!$H$84:$H$99,MATCH(Emissions!$D62,EF!$D$84:$D$99,0))*INDEX(EF!$H$100:$H$115,MATCH(Emissions!$D62,EF!$D$100:$D$115,0))*INDEX(EF!$H$116:$H$131,MATCH(Emissions!$D62,EF!$D$116:$D$131,0))*kgtoGg</f>
        <v>1.4277904830000001</v>
      </c>
      <c r="AD62" s="23">
        <f>INDEX('Activity data'!AD$24:AD$39,MATCH(Emissions!$D62,'Activity data'!$D$24:$D$39,0))*INDEX(EF!$H$84:$H$99,MATCH(Emissions!$D62,EF!$D$84:$D$99,0))*INDEX(EF!$H$100:$H$115,MATCH(Emissions!$D62,EF!$D$100:$D$115,0))*INDEX(EF!$H$116:$H$131,MATCH(Emissions!$D62,EF!$D$116:$D$131,0))*kgtoGg</f>
        <v>1.2738142620000001</v>
      </c>
      <c r="AE62" s="23">
        <f>INDEX('Activity data'!AE$24:AE$39,MATCH(Emissions!$D62,'Activity data'!$D$24:$D$39,0))*INDEX(EF!$H$84:$H$99,MATCH(Emissions!$D62,EF!$D$84:$D$99,0))*INDEX(EF!$H$100:$H$115,MATCH(Emissions!$D62,EF!$D$100:$D$115,0))*INDEX(EF!$H$116:$H$131,MATCH(Emissions!$D62,EF!$D$116:$D$131,0))*kgtoGg</f>
        <v>1.9374304950000001</v>
      </c>
      <c r="AF62" s="23">
        <f>INDEX('Activity data'!AF$24:AF$39,MATCH(Emissions!$D62,'Activity data'!$D$24:$D$39,0))*INDEX(EF!$H$84:$H$99,MATCH(Emissions!$D62,EF!$D$84:$D$99,0))*INDEX(EF!$H$100:$H$115,MATCH(Emissions!$D62,EF!$D$100:$D$115,0))*INDEX(EF!$H$116:$H$131,MATCH(Emissions!$D62,EF!$D$116:$D$131,0))*kgtoGg</f>
        <v>1.9833285780000001</v>
      </c>
      <c r="AG62" s="23">
        <f>INDEX('Activity data'!AG$24:AG$39,MATCH(Emissions!$D62,'Activity data'!$D$24:$D$39,0))*INDEX(EF!$H$84:$H$99,MATCH(Emissions!$D62,EF!$D$84:$D$99,0))*INDEX(EF!$H$100:$H$115,MATCH(Emissions!$D62,EF!$D$100:$D$115,0))*INDEX(EF!$H$116:$H$131,MATCH(Emissions!$D62,EF!$D$116:$D$131,0))*kgtoGg</f>
        <v>0.66241532700000005</v>
      </c>
      <c r="AH62" s="23">
        <f>INDEX('Activity data'!AH$24:AH$39,MATCH(Emissions!$D62,'Activity data'!$D$24:$D$39,0))*INDEX(EF!$H$84:$H$99,MATCH(Emissions!$D62,EF!$D$84:$D$99,0))*INDEX(EF!$H$100:$H$115,MATCH(Emissions!$D62,EF!$D$100:$D$115,0))*INDEX(EF!$H$116:$H$131,MATCH(Emissions!$D62,EF!$D$116:$D$131,0))*kgtoGg</f>
        <v>0.21085255799999997</v>
      </c>
      <c r="AI62" s="23">
        <f>INDEX('Activity data'!AI$24:AI$39,MATCH(Emissions!$D62,'Activity data'!$D$24:$D$39,0))*INDEX(EF!$H$84:$H$99,MATCH(Emissions!$D62,EF!$D$84:$D$99,0))*INDEX(EF!$H$100:$H$115,MATCH(Emissions!$D62,EF!$D$100:$D$115,0))*INDEX(EF!$H$116:$H$131,MATCH(Emissions!$D62,EF!$D$116:$D$131,0))*kgtoGg</f>
        <v>0.20463200100000001</v>
      </c>
      <c r="AJ62" s="23">
        <f>INDEX('Activity data'!AJ$24:AJ$39,MATCH(Emissions!$D62,'Activity data'!$D$24:$D$39,0))*INDEX(EF!$H$84:$H$99,MATCH(Emissions!$D62,EF!$D$84:$D$99,0))*INDEX(EF!$H$100:$H$115,MATCH(Emissions!$D62,EF!$D$100:$D$115,0))*INDEX(EF!$H$116:$H$131,MATCH(Emissions!$D62,EF!$D$116:$D$131,0))*kgtoGg</f>
        <v>2.2090034551284905</v>
      </c>
      <c r="AK62" s="23">
        <f>INDEX('Activity data'!AK$24:AK$39,MATCH(Emissions!$D62,'Activity data'!$D$24:$D$39,0))*INDEX(EF!$H$84:$H$99,MATCH(Emissions!$D62,EF!$D$84:$D$99,0))*INDEX(EF!$H$100:$H$115,MATCH(Emissions!$D62,EF!$D$100:$D$115,0))*INDEX(EF!$H$116:$H$131,MATCH(Emissions!$D62,EF!$D$116:$D$131,0))*kgtoGg</f>
        <v>2.2121023094371353</v>
      </c>
      <c r="AL62" s="23">
        <f>INDEX('Activity data'!AL$24:AL$39,MATCH(Emissions!$D62,'Activity data'!$D$24:$D$39,0))*INDEX(EF!$H$84:$H$99,MATCH(Emissions!$D62,EF!$D$84:$D$99,0))*INDEX(EF!$H$100:$H$115,MATCH(Emissions!$D62,EF!$D$100:$D$115,0))*INDEX(EF!$H$116:$H$131,MATCH(Emissions!$D62,EF!$D$116:$D$131,0))*kgtoGg</f>
        <v>2.2152011637457809</v>
      </c>
      <c r="AM62" s="23">
        <f>INDEX('Activity data'!AM$24:AM$39,MATCH(Emissions!$D62,'Activity data'!$D$24:$D$39,0))*INDEX(EF!$H$84:$H$99,MATCH(Emissions!$D62,EF!$D$84:$D$99,0))*INDEX(EF!$H$100:$H$115,MATCH(Emissions!$D62,EF!$D$100:$D$115,0))*INDEX(EF!$H$116:$H$131,MATCH(Emissions!$D62,EF!$D$116:$D$131,0))*kgtoGg</f>
        <v>2.2183000180544261</v>
      </c>
      <c r="AN62" s="23">
        <f>INDEX('Activity data'!AN$24:AN$39,MATCH(Emissions!$D62,'Activity data'!$D$24:$D$39,0))*INDEX(EF!$H$84:$H$99,MATCH(Emissions!$D62,EF!$D$84:$D$99,0))*INDEX(EF!$H$100:$H$115,MATCH(Emissions!$D62,EF!$D$100:$D$115,0))*INDEX(EF!$H$116:$H$131,MATCH(Emissions!$D62,EF!$D$116:$D$131,0))*kgtoGg</f>
        <v>2.2213988723630713</v>
      </c>
      <c r="AO62" s="23">
        <f>INDEX('Activity data'!AO$24:AO$39,MATCH(Emissions!$D62,'Activity data'!$D$24:$D$39,0))*INDEX(EF!$H$84:$H$99,MATCH(Emissions!$D62,EF!$D$84:$D$99,0))*INDEX(EF!$H$100:$H$115,MATCH(Emissions!$D62,EF!$D$100:$D$115,0))*INDEX(EF!$H$116:$H$131,MATCH(Emissions!$D62,EF!$D$116:$D$131,0))*kgtoGg</f>
        <v>2.2244977266717165</v>
      </c>
      <c r="AP62" s="23">
        <f>INDEX('Activity data'!AP$24:AP$39,MATCH(Emissions!$D62,'Activity data'!$D$24:$D$39,0))*INDEX(EF!$H$84:$H$99,MATCH(Emissions!$D62,EF!$D$84:$D$99,0))*INDEX(EF!$H$100:$H$115,MATCH(Emissions!$D62,EF!$D$100:$D$115,0))*INDEX(EF!$H$116:$H$131,MATCH(Emissions!$D62,EF!$D$116:$D$131,0))*kgtoGg</f>
        <v>2.2275965809803617</v>
      </c>
      <c r="AQ62" s="23">
        <f>INDEX('Activity data'!AQ$24:AQ$39,MATCH(Emissions!$D62,'Activity data'!$D$24:$D$39,0))*INDEX(EF!$H$84:$H$99,MATCH(Emissions!$D62,EF!$D$84:$D$99,0))*INDEX(EF!$H$100:$H$115,MATCH(Emissions!$D62,EF!$D$100:$D$115,0))*INDEX(EF!$H$116:$H$131,MATCH(Emissions!$D62,EF!$D$116:$D$131,0))*kgtoGg</f>
        <v>2.2306954352890069</v>
      </c>
      <c r="AR62" s="23">
        <f>INDEX('Activity data'!AR$24:AR$39,MATCH(Emissions!$D62,'Activity data'!$D$24:$D$39,0))*INDEX(EF!$H$84:$H$99,MATCH(Emissions!$D62,EF!$D$84:$D$99,0))*INDEX(EF!$H$100:$H$115,MATCH(Emissions!$D62,EF!$D$100:$D$115,0))*INDEX(EF!$H$116:$H$131,MATCH(Emissions!$D62,EF!$D$116:$D$131,0))*kgtoGg</f>
        <v>2.2337942895976517</v>
      </c>
      <c r="AS62" s="23">
        <f>INDEX('Activity data'!AS$24:AS$39,MATCH(Emissions!$D62,'Activity data'!$D$24:$D$39,0))*INDEX(EF!$H$84:$H$99,MATCH(Emissions!$D62,EF!$D$84:$D$99,0))*INDEX(EF!$H$100:$H$115,MATCH(Emissions!$D62,EF!$D$100:$D$115,0))*INDEX(EF!$H$116:$H$131,MATCH(Emissions!$D62,EF!$D$116:$D$131,0))*kgtoGg</f>
        <v>2.2368931439062973</v>
      </c>
      <c r="AT62" s="23">
        <f>INDEX('Activity data'!AT$24:AT$39,MATCH(Emissions!$D62,'Activity data'!$D$24:$D$39,0))*INDEX(EF!$H$84:$H$99,MATCH(Emissions!$D62,EF!$D$84:$D$99,0))*INDEX(EF!$H$100:$H$115,MATCH(Emissions!$D62,EF!$D$100:$D$115,0))*INDEX(EF!$H$116:$H$131,MATCH(Emissions!$D62,EF!$D$116:$D$131,0))*kgtoGg</f>
        <v>2.2399919982149421</v>
      </c>
      <c r="AU62" s="23">
        <f>INDEX('Activity data'!AU$24:AU$39,MATCH(Emissions!$D62,'Activity data'!$D$24:$D$39,0))*INDEX(EF!$H$84:$H$99,MATCH(Emissions!$D62,EF!$D$84:$D$99,0))*INDEX(EF!$H$100:$H$115,MATCH(Emissions!$D62,EF!$D$100:$D$115,0))*INDEX(EF!$H$116:$H$131,MATCH(Emissions!$D62,EF!$D$116:$D$131,0))*kgtoGg</f>
        <v>2.2430908525235882</v>
      </c>
      <c r="AV62" s="23">
        <f>INDEX('Activity data'!AV$24:AV$39,MATCH(Emissions!$D62,'Activity data'!$D$24:$D$39,0))*INDEX(EF!$H$84:$H$99,MATCH(Emissions!$D62,EF!$D$84:$D$99,0))*INDEX(EF!$H$100:$H$115,MATCH(Emissions!$D62,EF!$D$100:$D$115,0))*INDEX(EF!$H$116:$H$131,MATCH(Emissions!$D62,EF!$D$116:$D$131,0))*kgtoGg</f>
        <v>2.246189706832233</v>
      </c>
      <c r="AW62" s="23">
        <f>INDEX('Activity data'!AW$24:AW$39,MATCH(Emissions!$D62,'Activity data'!$D$24:$D$39,0))*INDEX(EF!$H$84:$H$99,MATCH(Emissions!$D62,EF!$D$84:$D$99,0))*INDEX(EF!$H$100:$H$115,MATCH(Emissions!$D62,EF!$D$100:$D$115,0))*INDEX(EF!$H$116:$H$131,MATCH(Emissions!$D62,EF!$D$116:$D$131,0))*kgtoGg</f>
        <v>2.2492885611408786</v>
      </c>
      <c r="AX62" s="23">
        <f>INDEX('Activity data'!AX$24:AX$39,MATCH(Emissions!$D62,'Activity data'!$D$24:$D$39,0))*INDEX(EF!$H$84:$H$99,MATCH(Emissions!$D62,EF!$D$84:$D$99,0))*INDEX(EF!$H$100:$H$115,MATCH(Emissions!$D62,EF!$D$100:$D$115,0))*INDEX(EF!$H$116:$H$131,MATCH(Emissions!$D62,EF!$D$116:$D$131,0))*kgtoGg</f>
        <v>2.2523874154495234</v>
      </c>
      <c r="AY62" s="23">
        <f>INDEX('Activity data'!AY$24:AY$39,MATCH(Emissions!$D62,'Activity data'!$D$24:$D$39,0))*INDEX(EF!$H$84:$H$99,MATCH(Emissions!$D62,EF!$D$84:$D$99,0))*INDEX(EF!$H$100:$H$115,MATCH(Emissions!$D62,EF!$D$100:$D$115,0))*INDEX(EF!$H$116:$H$131,MATCH(Emissions!$D62,EF!$D$116:$D$131,0))*kgtoGg</f>
        <v>2.255486269758169</v>
      </c>
      <c r="AZ62" s="23">
        <f>INDEX('Activity data'!AZ$24:AZ$39,MATCH(Emissions!$D62,'Activity data'!$D$24:$D$39,0))*INDEX(EF!$H$84:$H$99,MATCH(Emissions!$D62,EF!$D$84:$D$99,0))*INDEX(EF!$H$100:$H$115,MATCH(Emissions!$D62,EF!$D$100:$D$115,0))*INDEX(EF!$H$116:$H$131,MATCH(Emissions!$D62,EF!$D$116:$D$131,0))*kgtoGg</f>
        <v>2.2585851240668142</v>
      </c>
      <c r="BA62" s="23">
        <f>INDEX('Activity data'!BA$24:BA$39,MATCH(Emissions!$D62,'Activity data'!$D$24:$D$39,0))*INDEX(EF!$H$84:$H$99,MATCH(Emissions!$D62,EF!$D$84:$D$99,0))*INDEX(EF!$H$100:$H$115,MATCH(Emissions!$D62,EF!$D$100:$D$115,0))*INDEX(EF!$H$116:$H$131,MATCH(Emissions!$D62,EF!$D$116:$D$131,0))*kgtoGg</f>
        <v>2.261683978375459</v>
      </c>
      <c r="BB62" s="23">
        <f>INDEX('Activity data'!BB$24:BB$39,MATCH(Emissions!$D62,'Activity data'!$D$24:$D$39,0))*INDEX(EF!$H$84:$H$99,MATCH(Emissions!$D62,EF!$D$84:$D$99,0))*INDEX(EF!$H$100:$H$115,MATCH(Emissions!$D62,EF!$D$100:$D$115,0))*INDEX(EF!$H$116:$H$131,MATCH(Emissions!$D62,EF!$D$116:$D$131,0))*kgtoGg</f>
        <v>2.2647828326841046</v>
      </c>
      <c r="BC62" s="23">
        <f>INDEX('Activity data'!BC$24:BC$39,MATCH(Emissions!$D62,'Activity data'!$D$24:$D$39,0))*INDEX(EF!$H$84:$H$99,MATCH(Emissions!$D62,EF!$D$84:$D$99,0))*INDEX(EF!$H$100:$H$115,MATCH(Emissions!$D62,EF!$D$100:$D$115,0))*INDEX(EF!$H$116:$H$131,MATCH(Emissions!$D62,EF!$D$116:$D$131,0))*kgtoGg</f>
        <v>2.2678816869927494</v>
      </c>
      <c r="BD62" s="23">
        <f>INDEX('Activity data'!BD$24:BD$39,MATCH(Emissions!$D62,'Activity data'!$D$24:$D$39,0))*INDEX(EF!$H$84:$H$99,MATCH(Emissions!$D62,EF!$D$84:$D$99,0))*INDEX(EF!$H$100:$H$115,MATCH(Emissions!$D62,EF!$D$100:$D$115,0))*INDEX(EF!$H$116:$H$131,MATCH(Emissions!$D62,EF!$D$116:$D$131,0))*kgtoGg</f>
        <v>2.270980541301395</v>
      </c>
      <c r="BE62" s="23">
        <f>INDEX('Activity data'!BE$24:BE$39,MATCH(Emissions!$D62,'Activity data'!$D$24:$D$39,0))*INDEX(EF!$H$84:$H$99,MATCH(Emissions!$D62,EF!$D$84:$D$99,0))*INDEX(EF!$H$100:$H$115,MATCH(Emissions!$D62,EF!$D$100:$D$115,0))*INDEX(EF!$H$116:$H$131,MATCH(Emissions!$D62,EF!$D$116:$D$131,0))*kgtoGg</f>
        <v>2.2740793956100398</v>
      </c>
      <c r="BF62" s="23">
        <f>INDEX('Activity data'!BF$24:BF$39,MATCH(Emissions!$D62,'Activity data'!$D$24:$D$39,0))*INDEX(EF!$H$84:$H$99,MATCH(Emissions!$D62,EF!$D$84:$D$99,0))*INDEX(EF!$H$100:$H$115,MATCH(Emissions!$D62,EF!$D$100:$D$115,0))*INDEX(EF!$H$116:$H$131,MATCH(Emissions!$D62,EF!$D$116:$D$131,0))*kgtoGg</f>
        <v>2.2771782499186854</v>
      </c>
      <c r="BG62" s="23">
        <f>INDEX('Activity data'!BG$24:BG$39,MATCH(Emissions!$D62,'Activity data'!$D$24:$D$39,0))*INDEX(EF!$H$84:$H$99,MATCH(Emissions!$D62,EF!$D$84:$D$99,0))*INDEX(EF!$H$100:$H$115,MATCH(Emissions!$D62,EF!$D$100:$D$115,0))*INDEX(EF!$H$116:$H$131,MATCH(Emissions!$D62,EF!$D$116:$D$131,0))*kgtoGg</f>
        <v>2.2802771042273311</v>
      </c>
      <c r="BH62" s="23">
        <f>INDEX('Activity data'!BH$24:BH$39,MATCH(Emissions!$D62,'Activity data'!$D$24:$D$39,0))*INDEX(EF!$H$84:$H$99,MATCH(Emissions!$D62,EF!$D$84:$D$99,0))*INDEX(EF!$H$100:$H$115,MATCH(Emissions!$D62,EF!$D$100:$D$115,0))*INDEX(EF!$H$116:$H$131,MATCH(Emissions!$D62,EF!$D$116:$D$131,0))*kgtoGg</f>
        <v>2.2833759585359763</v>
      </c>
      <c r="BI62" s="23">
        <f>INDEX('Activity data'!BI$24:BI$39,MATCH(Emissions!$D62,'Activity data'!$D$24:$D$39,0))*INDEX(EF!$H$84:$H$99,MATCH(Emissions!$D62,EF!$D$84:$D$99,0))*INDEX(EF!$H$100:$H$115,MATCH(Emissions!$D62,EF!$D$100:$D$115,0))*INDEX(EF!$H$116:$H$131,MATCH(Emissions!$D62,EF!$D$116:$D$131,0))*kgtoGg</f>
        <v>2.2864748128446215</v>
      </c>
      <c r="BJ62" s="23">
        <f>INDEX('Activity data'!BJ$24:BJ$39,MATCH(Emissions!$D62,'Activity data'!$D$24:$D$39,0))*INDEX(EF!$H$84:$H$99,MATCH(Emissions!$D62,EF!$D$84:$D$99,0))*INDEX(EF!$H$100:$H$115,MATCH(Emissions!$D62,EF!$D$100:$D$115,0))*INDEX(EF!$H$116:$H$131,MATCH(Emissions!$D62,EF!$D$116:$D$131,0))*kgtoGg</f>
        <v>2.2895736671532667</v>
      </c>
      <c r="BK62" s="23">
        <f>INDEX('Activity data'!BK$24:BK$39,MATCH(Emissions!$D62,'Activity data'!$D$24:$D$39,0))*INDEX(EF!$H$84:$H$99,MATCH(Emissions!$D62,EF!$D$84:$D$99,0))*INDEX(EF!$H$100:$H$115,MATCH(Emissions!$D62,EF!$D$100:$D$115,0))*INDEX(EF!$H$116:$H$131,MATCH(Emissions!$D62,EF!$D$116:$D$131,0))*kgtoGg</f>
        <v>2.2926725214619115</v>
      </c>
      <c r="BL62" s="23">
        <f>INDEX('Activity data'!BL$24:BL$39,MATCH(Emissions!$D62,'Activity data'!$D$24:$D$39,0))*INDEX(EF!$H$84:$H$99,MATCH(Emissions!$D62,EF!$D$84:$D$99,0))*INDEX(EF!$H$100:$H$115,MATCH(Emissions!$D62,EF!$D$100:$D$115,0))*INDEX(EF!$H$116:$H$131,MATCH(Emissions!$D62,EF!$D$116:$D$131,0))*kgtoGg</f>
        <v>2.2957713757705571</v>
      </c>
      <c r="BM62" s="23">
        <f>INDEX('Activity data'!BM$24:BM$39,MATCH(Emissions!$D62,'Activity data'!$D$24:$D$39,0))*INDEX(EF!$H$84:$H$99,MATCH(Emissions!$D62,EF!$D$84:$D$99,0))*INDEX(EF!$H$100:$H$115,MATCH(Emissions!$D62,EF!$D$100:$D$115,0))*INDEX(EF!$H$116:$H$131,MATCH(Emissions!$D62,EF!$D$116:$D$131,0))*kgtoGg</f>
        <v>2.2988702300792023</v>
      </c>
      <c r="BN62" s="23">
        <f>INDEX('Activity data'!BN$24:BN$39,MATCH(Emissions!$D62,'Activity data'!$D$24:$D$39,0))*INDEX(EF!$H$84:$H$99,MATCH(Emissions!$D62,EF!$D$84:$D$99,0))*INDEX(EF!$H$100:$H$115,MATCH(Emissions!$D62,EF!$D$100:$D$115,0))*INDEX(EF!$H$116:$H$131,MATCH(Emissions!$D62,EF!$D$116:$D$131,0))*kgtoGg</f>
        <v>2.3019690843878471</v>
      </c>
      <c r="BO62" s="23">
        <f>INDEX('Activity data'!BO$24:BO$39,MATCH(Emissions!$D62,'Activity data'!$D$24:$D$39,0))*INDEX(EF!$H$84:$H$99,MATCH(Emissions!$D62,EF!$D$84:$D$99,0))*INDEX(EF!$H$100:$H$115,MATCH(Emissions!$D62,EF!$D$100:$D$115,0))*INDEX(EF!$H$116:$H$131,MATCH(Emissions!$D62,EF!$D$116:$D$131,0))*kgtoGg</f>
        <v>2.3050679386964932</v>
      </c>
      <c r="BP62" s="23">
        <f>INDEX('Activity data'!BP$24:BP$39,MATCH(Emissions!$D62,'Activity data'!$D$24:$D$39,0))*INDEX(EF!$H$84:$H$99,MATCH(Emissions!$D62,EF!$D$84:$D$99,0))*INDEX(EF!$H$100:$H$115,MATCH(Emissions!$D62,EF!$D$100:$D$115,0))*INDEX(EF!$H$116:$H$131,MATCH(Emissions!$D62,EF!$D$116:$D$131,0))*kgtoGg</f>
        <v>2.3081667930051379</v>
      </c>
    </row>
    <row r="63" spans="1:68" x14ac:dyDescent="0.25">
      <c r="A63" t="str">
        <f t="shared" si="19"/>
        <v>3C Aggregated and non-CO2 emissions on land</v>
      </c>
      <c r="B63" t="str">
        <f t="shared" si="20"/>
        <v>3C1 Biomass burning (CH4)</v>
      </c>
      <c r="C63" t="str">
        <f>'IPCC Categories'!C61</f>
        <v>3C1c Biomass burning in Grasslands</v>
      </c>
      <c r="D63" t="str">
        <f>EF!D93</f>
        <v>Grasslands</v>
      </c>
      <c r="E63" t="s">
        <v>734</v>
      </c>
      <c r="F63" t="str">
        <f t="shared" si="21"/>
        <v>CH4</v>
      </c>
      <c r="G63" t="str">
        <f t="shared" si="22"/>
        <v>Gg CH4</v>
      </c>
      <c r="H63" s="23">
        <f>INDEX('Activity data'!H$24:H$39,MATCH(Emissions!$D63,'Activity data'!$D$24:$D$39,0))*INDEX(EF!$H$84:$H$99,MATCH(Emissions!$D63,EF!$D$84:$D$99,0))*INDEX(EF!$H$100:$H$115,MATCH(Emissions!$D63,EF!$D$100:$D$115,0))*INDEX(EF!$H$116:$H$131,MATCH(Emissions!$D63,EF!$D$116:$D$131,0))*kgtoGg</f>
        <v>22.517316723914707</v>
      </c>
      <c r="I63" s="23">
        <f>INDEX('Activity data'!I$24:I$39,MATCH(Emissions!$D63,'Activity data'!$D$24:$D$39,0))*INDEX(EF!$H$84:$H$99,MATCH(Emissions!$D63,EF!$D$84:$D$99,0))*INDEX(EF!$H$100:$H$115,MATCH(Emissions!$D63,EF!$D$100:$D$115,0))*INDEX(EF!$H$116:$H$131,MATCH(Emissions!$D63,EF!$D$116:$D$131,0))*kgtoGg</f>
        <v>22.517316723914707</v>
      </c>
      <c r="J63" s="23">
        <f>INDEX('Activity data'!J$24:J$39,MATCH(Emissions!$D63,'Activity data'!$D$24:$D$39,0))*INDEX(EF!$H$84:$H$99,MATCH(Emissions!$D63,EF!$D$84:$D$99,0))*INDEX(EF!$H$100:$H$115,MATCH(Emissions!$D63,EF!$D$100:$D$115,0))*INDEX(EF!$H$116:$H$131,MATCH(Emissions!$D63,EF!$D$116:$D$131,0))*kgtoGg</f>
        <v>22.517316723914707</v>
      </c>
      <c r="K63" s="23">
        <f>INDEX('Activity data'!K$24:K$39,MATCH(Emissions!$D63,'Activity data'!$D$24:$D$39,0))*INDEX(EF!$H$84:$H$99,MATCH(Emissions!$D63,EF!$D$84:$D$99,0))*INDEX(EF!$H$100:$H$115,MATCH(Emissions!$D63,EF!$D$100:$D$115,0))*INDEX(EF!$H$116:$H$131,MATCH(Emissions!$D63,EF!$D$116:$D$131,0))*kgtoGg</f>
        <v>22.517316723914707</v>
      </c>
      <c r="L63" s="23">
        <f>INDEX('Activity data'!L$24:L$39,MATCH(Emissions!$D63,'Activity data'!$D$24:$D$39,0))*INDEX(EF!$H$84:$H$99,MATCH(Emissions!$D63,EF!$D$84:$D$99,0))*INDEX(EF!$H$100:$H$115,MATCH(Emissions!$D63,EF!$D$100:$D$115,0))*INDEX(EF!$H$116:$H$131,MATCH(Emissions!$D63,EF!$D$116:$D$131,0))*kgtoGg</f>
        <v>22.517316723914707</v>
      </c>
      <c r="M63" s="23">
        <f>INDEX('Activity data'!M$24:M$39,MATCH(Emissions!$D63,'Activity data'!$D$24:$D$39,0))*INDEX(EF!$H$84:$H$99,MATCH(Emissions!$D63,EF!$D$84:$D$99,0))*INDEX(EF!$H$100:$H$115,MATCH(Emissions!$D63,EF!$D$100:$D$115,0))*INDEX(EF!$H$116:$H$131,MATCH(Emissions!$D63,EF!$D$116:$D$131,0))*kgtoGg</f>
        <v>22.517316723914707</v>
      </c>
      <c r="N63" s="23">
        <f>INDEX('Activity data'!N$24:N$39,MATCH(Emissions!$D63,'Activity data'!$D$24:$D$39,0))*INDEX(EF!$H$84:$H$99,MATCH(Emissions!$D63,EF!$D$84:$D$99,0))*INDEX(EF!$H$100:$H$115,MATCH(Emissions!$D63,EF!$D$100:$D$115,0))*INDEX(EF!$H$116:$H$131,MATCH(Emissions!$D63,EF!$D$116:$D$131,0))*kgtoGg</f>
        <v>22.517316723914707</v>
      </c>
      <c r="O63" s="23">
        <f>INDEX('Activity data'!O$24:O$39,MATCH(Emissions!$D63,'Activity data'!$D$24:$D$39,0))*INDEX(EF!$H$84:$H$99,MATCH(Emissions!$D63,EF!$D$84:$D$99,0))*INDEX(EF!$H$100:$H$115,MATCH(Emissions!$D63,EF!$D$100:$D$115,0))*INDEX(EF!$H$116:$H$131,MATCH(Emissions!$D63,EF!$D$116:$D$131,0))*kgtoGg</f>
        <v>22.517316723914707</v>
      </c>
      <c r="P63" s="23">
        <f>INDEX('Activity data'!P$24:P$39,MATCH(Emissions!$D63,'Activity data'!$D$24:$D$39,0))*INDEX(EF!$H$84:$H$99,MATCH(Emissions!$D63,EF!$D$84:$D$99,0))*INDEX(EF!$H$100:$H$115,MATCH(Emissions!$D63,EF!$D$100:$D$115,0))*INDEX(EF!$H$116:$H$131,MATCH(Emissions!$D63,EF!$D$116:$D$131,0))*kgtoGg</f>
        <v>22.517316723914707</v>
      </c>
      <c r="Q63" s="23">
        <f>INDEX('Activity data'!Q$24:Q$39,MATCH(Emissions!$D63,'Activity data'!$D$24:$D$39,0))*INDEX(EF!$H$84:$H$99,MATCH(Emissions!$D63,EF!$D$84:$D$99,0))*INDEX(EF!$H$100:$H$115,MATCH(Emissions!$D63,EF!$D$100:$D$115,0))*INDEX(EF!$H$116:$H$131,MATCH(Emissions!$D63,EF!$D$116:$D$131,0))*kgtoGg</f>
        <v>22.517316723914707</v>
      </c>
      <c r="R63" s="23">
        <f>INDEX('Activity data'!R$24:R$39,MATCH(Emissions!$D63,'Activity data'!$D$24:$D$39,0))*INDEX(EF!$H$84:$H$99,MATCH(Emissions!$D63,EF!$D$84:$D$99,0))*INDEX(EF!$H$100:$H$115,MATCH(Emissions!$D63,EF!$D$100:$D$115,0))*INDEX(EF!$H$116:$H$131,MATCH(Emissions!$D63,EF!$D$116:$D$131,0))*kgtoGg</f>
        <v>22.367920192777621</v>
      </c>
      <c r="S63" s="23">
        <f>INDEX('Activity data'!S$24:S$39,MATCH(Emissions!$D63,'Activity data'!$D$24:$D$39,0))*INDEX(EF!$H$84:$H$99,MATCH(Emissions!$D63,EF!$D$84:$D$99,0))*INDEX(EF!$H$100:$H$115,MATCH(Emissions!$D63,EF!$D$100:$D$115,0))*INDEX(EF!$H$116:$H$131,MATCH(Emissions!$D63,EF!$D$116:$D$131,0))*kgtoGg</f>
        <v>25.580620137780603</v>
      </c>
      <c r="T63" s="23">
        <f>INDEX('Activity data'!T$24:T$39,MATCH(Emissions!$D63,'Activity data'!$D$24:$D$39,0))*INDEX(EF!$H$84:$H$99,MATCH(Emissions!$D63,EF!$D$84:$D$99,0))*INDEX(EF!$H$100:$H$115,MATCH(Emissions!$D63,EF!$D$100:$D$115,0))*INDEX(EF!$H$116:$H$131,MATCH(Emissions!$D63,EF!$D$116:$D$131,0))*kgtoGg</f>
        <v>26.023631115635403</v>
      </c>
      <c r="U63" s="23">
        <f>INDEX('Activity data'!U$24:U$39,MATCH(Emissions!$D63,'Activity data'!$D$24:$D$39,0))*INDEX(EF!$H$84:$H$99,MATCH(Emissions!$D63,EF!$D$84:$D$99,0))*INDEX(EF!$H$100:$H$115,MATCH(Emissions!$D63,EF!$D$100:$D$115,0))*INDEX(EF!$H$116:$H$131,MATCH(Emissions!$D63,EF!$D$116:$D$131,0))*kgtoGg</f>
        <v>20.888315748075943</v>
      </c>
      <c r="V63" s="23">
        <f>INDEX('Activity data'!V$24:V$39,MATCH(Emissions!$D63,'Activity data'!$D$24:$D$39,0))*INDEX(EF!$H$84:$H$99,MATCH(Emissions!$D63,EF!$D$84:$D$99,0))*INDEX(EF!$H$100:$H$115,MATCH(Emissions!$D63,EF!$D$100:$D$115,0))*INDEX(EF!$H$116:$H$131,MATCH(Emissions!$D63,EF!$D$116:$D$131,0))*kgtoGg</f>
        <v>17.726096425303961</v>
      </c>
      <c r="W63" s="23">
        <f>INDEX('Activity data'!W$24:W$39,MATCH(Emissions!$D63,'Activity data'!$D$24:$D$39,0))*INDEX(EF!$H$84:$H$99,MATCH(Emissions!$D63,EF!$D$84:$D$99,0))*INDEX(EF!$H$100:$H$115,MATCH(Emissions!$D63,EF!$D$100:$D$115,0))*INDEX(EF!$H$116:$H$131,MATCH(Emissions!$D63,EF!$D$116:$D$131,0))*kgtoGg</f>
        <v>27.538484960343208</v>
      </c>
      <c r="X63" s="23">
        <f>INDEX('Activity data'!X$24:X$39,MATCH(Emissions!$D63,'Activity data'!$D$24:$D$39,0))*INDEX(EF!$H$84:$H$99,MATCH(Emissions!$D63,EF!$D$84:$D$99,0))*INDEX(EF!$H$100:$H$115,MATCH(Emissions!$D63,EF!$D$100:$D$115,0))*INDEX(EF!$H$116:$H$131,MATCH(Emissions!$D63,EF!$D$116:$D$131,0))*kgtoGg</f>
        <v>24.258332459772951</v>
      </c>
      <c r="Y63" s="23">
        <f>INDEX('Activity data'!Y$24:Y$39,MATCH(Emissions!$D63,'Activity data'!$D$24:$D$39,0))*INDEX(EF!$H$84:$H$99,MATCH(Emissions!$D63,EF!$D$84:$D$99,0))*INDEX(EF!$H$100:$H$115,MATCH(Emissions!$D63,EF!$D$100:$D$115,0))*INDEX(EF!$H$116:$H$131,MATCH(Emissions!$D63,EF!$D$116:$D$131,0))*kgtoGg</f>
        <v>22.854448948417762</v>
      </c>
      <c r="Z63" s="23">
        <f>INDEX('Activity data'!Z$24:Z$39,MATCH(Emissions!$D63,'Activity data'!$D$24:$D$39,0))*INDEX(EF!$H$84:$H$99,MATCH(Emissions!$D63,EF!$D$84:$D$99,0))*INDEX(EF!$H$100:$H$115,MATCH(Emissions!$D63,EF!$D$100:$D$115,0))*INDEX(EF!$H$116:$H$131,MATCH(Emissions!$D63,EF!$D$116:$D$131,0))*kgtoGg</f>
        <v>21.238198681470106</v>
      </c>
      <c r="AA63" s="23">
        <f>INDEX('Activity data'!AA$24:AA$39,MATCH(Emissions!$D63,'Activity data'!$D$24:$D$39,0))*INDEX(EF!$H$84:$H$99,MATCH(Emissions!$D63,EF!$D$84:$D$99,0))*INDEX(EF!$H$100:$H$115,MATCH(Emissions!$D63,EF!$D$100:$D$115,0))*INDEX(EF!$H$116:$H$131,MATCH(Emissions!$D63,EF!$D$116:$D$131,0))*kgtoGg</f>
        <v>21.969079759374946</v>
      </c>
      <c r="AB63" s="23">
        <f>INDEX('Activity data'!AB$24:AB$39,MATCH(Emissions!$D63,'Activity data'!$D$24:$D$39,0))*INDEX(EF!$H$84:$H$99,MATCH(Emissions!$D63,EF!$D$84:$D$99,0))*INDEX(EF!$H$100:$H$115,MATCH(Emissions!$D63,EF!$D$100:$D$115,0))*INDEX(EF!$H$116:$H$131,MATCH(Emissions!$D63,EF!$D$116:$D$131,0))*kgtoGg</f>
        <v>18.942062311799994</v>
      </c>
      <c r="AC63" s="23">
        <f>INDEX('Activity data'!AC$24:AC$39,MATCH(Emissions!$D63,'Activity data'!$D$24:$D$39,0))*INDEX(EF!$H$84:$H$99,MATCH(Emissions!$D63,EF!$D$84:$D$99,0))*INDEX(EF!$H$100:$H$115,MATCH(Emissions!$D63,EF!$D$100:$D$115,0))*INDEX(EF!$H$116:$H$131,MATCH(Emissions!$D63,EF!$D$116:$D$131,0))*kgtoGg</f>
        <v>19.242646390799994</v>
      </c>
      <c r="AD63" s="23">
        <f>INDEX('Activity data'!AD$24:AD$39,MATCH(Emissions!$D63,'Activity data'!$D$24:$D$39,0))*INDEX(EF!$H$84:$H$99,MATCH(Emissions!$D63,EF!$D$84:$D$99,0))*INDEX(EF!$H$100:$H$115,MATCH(Emissions!$D63,EF!$D$100:$D$115,0))*INDEX(EF!$H$116:$H$131,MATCH(Emissions!$D63,EF!$D$116:$D$131,0))*kgtoGg</f>
        <v>16.036093142999995</v>
      </c>
      <c r="AE63" s="23">
        <f>INDEX('Activity data'!AE$24:AE$39,MATCH(Emissions!$D63,'Activity data'!$D$24:$D$39,0))*INDEX(EF!$H$84:$H$99,MATCH(Emissions!$D63,EF!$D$84:$D$99,0))*INDEX(EF!$H$100:$H$115,MATCH(Emissions!$D63,EF!$D$100:$D$115,0))*INDEX(EF!$H$116:$H$131,MATCH(Emissions!$D63,EF!$D$116:$D$131,0))*kgtoGg</f>
        <v>19.333400427899996</v>
      </c>
      <c r="AF63" s="23">
        <f>INDEX('Activity data'!AF$24:AF$39,MATCH(Emissions!$D63,'Activity data'!$D$24:$D$39,0))*INDEX(EF!$H$84:$H$99,MATCH(Emissions!$D63,EF!$D$84:$D$99,0))*INDEX(EF!$H$100:$H$115,MATCH(Emissions!$D63,EF!$D$100:$D$115,0))*INDEX(EF!$H$116:$H$131,MATCH(Emissions!$D63,EF!$D$116:$D$131,0))*kgtoGg</f>
        <v>17.155215272699998</v>
      </c>
      <c r="AG63" s="23">
        <f>INDEX('Activity data'!AG$24:AG$39,MATCH(Emissions!$D63,'Activity data'!$D$24:$D$39,0))*INDEX(EF!$H$84:$H$99,MATCH(Emissions!$D63,EF!$D$84:$D$99,0))*INDEX(EF!$H$100:$H$115,MATCH(Emissions!$D63,EF!$D$100:$D$115,0))*INDEX(EF!$H$116:$H$131,MATCH(Emissions!$D63,EF!$D$116:$D$131,0))*kgtoGg</f>
        <v>12.280709368799995</v>
      </c>
      <c r="AH63" s="23">
        <f>INDEX('Activity data'!AH$24:AH$39,MATCH(Emissions!$D63,'Activity data'!$D$24:$D$39,0))*INDEX(EF!$H$84:$H$99,MATCH(Emissions!$D63,EF!$D$84:$D$99,0))*INDEX(EF!$H$100:$H$115,MATCH(Emissions!$D63,EF!$D$100:$D$115,0))*INDEX(EF!$H$116:$H$131,MATCH(Emissions!$D63,EF!$D$116:$D$131,0))*kgtoGg</f>
        <v>6.8977812428999989</v>
      </c>
      <c r="AI63" s="23">
        <f>INDEX('Activity data'!AI$24:AI$39,MATCH(Emissions!$D63,'Activity data'!$D$24:$D$39,0))*INDEX(EF!$H$84:$H$99,MATCH(Emissions!$D63,EF!$D$84:$D$99,0))*INDEX(EF!$H$100:$H$115,MATCH(Emissions!$D63,EF!$D$100:$D$115,0))*INDEX(EF!$H$116:$H$131,MATCH(Emissions!$D63,EF!$D$116:$D$131,0))*kgtoGg</f>
        <v>6.7744829555999981</v>
      </c>
      <c r="AJ63" s="23">
        <f>INDEX('Activity data'!AJ$24:AJ$39,MATCH(Emissions!$D63,'Activity data'!$D$24:$D$39,0))*INDEX(EF!$H$84:$H$99,MATCH(Emissions!$D63,EF!$D$84:$D$99,0))*INDEX(EF!$H$100:$H$115,MATCH(Emissions!$D63,EF!$D$100:$D$115,0))*INDEX(EF!$H$116:$H$131,MATCH(Emissions!$D63,EF!$D$116:$D$131,0))*kgtoGg</f>
        <v>29.306147060506341</v>
      </c>
      <c r="AK63" s="23">
        <f>INDEX('Activity data'!AK$24:AK$39,MATCH(Emissions!$D63,'Activity data'!$D$24:$D$39,0))*INDEX(EF!$H$84:$H$99,MATCH(Emissions!$D63,EF!$D$84:$D$99,0))*INDEX(EF!$H$100:$H$115,MATCH(Emissions!$D63,EF!$D$100:$D$115,0))*INDEX(EF!$H$116:$H$131,MATCH(Emissions!$D63,EF!$D$116:$D$131,0))*kgtoGg</f>
        <v>29.646600543233806</v>
      </c>
      <c r="AL63" s="23">
        <f>INDEX('Activity data'!AL$24:AL$39,MATCH(Emissions!$D63,'Activity data'!$D$24:$D$39,0))*INDEX(EF!$H$84:$H$99,MATCH(Emissions!$D63,EF!$D$84:$D$99,0))*INDEX(EF!$H$100:$H$115,MATCH(Emissions!$D63,EF!$D$100:$D$115,0))*INDEX(EF!$H$116:$H$131,MATCH(Emissions!$D63,EF!$D$116:$D$131,0))*kgtoGg</f>
        <v>29.987054025961275</v>
      </c>
      <c r="AM63" s="23">
        <f>INDEX('Activity data'!AM$24:AM$39,MATCH(Emissions!$D63,'Activity data'!$D$24:$D$39,0))*INDEX(EF!$H$84:$H$99,MATCH(Emissions!$D63,EF!$D$84:$D$99,0))*INDEX(EF!$H$100:$H$115,MATCH(Emissions!$D63,EF!$D$100:$D$115,0))*INDEX(EF!$H$116:$H$131,MATCH(Emissions!$D63,EF!$D$116:$D$131,0))*kgtoGg</f>
        <v>30.327507508688733</v>
      </c>
      <c r="AN63" s="23">
        <f>INDEX('Activity data'!AN$24:AN$39,MATCH(Emissions!$D63,'Activity data'!$D$24:$D$39,0))*INDEX(EF!$H$84:$H$99,MATCH(Emissions!$D63,EF!$D$84:$D$99,0))*INDEX(EF!$H$100:$H$115,MATCH(Emissions!$D63,EF!$D$100:$D$115,0))*INDEX(EF!$H$116:$H$131,MATCH(Emissions!$D63,EF!$D$116:$D$131,0))*kgtoGg</f>
        <v>30.667960991416198</v>
      </c>
      <c r="AO63" s="23">
        <f>INDEX('Activity data'!AO$24:AO$39,MATCH(Emissions!$D63,'Activity data'!$D$24:$D$39,0))*INDEX(EF!$H$84:$H$99,MATCH(Emissions!$D63,EF!$D$84:$D$99,0))*INDEX(EF!$H$100:$H$115,MATCH(Emissions!$D63,EF!$D$100:$D$115,0))*INDEX(EF!$H$116:$H$131,MATCH(Emissions!$D63,EF!$D$116:$D$131,0))*kgtoGg</f>
        <v>31.008414474143667</v>
      </c>
      <c r="AP63" s="23">
        <f>INDEX('Activity data'!AP$24:AP$39,MATCH(Emissions!$D63,'Activity data'!$D$24:$D$39,0))*INDEX(EF!$H$84:$H$99,MATCH(Emissions!$D63,EF!$D$84:$D$99,0))*INDEX(EF!$H$100:$H$115,MATCH(Emissions!$D63,EF!$D$100:$D$115,0))*INDEX(EF!$H$116:$H$131,MATCH(Emissions!$D63,EF!$D$116:$D$131,0))*kgtoGg</f>
        <v>31.348867956871132</v>
      </c>
      <c r="AQ63" s="23">
        <f>INDEX('Activity data'!AQ$24:AQ$39,MATCH(Emissions!$D63,'Activity data'!$D$24:$D$39,0))*INDEX(EF!$H$84:$H$99,MATCH(Emissions!$D63,EF!$D$84:$D$99,0))*INDEX(EF!$H$100:$H$115,MATCH(Emissions!$D63,EF!$D$100:$D$115,0))*INDEX(EF!$H$116:$H$131,MATCH(Emissions!$D63,EF!$D$116:$D$131,0))*kgtoGg</f>
        <v>31.689321439598594</v>
      </c>
      <c r="AR63" s="23">
        <f>INDEX('Activity data'!AR$24:AR$39,MATCH(Emissions!$D63,'Activity data'!$D$24:$D$39,0))*INDEX(EF!$H$84:$H$99,MATCH(Emissions!$D63,EF!$D$84:$D$99,0))*INDEX(EF!$H$100:$H$115,MATCH(Emissions!$D63,EF!$D$100:$D$115,0))*INDEX(EF!$H$116:$H$131,MATCH(Emissions!$D63,EF!$D$116:$D$131,0))*kgtoGg</f>
        <v>32.029774922326062</v>
      </c>
      <c r="AS63" s="23">
        <f>INDEX('Activity data'!AS$24:AS$39,MATCH(Emissions!$D63,'Activity data'!$D$24:$D$39,0))*INDEX(EF!$H$84:$H$99,MATCH(Emissions!$D63,EF!$D$84:$D$99,0))*INDEX(EF!$H$100:$H$115,MATCH(Emissions!$D63,EF!$D$100:$D$115,0))*INDEX(EF!$H$116:$H$131,MATCH(Emissions!$D63,EF!$D$116:$D$131,0))*kgtoGg</f>
        <v>32.370228405053524</v>
      </c>
      <c r="AT63" s="23">
        <f>INDEX('Activity data'!AT$24:AT$39,MATCH(Emissions!$D63,'Activity data'!$D$24:$D$39,0))*INDEX(EF!$H$84:$H$99,MATCH(Emissions!$D63,EF!$D$84:$D$99,0))*INDEX(EF!$H$100:$H$115,MATCH(Emissions!$D63,EF!$D$100:$D$115,0))*INDEX(EF!$H$116:$H$131,MATCH(Emissions!$D63,EF!$D$116:$D$131,0))*kgtoGg</f>
        <v>32.710681887780986</v>
      </c>
      <c r="AU63" s="23">
        <f>INDEX('Activity data'!AU$24:AU$39,MATCH(Emissions!$D63,'Activity data'!$D$24:$D$39,0))*INDEX(EF!$H$84:$H$99,MATCH(Emissions!$D63,EF!$D$84:$D$99,0))*INDEX(EF!$H$100:$H$115,MATCH(Emissions!$D63,EF!$D$100:$D$115,0))*INDEX(EF!$H$116:$H$131,MATCH(Emissions!$D63,EF!$D$116:$D$131,0))*kgtoGg</f>
        <v>33.051135370508455</v>
      </c>
      <c r="AV63" s="23">
        <f>INDEX('Activity data'!AV$24:AV$39,MATCH(Emissions!$D63,'Activity data'!$D$24:$D$39,0))*INDEX(EF!$H$84:$H$99,MATCH(Emissions!$D63,EF!$D$84:$D$99,0))*INDEX(EF!$H$100:$H$115,MATCH(Emissions!$D63,EF!$D$100:$D$115,0))*INDEX(EF!$H$116:$H$131,MATCH(Emissions!$D63,EF!$D$116:$D$131,0))*kgtoGg</f>
        <v>33.391588853235916</v>
      </c>
      <c r="AW63" s="23">
        <f>INDEX('Activity data'!AW$24:AW$39,MATCH(Emissions!$D63,'Activity data'!$D$24:$D$39,0))*INDEX(EF!$H$84:$H$99,MATCH(Emissions!$D63,EF!$D$84:$D$99,0))*INDEX(EF!$H$100:$H$115,MATCH(Emissions!$D63,EF!$D$100:$D$115,0))*INDEX(EF!$H$116:$H$131,MATCH(Emissions!$D63,EF!$D$116:$D$131,0))*kgtoGg</f>
        <v>33.732042335963392</v>
      </c>
      <c r="AX63" s="23">
        <f>INDEX('Activity data'!AX$24:AX$39,MATCH(Emissions!$D63,'Activity data'!$D$24:$D$39,0))*INDEX(EF!$H$84:$H$99,MATCH(Emissions!$D63,EF!$D$84:$D$99,0))*INDEX(EF!$H$100:$H$115,MATCH(Emissions!$D63,EF!$D$100:$D$115,0))*INDEX(EF!$H$116:$H$131,MATCH(Emissions!$D63,EF!$D$116:$D$131,0))*kgtoGg</f>
        <v>34.072495818690854</v>
      </c>
      <c r="AY63" s="23">
        <f>INDEX('Activity data'!AY$24:AY$39,MATCH(Emissions!$D63,'Activity data'!$D$24:$D$39,0))*INDEX(EF!$H$84:$H$99,MATCH(Emissions!$D63,EF!$D$84:$D$99,0))*INDEX(EF!$H$100:$H$115,MATCH(Emissions!$D63,EF!$D$100:$D$115,0))*INDEX(EF!$H$116:$H$131,MATCH(Emissions!$D63,EF!$D$116:$D$131,0))*kgtoGg</f>
        <v>34.412949301418323</v>
      </c>
      <c r="AZ63" s="23">
        <f>INDEX('Activity data'!AZ$24:AZ$39,MATCH(Emissions!$D63,'Activity data'!$D$24:$D$39,0))*INDEX(EF!$H$84:$H$99,MATCH(Emissions!$D63,EF!$D$84:$D$99,0))*INDEX(EF!$H$100:$H$115,MATCH(Emissions!$D63,EF!$D$100:$D$115,0))*INDEX(EF!$H$116:$H$131,MATCH(Emissions!$D63,EF!$D$116:$D$131,0))*kgtoGg</f>
        <v>34.753402784145798</v>
      </c>
      <c r="BA63" s="23">
        <f>INDEX('Activity data'!BA$24:BA$39,MATCH(Emissions!$D63,'Activity data'!$D$24:$D$39,0))*INDEX(EF!$H$84:$H$99,MATCH(Emissions!$D63,EF!$D$84:$D$99,0))*INDEX(EF!$H$100:$H$115,MATCH(Emissions!$D63,EF!$D$100:$D$115,0))*INDEX(EF!$H$116:$H$131,MATCH(Emissions!$D63,EF!$D$116:$D$131,0))*kgtoGg</f>
        <v>35.093856266873267</v>
      </c>
      <c r="BB63" s="23">
        <f>INDEX('Activity data'!BB$24:BB$39,MATCH(Emissions!$D63,'Activity data'!$D$24:$D$39,0))*INDEX(EF!$H$84:$H$99,MATCH(Emissions!$D63,EF!$D$84:$D$99,0))*INDEX(EF!$H$100:$H$115,MATCH(Emissions!$D63,EF!$D$100:$D$115,0))*INDEX(EF!$H$116:$H$131,MATCH(Emissions!$D63,EF!$D$116:$D$131,0))*kgtoGg</f>
        <v>35.434309749600736</v>
      </c>
      <c r="BC63" s="23">
        <f>INDEX('Activity data'!BC$24:BC$39,MATCH(Emissions!$D63,'Activity data'!$D$24:$D$39,0))*INDEX(EF!$H$84:$H$99,MATCH(Emissions!$D63,EF!$D$84:$D$99,0))*INDEX(EF!$H$100:$H$115,MATCH(Emissions!$D63,EF!$D$100:$D$115,0))*INDEX(EF!$H$116:$H$131,MATCH(Emissions!$D63,EF!$D$116:$D$131,0))*kgtoGg</f>
        <v>35.774763232328212</v>
      </c>
      <c r="BD63" s="23">
        <f>INDEX('Activity data'!BD$24:BD$39,MATCH(Emissions!$D63,'Activity data'!$D$24:$D$39,0))*INDEX(EF!$H$84:$H$99,MATCH(Emissions!$D63,EF!$D$84:$D$99,0))*INDEX(EF!$H$100:$H$115,MATCH(Emissions!$D63,EF!$D$100:$D$115,0))*INDEX(EF!$H$116:$H$131,MATCH(Emissions!$D63,EF!$D$116:$D$131,0))*kgtoGg</f>
        <v>36.115216715055681</v>
      </c>
      <c r="BE63" s="23">
        <f>INDEX('Activity data'!BE$24:BE$39,MATCH(Emissions!$D63,'Activity data'!$D$24:$D$39,0))*INDEX(EF!$H$84:$H$99,MATCH(Emissions!$D63,EF!$D$84:$D$99,0))*INDEX(EF!$H$100:$H$115,MATCH(Emissions!$D63,EF!$D$100:$D$115,0))*INDEX(EF!$H$116:$H$131,MATCH(Emissions!$D63,EF!$D$116:$D$131,0))*kgtoGg</f>
        <v>36.455670197783149</v>
      </c>
      <c r="BF63" s="23">
        <f>INDEX('Activity data'!BF$24:BF$39,MATCH(Emissions!$D63,'Activity data'!$D$24:$D$39,0))*INDEX(EF!$H$84:$H$99,MATCH(Emissions!$D63,EF!$D$84:$D$99,0))*INDEX(EF!$H$100:$H$115,MATCH(Emissions!$D63,EF!$D$100:$D$115,0))*INDEX(EF!$H$116:$H$131,MATCH(Emissions!$D63,EF!$D$116:$D$131,0))*kgtoGg</f>
        <v>36.796123680510625</v>
      </c>
      <c r="BG63" s="23">
        <f>INDEX('Activity data'!BG$24:BG$39,MATCH(Emissions!$D63,'Activity data'!$D$24:$D$39,0))*INDEX(EF!$H$84:$H$99,MATCH(Emissions!$D63,EF!$D$84:$D$99,0))*INDEX(EF!$H$100:$H$115,MATCH(Emissions!$D63,EF!$D$100:$D$115,0))*INDEX(EF!$H$116:$H$131,MATCH(Emissions!$D63,EF!$D$116:$D$131,0))*kgtoGg</f>
        <v>37.136577163238094</v>
      </c>
      <c r="BH63" s="23">
        <f>INDEX('Activity data'!BH$24:BH$39,MATCH(Emissions!$D63,'Activity data'!$D$24:$D$39,0))*INDEX(EF!$H$84:$H$99,MATCH(Emissions!$D63,EF!$D$84:$D$99,0))*INDEX(EF!$H$100:$H$115,MATCH(Emissions!$D63,EF!$D$100:$D$115,0))*INDEX(EF!$H$116:$H$131,MATCH(Emissions!$D63,EF!$D$116:$D$131,0))*kgtoGg</f>
        <v>37.477030645965563</v>
      </c>
      <c r="BI63" s="23">
        <f>INDEX('Activity data'!BI$24:BI$39,MATCH(Emissions!$D63,'Activity data'!$D$24:$D$39,0))*INDEX(EF!$H$84:$H$99,MATCH(Emissions!$D63,EF!$D$84:$D$99,0))*INDEX(EF!$H$100:$H$115,MATCH(Emissions!$D63,EF!$D$100:$D$115,0))*INDEX(EF!$H$116:$H$131,MATCH(Emissions!$D63,EF!$D$116:$D$131,0))*kgtoGg</f>
        <v>37.817484128693032</v>
      </c>
      <c r="BJ63" s="23">
        <f>INDEX('Activity data'!BJ$24:BJ$39,MATCH(Emissions!$D63,'Activity data'!$D$24:$D$39,0))*INDEX(EF!$H$84:$H$99,MATCH(Emissions!$D63,EF!$D$84:$D$99,0))*INDEX(EF!$H$100:$H$115,MATCH(Emissions!$D63,EF!$D$100:$D$115,0))*INDEX(EF!$H$116:$H$131,MATCH(Emissions!$D63,EF!$D$116:$D$131,0))*kgtoGg</f>
        <v>38.1579376114205</v>
      </c>
      <c r="BK63" s="23">
        <f>INDEX('Activity data'!BK$24:BK$39,MATCH(Emissions!$D63,'Activity data'!$D$24:$D$39,0))*INDEX(EF!$H$84:$H$99,MATCH(Emissions!$D63,EF!$D$84:$D$99,0))*INDEX(EF!$H$100:$H$115,MATCH(Emissions!$D63,EF!$D$100:$D$115,0))*INDEX(EF!$H$116:$H$131,MATCH(Emissions!$D63,EF!$D$116:$D$131,0))*kgtoGg</f>
        <v>38.498391094147969</v>
      </c>
      <c r="BL63" s="23">
        <f>INDEX('Activity data'!BL$24:BL$39,MATCH(Emissions!$D63,'Activity data'!$D$24:$D$39,0))*INDEX(EF!$H$84:$H$99,MATCH(Emissions!$D63,EF!$D$84:$D$99,0))*INDEX(EF!$H$100:$H$115,MATCH(Emissions!$D63,EF!$D$100:$D$115,0))*INDEX(EF!$H$116:$H$131,MATCH(Emissions!$D63,EF!$D$116:$D$131,0))*kgtoGg</f>
        <v>38.838844576875445</v>
      </c>
      <c r="BM63" s="23">
        <f>INDEX('Activity data'!BM$24:BM$39,MATCH(Emissions!$D63,'Activity data'!$D$24:$D$39,0))*INDEX(EF!$H$84:$H$99,MATCH(Emissions!$D63,EF!$D$84:$D$99,0))*INDEX(EF!$H$100:$H$115,MATCH(Emissions!$D63,EF!$D$100:$D$115,0))*INDEX(EF!$H$116:$H$131,MATCH(Emissions!$D63,EF!$D$116:$D$131,0))*kgtoGg</f>
        <v>39.179298059602914</v>
      </c>
      <c r="BN63" s="23">
        <f>INDEX('Activity data'!BN$24:BN$39,MATCH(Emissions!$D63,'Activity data'!$D$24:$D$39,0))*INDEX(EF!$H$84:$H$99,MATCH(Emissions!$D63,EF!$D$84:$D$99,0))*INDEX(EF!$H$100:$H$115,MATCH(Emissions!$D63,EF!$D$100:$D$115,0))*INDEX(EF!$H$116:$H$131,MATCH(Emissions!$D63,EF!$D$116:$D$131,0))*kgtoGg</f>
        <v>39.51975154233039</v>
      </c>
      <c r="BO63" s="23">
        <f>INDEX('Activity data'!BO$24:BO$39,MATCH(Emissions!$D63,'Activity data'!$D$24:$D$39,0))*INDEX(EF!$H$84:$H$99,MATCH(Emissions!$D63,EF!$D$84:$D$99,0))*INDEX(EF!$H$100:$H$115,MATCH(Emissions!$D63,EF!$D$100:$D$115,0))*INDEX(EF!$H$116:$H$131,MATCH(Emissions!$D63,EF!$D$116:$D$131,0))*kgtoGg</f>
        <v>39.860205025057844</v>
      </c>
      <c r="BP63" s="23">
        <f>INDEX('Activity data'!BP$24:BP$39,MATCH(Emissions!$D63,'Activity data'!$D$24:$D$39,0))*INDEX(EF!$H$84:$H$99,MATCH(Emissions!$D63,EF!$D$84:$D$99,0))*INDEX(EF!$H$100:$H$115,MATCH(Emissions!$D63,EF!$D$100:$D$115,0))*INDEX(EF!$H$116:$H$131,MATCH(Emissions!$D63,EF!$D$116:$D$131,0))*kgtoGg</f>
        <v>40.200658507785306</v>
      </c>
    </row>
    <row r="64" spans="1:68" x14ac:dyDescent="0.25">
      <c r="A64" t="str">
        <f t="shared" si="19"/>
        <v>3C Aggregated and non-CO2 emissions on land</v>
      </c>
      <c r="B64" t="str">
        <f t="shared" si="20"/>
        <v>3C1 Biomass burning (CH4)</v>
      </c>
      <c r="C64" t="str">
        <f>C63</f>
        <v>3C1c Biomass burning in Grasslands</v>
      </c>
      <c r="D64" t="str">
        <f>EF!D94</f>
        <v>Low shrublands</v>
      </c>
      <c r="E64" t="s">
        <v>735</v>
      </c>
      <c r="F64" t="str">
        <f t="shared" si="21"/>
        <v>CH4</v>
      </c>
      <c r="G64" t="str">
        <f t="shared" si="22"/>
        <v>Gg CH4</v>
      </c>
      <c r="H64" s="23">
        <f>INDEX('Activity data'!H$24:H$39,MATCH(Emissions!$D64,'Activity data'!$D$24:$D$39,0))*INDEX(EF!$H$84:$H$99,MATCH(Emissions!$D64,EF!$D$84:$D$99,0))*INDEX(EF!$H$100:$H$115,MATCH(Emissions!$D64,EF!$D$100:$D$115,0))*INDEX(EF!$H$116:$H$131,MATCH(Emissions!$D64,EF!$D$116:$D$131,0))*kgtoGg</f>
        <v>1.8327068962105979</v>
      </c>
      <c r="I64" s="23">
        <f>INDEX('Activity data'!I$24:I$39,MATCH(Emissions!$D64,'Activity data'!$D$24:$D$39,0))*INDEX(EF!$H$84:$H$99,MATCH(Emissions!$D64,EF!$D$84:$D$99,0))*INDEX(EF!$H$100:$H$115,MATCH(Emissions!$D64,EF!$D$100:$D$115,0))*INDEX(EF!$H$116:$H$131,MATCH(Emissions!$D64,EF!$D$116:$D$131,0))*kgtoGg</f>
        <v>1.8327068962105979</v>
      </c>
      <c r="J64" s="23">
        <f>INDEX('Activity data'!J$24:J$39,MATCH(Emissions!$D64,'Activity data'!$D$24:$D$39,0))*INDEX(EF!$H$84:$H$99,MATCH(Emissions!$D64,EF!$D$84:$D$99,0))*INDEX(EF!$H$100:$H$115,MATCH(Emissions!$D64,EF!$D$100:$D$115,0))*INDEX(EF!$H$116:$H$131,MATCH(Emissions!$D64,EF!$D$116:$D$131,0))*kgtoGg</f>
        <v>1.8327068962105979</v>
      </c>
      <c r="K64" s="23">
        <f>INDEX('Activity data'!K$24:K$39,MATCH(Emissions!$D64,'Activity data'!$D$24:$D$39,0))*INDEX(EF!$H$84:$H$99,MATCH(Emissions!$D64,EF!$D$84:$D$99,0))*INDEX(EF!$H$100:$H$115,MATCH(Emissions!$D64,EF!$D$100:$D$115,0))*INDEX(EF!$H$116:$H$131,MATCH(Emissions!$D64,EF!$D$116:$D$131,0))*kgtoGg</f>
        <v>1.8327068962105979</v>
      </c>
      <c r="L64" s="23">
        <f>INDEX('Activity data'!L$24:L$39,MATCH(Emissions!$D64,'Activity data'!$D$24:$D$39,0))*INDEX(EF!$H$84:$H$99,MATCH(Emissions!$D64,EF!$D$84:$D$99,0))*INDEX(EF!$H$100:$H$115,MATCH(Emissions!$D64,EF!$D$100:$D$115,0))*INDEX(EF!$H$116:$H$131,MATCH(Emissions!$D64,EF!$D$116:$D$131,0))*kgtoGg</f>
        <v>1.8327068962105979</v>
      </c>
      <c r="M64" s="23">
        <f>INDEX('Activity data'!M$24:M$39,MATCH(Emissions!$D64,'Activity data'!$D$24:$D$39,0))*INDEX(EF!$H$84:$H$99,MATCH(Emissions!$D64,EF!$D$84:$D$99,0))*INDEX(EF!$H$100:$H$115,MATCH(Emissions!$D64,EF!$D$100:$D$115,0))*INDEX(EF!$H$116:$H$131,MATCH(Emissions!$D64,EF!$D$116:$D$131,0))*kgtoGg</f>
        <v>1.8327068962105979</v>
      </c>
      <c r="N64" s="23">
        <f>INDEX('Activity data'!N$24:N$39,MATCH(Emissions!$D64,'Activity data'!$D$24:$D$39,0))*INDEX(EF!$H$84:$H$99,MATCH(Emissions!$D64,EF!$D$84:$D$99,0))*INDEX(EF!$H$100:$H$115,MATCH(Emissions!$D64,EF!$D$100:$D$115,0))*INDEX(EF!$H$116:$H$131,MATCH(Emissions!$D64,EF!$D$116:$D$131,0))*kgtoGg</f>
        <v>1.8327068962105979</v>
      </c>
      <c r="O64" s="23">
        <f>INDEX('Activity data'!O$24:O$39,MATCH(Emissions!$D64,'Activity data'!$D$24:$D$39,0))*INDEX(EF!$H$84:$H$99,MATCH(Emissions!$D64,EF!$D$84:$D$99,0))*INDEX(EF!$H$100:$H$115,MATCH(Emissions!$D64,EF!$D$100:$D$115,0))*INDEX(EF!$H$116:$H$131,MATCH(Emissions!$D64,EF!$D$116:$D$131,0))*kgtoGg</f>
        <v>1.8327068962105979</v>
      </c>
      <c r="P64" s="23">
        <f>INDEX('Activity data'!P$24:P$39,MATCH(Emissions!$D64,'Activity data'!$D$24:$D$39,0))*INDEX(EF!$H$84:$H$99,MATCH(Emissions!$D64,EF!$D$84:$D$99,0))*INDEX(EF!$H$100:$H$115,MATCH(Emissions!$D64,EF!$D$100:$D$115,0))*INDEX(EF!$H$116:$H$131,MATCH(Emissions!$D64,EF!$D$116:$D$131,0))*kgtoGg</f>
        <v>1.8327068962105979</v>
      </c>
      <c r="Q64" s="23">
        <f>INDEX('Activity data'!Q$24:Q$39,MATCH(Emissions!$D64,'Activity data'!$D$24:$D$39,0))*INDEX(EF!$H$84:$H$99,MATCH(Emissions!$D64,EF!$D$84:$D$99,0))*INDEX(EF!$H$100:$H$115,MATCH(Emissions!$D64,EF!$D$100:$D$115,0))*INDEX(EF!$H$116:$H$131,MATCH(Emissions!$D64,EF!$D$116:$D$131,0))*kgtoGg</f>
        <v>1.8327068962105979</v>
      </c>
      <c r="R64" s="23">
        <f>INDEX('Activity data'!R$24:R$39,MATCH(Emissions!$D64,'Activity data'!$D$24:$D$39,0))*INDEX(EF!$H$84:$H$99,MATCH(Emissions!$D64,EF!$D$84:$D$99,0))*INDEX(EF!$H$100:$H$115,MATCH(Emissions!$D64,EF!$D$100:$D$115,0))*INDEX(EF!$H$116:$H$131,MATCH(Emissions!$D64,EF!$D$116:$D$131,0))*kgtoGg</f>
        <v>1.5407167876980463</v>
      </c>
      <c r="S64" s="23">
        <f>INDEX('Activity data'!S$24:S$39,MATCH(Emissions!$D64,'Activity data'!$D$24:$D$39,0))*INDEX(EF!$H$84:$H$99,MATCH(Emissions!$D64,EF!$D$84:$D$99,0))*INDEX(EF!$H$100:$H$115,MATCH(Emissions!$D64,EF!$D$100:$D$115,0))*INDEX(EF!$H$116:$H$131,MATCH(Emissions!$D64,EF!$D$116:$D$131,0))*kgtoGg</f>
        <v>1.2962863918633982</v>
      </c>
      <c r="T64" s="23">
        <f>INDEX('Activity data'!T$24:T$39,MATCH(Emissions!$D64,'Activity data'!$D$24:$D$39,0))*INDEX(EF!$H$84:$H$99,MATCH(Emissions!$D64,EF!$D$84:$D$99,0))*INDEX(EF!$H$100:$H$115,MATCH(Emissions!$D64,EF!$D$100:$D$115,0))*INDEX(EF!$H$116:$H$131,MATCH(Emissions!$D64,EF!$D$116:$D$131,0))*kgtoGg</f>
        <v>3.1553311369274972</v>
      </c>
      <c r="U64" s="23">
        <f>INDEX('Activity data'!U$24:U$39,MATCH(Emissions!$D64,'Activity data'!$D$24:$D$39,0))*INDEX(EF!$H$84:$H$99,MATCH(Emissions!$D64,EF!$D$84:$D$99,0))*INDEX(EF!$H$100:$H$115,MATCH(Emissions!$D64,EF!$D$100:$D$115,0))*INDEX(EF!$H$116:$H$131,MATCH(Emissions!$D64,EF!$D$116:$D$131,0))*kgtoGg</f>
        <v>1.9682331292499253</v>
      </c>
      <c r="V64" s="23">
        <f>INDEX('Activity data'!V$24:V$39,MATCH(Emissions!$D64,'Activity data'!$D$24:$D$39,0))*INDEX(EF!$H$84:$H$99,MATCH(Emissions!$D64,EF!$D$84:$D$99,0))*INDEX(EF!$H$100:$H$115,MATCH(Emissions!$D64,EF!$D$100:$D$115,0))*INDEX(EF!$H$116:$H$131,MATCH(Emissions!$D64,EF!$D$116:$D$131,0))*kgtoGg</f>
        <v>1.202967035314124</v>
      </c>
      <c r="W64" s="23">
        <f>INDEX('Activity data'!W$24:W$39,MATCH(Emissions!$D64,'Activity data'!$D$24:$D$39,0))*INDEX(EF!$H$84:$H$99,MATCH(Emissions!$D64,EF!$D$84:$D$99,0))*INDEX(EF!$H$100:$H$115,MATCH(Emissions!$D64,EF!$D$100:$D$115,0))*INDEX(EF!$H$116:$H$131,MATCH(Emissions!$D64,EF!$D$116:$D$131,0))*kgtoGg</f>
        <v>2.0414201373050664</v>
      </c>
      <c r="X64" s="23">
        <f>INDEX('Activity data'!X$24:X$39,MATCH(Emissions!$D64,'Activity data'!$D$24:$D$39,0))*INDEX(EF!$H$84:$H$99,MATCH(Emissions!$D64,EF!$D$84:$D$99,0))*INDEX(EF!$H$100:$H$115,MATCH(Emissions!$D64,EF!$D$100:$D$115,0))*INDEX(EF!$H$116:$H$131,MATCH(Emissions!$D64,EF!$D$116:$D$131,0))*kgtoGg</f>
        <v>1.5845342520676293</v>
      </c>
      <c r="Y64" s="23">
        <f>INDEX('Activity data'!Y$24:Y$39,MATCH(Emissions!$D64,'Activity data'!$D$24:$D$39,0))*INDEX(EF!$H$84:$H$99,MATCH(Emissions!$D64,EF!$D$84:$D$99,0))*INDEX(EF!$H$100:$H$115,MATCH(Emissions!$D64,EF!$D$100:$D$115,0))*INDEX(EF!$H$116:$H$131,MATCH(Emissions!$D64,EF!$D$116:$D$131,0))*kgtoGg</f>
        <v>1.3635521209496773</v>
      </c>
      <c r="Z64" s="23">
        <f>INDEX('Activity data'!Z$24:Z$39,MATCH(Emissions!$D64,'Activity data'!$D$24:$D$39,0))*INDEX(EF!$H$84:$H$99,MATCH(Emissions!$D64,EF!$D$84:$D$99,0))*INDEX(EF!$H$100:$H$115,MATCH(Emissions!$D64,EF!$D$100:$D$115,0))*INDEX(EF!$H$116:$H$131,MATCH(Emissions!$D64,EF!$D$116:$D$131,0))*kgtoGg</f>
        <v>1.6513262788363989</v>
      </c>
      <c r="AA64" s="23">
        <f>INDEX('Activity data'!AA$24:AA$39,MATCH(Emissions!$D64,'Activity data'!$D$24:$D$39,0))*INDEX(EF!$H$84:$H$99,MATCH(Emissions!$D64,EF!$D$84:$D$99,0))*INDEX(EF!$H$100:$H$115,MATCH(Emissions!$D64,EF!$D$100:$D$115,0))*INDEX(EF!$H$116:$H$131,MATCH(Emissions!$D64,EF!$D$116:$D$131,0))*kgtoGg</f>
        <v>2.2091107577032552</v>
      </c>
      <c r="AB64" s="23">
        <f>INDEX('Activity data'!AB$24:AB$39,MATCH(Emissions!$D64,'Activity data'!$D$24:$D$39,0))*INDEX(EF!$H$84:$H$99,MATCH(Emissions!$D64,EF!$D$84:$D$99,0))*INDEX(EF!$H$100:$H$115,MATCH(Emissions!$D64,EF!$D$100:$D$115,0))*INDEX(EF!$H$116:$H$131,MATCH(Emissions!$D64,EF!$D$116:$D$131,0))*kgtoGg</f>
        <v>5.2887257186400003</v>
      </c>
      <c r="AC64" s="23">
        <f>INDEX('Activity data'!AC$24:AC$39,MATCH(Emissions!$D64,'Activity data'!$D$24:$D$39,0))*INDEX(EF!$H$84:$H$99,MATCH(Emissions!$D64,EF!$D$84:$D$99,0))*INDEX(EF!$H$100:$H$115,MATCH(Emissions!$D64,EF!$D$100:$D$115,0))*INDEX(EF!$H$116:$H$131,MATCH(Emissions!$D64,EF!$D$116:$D$131,0))*kgtoGg</f>
        <v>5.3137024405920013</v>
      </c>
      <c r="AD64" s="23">
        <f>INDEX('Activity data'!AD$24:AD$39,MATCH(Emissions!$D64,'Activity data'!$D$24:$D$39,0))*INDEX(EF!$H$84:$H$99,MATCH(Emissions!$D64,EF!$D$84:$D$99,0))*INDEX(EF!$H$100:$H$115,MATCH(Emissions!$D64,EF!$D$100:$D$115,0))*INDEX(EF!$H$116:$H$131,MATCH(Emissions!$D64,EF!$D$116:$D$131,0))*kgtoGg</f>
        <v>7.2814294949760008</v>
      </c>
      <c r="AE64" s="23">
        <f>INDEX('Activity data'!AE$24:AE$39,MATCH(Emissions!$D64,'Activity data'!$D$24:$D$39,0))*INDEX(EF!$H$84:$H$99,MATCH(Emissions!$D64,EF!$D$84:$D$99,0))*INDEX(EF!$H$100:$H$115,MATCH(Emissions!$D64,EF!$D$100:$D$115,0))*INDEX(EF!$H$116:$H$131,MATCH(Emissions!$D64,EF!$D$116:$D$131,0))*kgtoGg</f>
        <v>2.9974884029999997</v>
      </c>
      <c r="AF64" s="23">
        <f>INDEX('Activity data'!AF$24:AF$39,MATCH(Emissions!$D64,'Activity data'!$D$24:$D$39,0))*INDEX(EF!$H$84:$H$99,MATCH(Emissions!$D64,EF!$D$84:$D$99,0))*INDEX(EF!$H$100:$H$115,MATCH(Emissions!$D64,EF!$D$100:$D$115,0))*INDEX(EF!$H$116:$H$131,MATCH(Emissions!$D64,EF!$D$116:$D$131,0))*kgtoGg</f>
        <v>1.9758743287919998</v>
      </c>
      <c r="AG64" s="23">
        <f>INDEX('Activity data'!AG$24:AG$39,MATCH(Emissions!$D64,'Activity data'!$D$24:$D$39,0))*INDEX(EF!$H$84:$H$99,MATCH(Emissions!$D64,EF!$D$84:$D$99,0))*INDEX(EF!$H$100:$H$115,MATCH(Emissions!$D64,EF!$D$100:$D$115,0))*INDEX(EF!$H$116:$H$131,MATCH(Emissions!$D64,EF!$D$116:$D$131,0))*kgtoGg</f>
        <v>2.6993890647360002</v>
      </c>
      <c r="AH64" s="23">
        <f>INDEX('Activity data'!AH$24:AH$39,MATCH(Emissions!$D64,'Activity data'!$D$24:$D$39,0))*INDEX(EF!$H$84:$H$99,MATCH(Emissions!$D64,EF!$D$84:$D$99,0))*INDEX(EF!$H$100:$H$115,MATCH(Emissions!$D64,EF!$D$100:$D$115,0))*INDEX(EF!$H$116:$H$131,MATCH(Emissions!$D64,EF!$D$116:$D$131,0))*kgtoGg</f>
        <v>3.7455918514559992</v>
      </c>
      <c r="AI64" s="23">
        <f>INDEX('Activity data'!AI$24:AI$39,MATCH(Emissions!$D64,'Activity data'!$D$24:$D$39,0))*INDEX(EF!$H$84:$H$99,MATCH(Emissions!$D64,EF!$D$84:$D$99,0))*INDEX(EF!$H$100:$H$115,MATCH(Emissions!$D64,EF!$D$100:$D$115,0))*INDEX(EF!$H$116:$H$131,MATCH(Emissions!$D64,EF!$D$116:$D$131,0))*kgtoGg</f>
        <v>2.8479920610960003</v>
      </c>
      <c r="AJ64" s="23">
        <f>INDEX('Activity data'!AJ$24:AJ$39,MATCH(Emissions!$D64,'Activity data'!$D$24:$D$39,0))*INDEX(EF!$H$84:$H$99,MATCH(Emissions!$D64,EF!$D$84:$D$99,0))*INDEX(EF!$H$100:$H$115,MATCH(Emissions!$D64,EF!$D$100:$D$115,0))*INDEX(EF!$H$116:$H$131,MATCH(Emissions!$D64,EF!$D$116:$D$131,0))*kgtoGg</f>
        <v>2.1799264151732896</v>
      </c>
      <c r="AK64" s="23">
        <f>INDEX('Activity data'!AK$24:AK$39,MATCH(Emissions!$D64,'Activity data'!$D$24:$D$39,0))*INDEX(EF!$H$84:$H$99,MATCH(Emissions!$D64,EF!$D$84:$D$99,0))*INDEX(EF!$H$100:$H$115,MATCH(Emissions!$D64,EF!$D$100:$D$115,0))*INDEX(EF!$H$116:$H$131,MATCH(Emissions!$D64,EF!$D$116:$D$131,0))*kgtoGg</f>
        <v>2.1557639086574105</v>
      </c>
      <c r="AL64" s="23">
        <f>INDEX('Activity data'!AL$24:AL$39,MATCH(Emissions!$D64,'Activity data'!$D$24:$D$39,0))*INDEX(EF!$H$84:$H$99,MATCH(Emissions!$D64,EF!$D$84:$D$99,0))*INDEX(EF!$H$100:$H$115,MATCH(Emissions!$D64,EF!$D$100:$D$115,0))*INDEX(EF!$H$116:$H$131,MATCH(Emissions!$D64,EF!$D$116:$D$131,0))*kgtoGg</f>
        <v>2.1316014021415319</v>
      </c>
      <c r="AM64" s="23">
        <f>INDEX('Activity data'!AM$24:AM$39,MATCH(Emissions!$D64,'Activity data'!$D$24:$D$39,0))*INDEX(EF!$H$84:$H$99,MATCH(Emissions!$D64,EF!$D$84:$D$99,0))*INDEX(EF!$H$100:$H$115,MATCH(Emissions!$D64,EF!$D$100:$D$115,0))*INDEX(EF!$H$116:$H$131,MATCH(Emissions!$D64,EF!$D$116:$D$131,0))*kgtoGg</f>
        <v>2.107438895625652</v>
      </c>
      <c r="AN64" s="23">
        <f>INDEX('Activity data'!AN$24:AN$39,MATCH(Emissions!$D64,'Activity data'!$D$24:$D$39,0))*INDEX(EF!$H$84:$H$99,MATCH(Emissions!$D64,EF!$D$84:$D$99,0))*INDEX(EF!$H$100:$H$115,MATCH(Emissions!$D64,EF!$D$100:$D$115,0))*INDEX(EF!$H$116:$H$131,MATCH(Emissions!$D64,EF!$D$116:$D$131,0))*kgtoGg</f>
        <v>2.0832763891097734</v>
      </c>
      <c r="AO64" s="23">
        <f>INDEX('Activity data'!AO$24:AO$39,MATCH(Emissions!$D64,'Activity data'!$D$24:$D$39,0))*INDEX(EF!$H$84:$H$99,MATCH(Emissions!$D64,EF!$D$84:$D$99,0))*INDEX(EF!$H$100:$H$115,MATCH(Emissions!$D64,EF!$D$100:$D$115,0))*INDEX(EF!$H$116:$H$131,MATCH(Emissions!$D64,EF!$D$116:$D$131,0))*kgtoGg</f>
        <v>2.0591138825938944</v>
      </c>
      <c r="AP64" s="23">
        <f>INDEX('Activity data'!AP$24:AP$39,MATCH(Emissions!$D64,'Activity data'!$D$24:$D$39,0))*INDEX(EF!$H$84:$H$99,MATCH(Emissions!$D64,EF!$D$84:$D$99,0))*INDEX(EF!$H$100:$H$115,MATCH(Emissions!$D64,EF!$D$100:$D$115,0))*INDEX(EF!$H$116:$H$131,MATCH(Emissions!$D64,EF!$D$116:$D$131,0))*kgtoGg</f>
        <v>2.0349513760780149</v>
      </c>
      <c r="AQ64" s="23">
        <f>INDEX('Activity data'!AQ$24:AQ$39,MATCH(Emissions!$D64,'Activity data'!$D$24:$D$39,0))*INDEX(EF!$H$84:$H$99,MATCH(Emissions!$D64,EF!$D$84:$D$99,0))*INDEX(EF!$H$100:$H$115,MATCH(Emissions!$D64,EF!$D$100:$D$115,0))*INDEX(EF!$H$116:$H$131,MATCH(Emissions!$D64,EF!$D$116:$D$131,0))*kgtoGg</f>
        <v>2.0107888695621363</v>
      </c>
      <c r="AR64" s="23">
        <f>INDEX('Activity data'!AR$24:AR$39,MATCH(Emissions!$D64,'Activity data'!$D$24:$D$39,0))*INDEX(EF!$H$84:$H$99,MATCH(Emissions!$D64,EF!$D$84:$D$99,0))*INDEX(EF!$H$100:$H$115,MATCH(Emissions!$D64,EF!$D$100:$D$115,0))*INDEX(EF!$H$116:$H$131,MATCH(Emissions!$D64,EF!$D$116:$D$131,0))*kgtoGg</f>
        <v>1.9866263630462575</v>
      </c>
      <c r="AS64" s="23">
        <f>INDEX('Activity data'!AS$24:AS$39,MATCH(Emissions!$D64,'Activity data'!$D$24:$D$39,0))*INDEX(EF!$H$84:$H$99,MATCH(Emissions!$D64,EF!$D$84:$D$99,0))*INDEX(EF!$H$100:$H$115,MATCH(Emissions!$D64,EF!$D$100:$D$115,0))*INDEX(EF!$H$116:$H$131,MATCH(Emissions!$D64,EF!$D$116:$D$131,0))*kgtoGg</f>
        <v>1.9624638565303782</v>
      </c>
      <c r="AT64" s="23">
        <f>INDEX('Activity data'!AT$24:AT$39,MATCH(Emissions!$D64,'Activity data'!$D$24:$D$39,0))*INDEX(EF!$H$84:$H$99,MATCH(Emissions!$D64,EF!$D$84:$D$99,0))*INDEX(EF!$H$100:$H$115,MATCH(Emissions!$D64,EF!$D$100:$D$115,0))*INDEX(EF!$H$116:$H$131,MATCH(Emissions!$D64,EF!$D$116:$D$131,0))*kgtoGg</f>
        <v>1.9383013500144992</v>
      </c>
      <c r="AU64" s="23">
        <f>INDEX('Activity data'!AU$24:AU$39,MATCH(Emissions!$D64,'Activity data'!$D$24:$D$39,0))*INDEX(EF!$H$84:$H$99,MATCH(Emissions!$D64,EF!$D$84:$D$99,0))*INDEX(EF!$H$100:$H$115,MATCH(Emissions!$D64,EF!$D$100:$D$115,0))*INDEX(EF!$H$116:$H$131,MATCH(Emissions!$D64,EF!$D$116:$D$131,0))*kgtoGg</f>
        <v>1.9141388434986202</v>
      </c>
      <c r="AV64" s="23">
        <f>INDEX('Activity data'!AV$24:AV$39,MATCH(Emissions!$D64,'Activity data'!$D$24:$D$39,0))*INDEX(EF!$H$84:$H$99,MATCH(Emissions!$D64,EF!$D$84:$D$99,0))*INDEX(EF!$H$100:$H$115,MATCH(Emissions!$D64,EF!$D$100:$D$115,0))*INDEX(EF!$H$116:$H$131,MATCH(Emissions!$D64,EF!$D$116:$D$131,0))*kgtoGg</f>
        <v>1.8899763369827411</v>
      </c>
      <c r="AW64" s="23">
        <f>INDEX('Activity data'!AW$24:AW$39,MATCH(Emissions!$D64,'Activity data'!$D$24:$D$39,0))*INDEX(EF!$H$84:$H$99,MATCH(Emissions!$D64,EF!$D$84:$D$99,0))*INDEX(EF!$H$100:$H$115,MATCH(Emissions!$D64,EF!$D$100:$D$115,0))*INDEX(EF!$H$116:$H$131,MATCH(Emissions!$D64,EF!$D$116:$D$131,0))*kgtoGg</f>
        <v>1.8658138304668619</v>
      </c>
      <c r="AX64" s="23">
        <f>INDEX('Activity data'!AX$24:AX$39,MATCH(Emissions!$D64,'Activity data'!$D$24:$D$39,0))*INDEX(EF!$H$84:$H$99,MATCH(Emissions!$D64,EF!$D$84:$D$99,0))*INDEX(EF!$H$100:$H$115,MATCH(Emissions!$D64,EF!$D$100:$D$115,0))*INDEX(EF!$H$116:$H$131,MATCH(Emissions!$D64,EF!$D$116:$D$131,0))*kgtoGg</f>
        <v>1.8416513239509833</v>
      </c>
      <c r="AY64" s="23">
        <f>INDEX('Activity data'!AY$24:AY$39,MATCH(Emissions!$D64,'Activity data'!$D$24:$D$39,0))*INDEX(EF!$H$84:$H$99,MATCH(Emissions!$D64,EF!$D$84:$D$99,0))*INDEX(EF!$H$100:$H$115,MATCH(Emissions!$D64,EF!$D$100:$D$115,0))*INDEX(EF!$H$116:$H$131,MATCH(Emissions!$D64,EF!$D$116:$D$131,0))*kgtoGg</f>
        <v>1.8174888174351038</v>
      </c>
      <c r="AZ64" s="23">
        <f>INDEX('Activity data'!AZ$24:AZ$39,MATCH(Emissions!$D64,'Activity data'!$D$24:$D$39,0))*INDEX(EF!$H$84:$H$99,MATCH(Emissions!$D64,EF!$D$84:$D$99,0))*INDEX(EF!$H$100:$H$115,MATCH(Emissions!$D64,EF!$D$100:$D$115,0))*INDEX(EF!$H$116:$H$131,MATCH(Emissions!$D64,EF!$D$116:$D$131,0))*kgtoGg</f>
        <v>1.7933263109192252</v>
      </c>
      <c r="BA64" s="23">
        <f>INDEX('Activity data'!BA$24:BA$39,MATCH(Emissions!$D64,'Activity data'!$D$24:$D$39,0))*INDEX(EF!$H$84:$H$99,MATCH(Emissions!$D64,EF!$D$84:$D$99,0))*INDEX(EF!$H$100:$H$115,MATCH(Emissions!$D64,EF!$D$100:$D$115,0))*INDEX(EF!$H$116:$H$131,MATCH(Emissions!$D64,EF!$D$116:$D$131,0))*kgtoGg</f>
        <v>1.769163804403346</v>
      </c>
      <c r="BB64" s="23">
        <f>INDEX('Activity data'!BB$24:BB$39,MATCH(Emissions!$D64,'Activity data'!$D$24:$D$39,0))*INDEX(EF!$H$84:$H$99,MATCH(Emissions!$D64,EF!$D$84:$D$99,0))*INDEX(EF!$H$100:$H$115,MATCH(Emissions!$D64,EF!$D$100:$D$115,0))*INDEX(EF!$H$116:$H$131,MATCH(Emissions!$D64,EF!$D$116:$D$131,0))*kgtoGg</f>
        <v>1.7450012978874669</v>
      </c>
      <c r="BC64" s="23">
        <f>INDEX('Activity data'!BC$24:BC$39,MATCH(Emissions!$D64,'Activity data'!$D$24:$D$39,0))*INDEX(EF!$H$84:$H$99,MATCH(Emissions!$D64,EF!$D$84:$D$99,0))*INDEX(EF!$H$100:$H$115,MATCH(Emissions!$D64,EF!$D$100:$D$115,0))*INDEX(EF!$H$116:$H$131,MATCH(Emissions!$D64,EF!$D$116:$D$131,0))*kgtoGg</f>
        <v>1.7208387913715879</v>
      </c>
      <c r="BD64" s="23">
        <f>INDEX('Activity data'!BD$24:BD$39,MATCH(Emissions!$D64,'Activity data'!$D$24:$D$39,0))*INDEX(EF!$H$84:$H$99,MATCH(Emissions!$D64,EF!$D$84:$D$99,0))*INDEX(EF!$H$100:$H$115,MATCH(Emissions!$D64,EF!$D$100:$D$115,0))*INDEX(EF!$H$116:$H$131,MATCH(Emissions!$D64,EF!$D$116:$D$131,0))*kgtoGg</f>
        <v>1.6966762848557089</v>
      </c>
      <c r="BE64" s="23">
        <f>INDEX('Activity data'!BE$24:BE$39,MATCH(Emissions!$D64,'Activity data'!$D$24:$D$39,0))*INDEX(EF!$H$84:$H$99,MATCH(Emissions!$D64,EF!$D$84:$D$99,0))*INDEX(EF!$H$100:$H$115,MATCH(Emissions!$D64,EF!$D$100:$D$115,0))*INDEX(EF!$H$116:$H$131,MATCH(Emissions!$D64,EF!$D$116:$D$131,0))*kgtoGg</f>
        <v>1.6725137783398296</v>
      </c>
      <c r="BF64" s="23">
        <f>INDEX('Activity data'!BF$24:BF$39,MATCH(Emissions!$D64,'Activity data'!$D$24:$D$39,0))*INDEX(EF!$H$84:$H$99,MATCH(Emissions!$D64,EF!$D$84:$D$99,0))*INDEX(EF!$H$100:$H$115,MATCH(Emissions!$D64,EF!$D$100:$D$115,0))*INDEX(EF!$H$116:$H$131,MATCH(Emissions!$D64,EF!$D$116:$D$131,0))*kgtoGg</f>
        <v>1.648351271823951</v>
      </c>
      <c r="BG64" s="23">
        <f>INDEX('Activity data'!BG$24:BG$39,MATCH(Emissions!$D64,'Activity data'!$D$24:$D$39,0))*INDEX(EF!$H$84:$H$99,MATCH(Emissions!$D64,EF!$D$84:$D$99,0))*INDEX(EF!$H$100:$H$115,MATCH(Emissions!$D64,EF!$D$100:$D$115,0))*INDEX(EF!$H$116:$H$131,MATCH(Emissions!$D64,EF!$D$116:$D$131,0))*kgtoGg</f>
        <v>1.6241887653080718</v>
      </c>
      <c r="BH64" s="23">
        <f>INDEX('Activity data'!BH$24:BH$39,MATCH(Emissions!$D64,'Activity data'!$D$24:$D$39,0))*INDEX(EF!$H$84:$H$99,MATCH(Emissions!$D64,EF!$D$84:$D$99,0))*INDEX(EF!$H$100:$H$115,MATCH(Emissions!$D64,EF!$D$100:$D$115,0))*INDEX(EF!$H$116:$H$131,MATCH(Emissions!$D64,EF!$D$116:$D$131,0))*kgtoGg</f>
        <v>1.6000262587921927</v>
      </c>
      <c r="BI64" s="23">
        <f>INDEX('Activity data'!BI$24:BI$39,MATCH(Emissions!$D64,'Activity data'!$D$24:$D$39,0))*INDEX(EF!$H$84:$H$99,MATCH(Emissions!$D64,EF!$D$84:$D$99,0))*INDEX(EF!$H$100:$H$115,MATCH(Emissions!$D64,EF!$D$100:$D$115,0))*INDEX(EF!$H$116:$H$131,MATCH(Emissions!$D64,EF!$D$116:$D$131,0))*kgtoGg</f>
        <v>1.5758637522763139</v>
      </c>
      <c r="BJ64" s="23">
        <f>INDEX('Activity data'!BJ$24:BJ$39,MATCH(Emissions!$D64,'Activity data'!$D$24:$D$39,0))*INDEX(EF!$H$84:$H$99,MATCH(Emissions!$D64,EF!$D$84:$D$99,0))*INDEX(EF!$H$100:$H$115,MATCH(Emissions!$D64,EF!$D$100:$D$115,0))*INDEX(EF!$H$116:$H$131,MATCH(Emissions!$D64,EF!$D$116:$D$131,0))*kgtoGg</f>
        <v>1.5517012457604349</v>
      </c>
      <c r="BK64" s="23">
        <f>INDEX('Activity data'!BK$24:BK$39,MATCH(Emissions!$D64,'Activity data'!$D$24:$D$39,0))*INDEX(EF!$H$84:$H$99,MATCH(Emissions!$D64,EF!$D$84:$D$99,0))*INDEX(EF!$H$100:$H$115,MATCH(Emissions!$D64,EF!$D$100:$D$115,0))*INDEX(EF!$H$116:$H$131,MATCH(Emissions!$D64,EF!$D$116:$D$131,0))*kgtoGg</f>
        <v>1.5275387392445561</v>
      </c>
      <c r="BL64" s="23">
        <f>INDEX('Activity data'!BL$24:BL$39,MATCH(Emissions!$D64,'Activity data'!$D$24:$D$39,0))*INDEX(EF!$H$84:$H$99,MATCH(Emissions!$D64,EF!$D$84:$D$99,0))*INDEX(EF!$H$100:$H$115,MATCH(Emissions!$D64,EF!$D$100:$D$115,0))*INDEX(EF!$H$116:$H$131,MATCH(Emissions!$D64,EF!$D$116:$D$131,0))*kgtoGg</f>
        <v>1.5033762327286773</v>
      </c>
      <c r="BM64" s="23">
        <f>INDEX('Activity data'!BM$24:BM$39,MATCH(Emissions!$D64,'Activity data'!$D$24:$D$39,0))*INDEX(EF!$H$84:$H$99,MATCH(Emissions!$D64,EF!$D$84:$D$99,0))*INDEX(EF!$H$100:$H$115,MATCH(Emissions!$D64,EF!$D$100:$D$115,0))*INDEX(EF!$H$116:$H$131,MATCH(Emissions!$D64,EF!$D$116:$D$131,0))*kgtoGg</f>
        <v>1.4792137262127978</v>
      </c>
      <c r="BN64" s="23">
        <f>INDEX('Activity data'!BN$24:BN$39,MATCH(Emissions!$D64,'Activity data'!$D$24:$D$39,0))*INDEX(EF!$H$84:$H$99,MATCH(Emissions!$D64,EF!$D$84:$D$99,0))*INDEX(EF!$H$100:$H$115,MATCH(Emissions!$D64,EF!$D$100:$D$115,0))*INDEX(EF!$H$116:$H$131,MATCH(Emissions!$D64,EF!$D$116:$D$131,0))*kgtoGg</f>
        <v>1.4550512196969192</v>
      </c>
      <c r="BO64" s="23">
        <f>INDEX('Activity data'!BO$24:BO$39,MATCH(Emissions!$D64,'Activity data'!$D$24:$D$39,0))*INDEX(EF!$H$84:$H$99,MATCH(Emissions!$D64,EF!$D$84:$D$99,0))*INDEX(EF!$H$100:$H$115,MATCH(Emissions!$D64,EF!$D$100:$D$115,0))*INDEX(EF!$H$116:$H$131,MATCH(Emissions!$D64,EF!$D$116:$D$131,0))*kgtoGg</f>
        <v>1.4308887131810399</v>
      </c>
      <c r="BP64" s="23">
        <f>INDEX('Activity data'!BP$24:BP$39,MATCH(Emissions!$D64,'Activity data'!$D$24:$D$39,0))*INDEX(EF!$H$84:$H$99,MATCH(Emissions!$D64,EF!$D$84:$D$99,0))*INDEX(EF!$H$100:$H$115,MATCH(Emissions!$D64,EF!$D$100:$D$115,0))*INDEX(EF!$H$116:$H$131,MATCH(Emissions!$D64,EF!$D$116:$D$131,0))*kgtoGg</f>
        <v>1.4067262066651609</v>
      </c>
    </row>
    <row r="65" spans="1:68" x14ac:dyDescent="0.25">
      <c r="A65" t="str">
        <f t="shared" si="19"/>
        <v>3C Aggregated and non-CO2 emissions on land</v>
      </c>
      <c r="B65" t="str">
        <f t="shared" si="20"/>
        <v>3C1 Biomass burning (CH4)</v>
      </c>
      <c r="C65" t="str">
        <f>C64</f>
        <v>3C1c Biomass burning in Grasslands</v>
      </c>
      <c r="D65" t="str">
        <f>EF!D95</f>
        <v>Degraded land</v>
      </c>
      <c r="E65" t="s">
        <v>725</v>
      </c>
      <c r="F65" t="str">
        <f t="shared" si="21"/>
        <v>CH4</v>
      </c>
      <c r="G65" t="str">
        <f t="shared" si="22"/>
        <v>Gg CH4</v>
      </c>
      <c r="H65" s="23">
        <f>INDEX('Activity data'!H$24:H$39,MATCH(Emissions!$D65,'Activity data'!$D$24:$D$39,0))*INDEX(EF!$H$84:$H$99,MATCH(Emissions!$D65,EF!$D$84:$D$99,0))*INDEX(EF!$H$100:$H$115,MATCH(Emissions!$D65,EF!$D$100:$D$115,0))*INDEX(EF!$H$116:$H$131,MATCH(Emissions!$D65,EF!$D$116:$D$131,0))*kgtoGg</f>
        <v>0.28388450845043828</v>
      </c>
      <c r="I65" s="23">
        <f>INDEX('Activity data'!I$24:I$39,MATCH(Emissions!$D65,'Activity data'!$D$24:$D$39,0))*INDEX(EF!$H$84:$H$99,MATCH(Emissions!$D65,EF!$D$84:$D$99,0))*INDEX(EF!$H$100:$H$115,MATCH(Emissions!$D65,EF!$D$100:$D$115,0))*INDEX(EF!$H$116:$H$131,MATCH(Emissions!$D65,EF!$D$116:$D$131,0))*kgtoGg</f>
        <v>0.28388450845043828</v>
      </c>
      <c r="J65" s="23">
        <f>INDEX('Activity data'!J$24:J$39,MATCH(Emissions!$D65,'Activity data'!$D$24:$D$39,0))*INDEX(EF!$H$84:$H$99,MATCH(Emissions!$D65,EF!$D$84:$D$99,0))*INDEX(EF!$H$100:$H$115,MATCH(Emissions!$D65,EF!$D$100:$D$115,0))*INDEX(EF!$H$116:$H$131,MATCH(Emissions!$D65,EF!$D$116:$D$131,0))*kgtoGg</f>
        <v>0.28388450845043828</v>
      </c>
      <c r="K65" s="23">
        <f>INDEX('Activity data'!K$24:K$39,MATCH(Emissions!$D65,'Activity data'!$D$24:$D$39,0))*INDEX(EF!$H$84:$H$99,MATCH(Emissions!$D65,EF!$D$84:$D$99,0))*INDEX(EF!$H$100:$H$115,MATCH(Emissions!$D65,EF!$D$100:$D$115,0))*INDEX(EF!$H$116:$H$131,MATCH(Emissions!$D65,EF!$D$116:$D$131,0))*kgtoGg</f>
        <v>0.28388450845043828</v>
      </c>
      <c r="L65" s="23">
        <f>INDEX('Activity data'!L$24:L$39,MATCH(Emissions!$D65,'Activity data'!$D$24:$D$39,0))*INDEX(EF!$H$84:$H$99,MATCH(Emissions!$D65,EF!$D$84:$D$99,0))*INDEX(EF!$H$100:$H$115,MATCH(Emissions!$D65,EF!$D$100:$D$115,0))*INDEX(EF!$H$116:$H$131,MATCH(Emissions!$D65,EF!$D$116:$D$131,0))*kgtoGg</f>
        <v>0.28388450845043828</v>
      </c>
      <c r="M65" s="23">
        <f>INDEX('Activity data'!M$24:M$39,MATCH(Emissions!$D65,'Activity data'!$D$24:$D$39,0))*INDEX(EF!$H$84:$H$99,MATCH(Emissions!$D65,EF!$D$84:$D$99,0))*INDEX(EF!$H$100:$H$115,MATCH(Emissions!$D65,EF!$D$100:$D$115,0))*INDEX(EF!$H$116:$H$131,MATCH(Emissions!$D65,EF!$D$116:$D$131,0))*kgtoGg</f>
        <v>0.28388450845043828</v>
      </c>
      <c r="N65" s="23">
        <f>INDEX('Activity data'!N$24:N$39,MATCH(Emissions!$D65,'Activity data'!$D$24:$D$39,0))*INDEX(EF!$H$84:$H$99,MATCH(Emissions!$D65,EF!$D$84:$D$99,0))*INDEX(EF!$H$100:$H$115,MATCH(Emissions!$D65,EF!$D$100:$D$115,0))*INDEX(EF!$H$116:$H$131,MATCH(Emissions!$D65,EF!$D$116:$D$131,0))*kgtoGg</f>
        <v>0.28388450845043828</v>
      </c>
      <c r="O65" s="23">
        <f>INDEX('Activity data'!O$24:O$39,MATCH(Emissions!$D65,'Activity data'!$D$24:$D$39,0))*INDEX(EF!$H$84:$H$99,MATCH(Emissions!$D65,EF!$D$84:$D$99,0))*INDEX(EF!$H$100:$H$115,MATCH(Emissions!$D65,EF!$D$100:$D$115,0))*INDEX(EF!$H$116:$H$131,MATCH(Emissions!$D65,EF!$D$116:$D$131,0))*kgtoGg</f>
        <v>0.28388450845043828</v>
      </c>
      <c r="P65" s="23">
        <f>INDEX('Activity data'!P$24:P$39,MATCH(Emissions!$D65,'Activity data'!$D$24:$D$39,0))*INDEX(EF!$H$84:$H$99,MATCH(Emissions!$D65,EF!$D$84:$D$99,0))*INDEX(EF!$H$100:$H$115,MATCH(Emissions!$D65,EF!$D$100:$D$115,0))*INDEX(EF!$H$116:$H$131,MATCH(Emissions!$D65,EF!$D$116:$D$131,0))*kgtoGg</f>
        <v>0.28388450845043828</v>
      </c>
      <c r="Q65" s="23">
        <f>INDEX('Activity data'!Q$24:Q$39,MATCH(Emissions!$D65,'Activity data'!$D$24:$D$39,0))*INDEX(EF!$H$84:$H$99,MATCH(Emissions!$D65,EF!$D$84:$D$99,0))*INDEX(EF!$H$100:$H$115,MATCH(Emissions!$D65,EF!$D$100:$D$115,0))*INDEX(EF!$H$116:$H$131,MATCH(Emissions!$D65,EF!$D$116:$D$131,0))*kgtoGg</f>
        <v>0.28388450845043828</v>
      </c>
      <c r="R65" s="23">
        <f>INDEX('Activity data'!R$24:R$39,MATCH(Emissions!$D65,'Activity data'!$D$24:$D$39,0))*INDEX(EF!$H$84:$H$99,MATCH(Emissions!$D65,EF!$D$84:$D$99,0))*INDEX(EF!$H$100:$H$115,MATCH(Emissions!$D65,EF!$D$100:$D$115,0))*INDEX(EF!$H$116:$H$131,MATCH(Emissions!$D65,EF!$D$116:$D$131,0))*kgtoGg</f>
        <v>0.31237273176162411</v>
      </c>
      <c r="S65" s="23">
        <f>INDEX('Activity data'!S$24:S$39,MATCH(Emissions!$D65,'Activity data'!$D$24:$D$39,0))*INDEX(EF!$H$84:$H$99,MATCH(Emissions!$D65,EF!$D$84:$D$99,0))*INDEX(EF!$H$100:$H$115,MATCH(Emissions!$D65,EF!$D$100:$D$115,0))*INDEX(EF!$H$116:$H$131,MATCH(Emissions!$D65,EF!$D$116:$D$131,0))*kgtoGg</f>
        <v>0.28275941468330501</v>
      </c>
      <c r="T65" s="23">
        <f>INDEX('Activity data'!T$24:T$39,MATCH(Emissions!$D65,'Activity data'!$D$24:$D$39,0))*INDEX(EF!$H$84:$H$99,MATCH(Emissions!$D65,EF!$D$84:$D$99,0))*INDEX(EF!$H$100:$H$115,MATCH(Emissions!$D65,EF!$D$100:$D$115,0))*INDEX(EF!$H$116:$H$131,MATCH(Emissions!$D65,EF!$D$116:$D$131,0))*kgtoGg</f>
        <v>0.37849852581106064</v>
      </c>
      <c r="U65" s="23">
        <f>INDEX('Activity data'!U$24:U$39,MATCH(Emissions!$D65,'Activity data'!$D$24:$D$39,0))*INDEX(EF!$H$84:$H$99,MATCH(Emissions!$D65,EF!$D$84:$D$99,0))*INDEX(EF!$H$100:$H$115,MATCH(Emissions!$D65,EF!$D$100:$D$115,0))*INDEX(EF!$H$116:$H$131,MATCH(Emissions!$D65,EF!$D$116:$D$131,0))*kgtoGg</f>
        <v>0.11134182657762272</v>
      </c>
      <c r="V65" s="23">
        <f>INDEX('Activity data'!V$24:V$39,MATCH(Emissions!$D65,'Activity data'!$D$24:$D$39,0))*INDEX(EF!$H$84:$H$99,MATCH(Emissions!$D65,EF!$D$84:$D$99,0))*INDEX(EF!$H$100:$H$115,MATCH(Emissions!$D65,EF!$D$100:$D$115,0))*INDEX(EF!$H$116:$H$131,MATCH(Emissions!$D65,EF!$D$116:$D$131,0))*kgtoGg</f>
        <v>0.33445004341857892</v>
      </c>
      <c r="W65" s="23">
        <f>INDEX('Activity data'!W$24:W$39,MATCH(Emissions!$D65,'Activity data'!$D$24:$D$39,0))*INDEX(EF!$H$84:$H$99,MATCH(Emissions!$D65,EF!$D$84:$D$99,0))*INDEX(EF!$H$100:$H$115,MATCH(Emissions!$D65,EF!$D$100:$D$115,0))*INDEX(EF!$H$116:$H$131,MATCH(Emissions!$D65,EF!$D$116:$D$131,0))*kgtoGg</f>
        <v>0.40970395671079474</v>
      </c>
      <c r="X65" s="23">
        <f>INDEX('Activity data'!X$24:X$39,MATCH(Emissions!$D65,'Activity data'!$D$24:$D$39,0))*INDEX(EF!$H$84:$H$99,MATCH(Emissions!$D65,EF!$D$84:$D$99,0))*INDEX(EF!$H$100:$H$115,MATCH(Emissions!$D65,EF!$D$100:$D$115,0))*INDEX(EF!$H$116:$H$131,MATCH(Emissions!$D65,EF!$D$116:$D$131,0))*kgtoGg</f>
        <v>0.60701992964482765</v>
      </c>
      <c r="Y65" s="23">
        <f>INDEX('Activity data'!Y$24:Y$39,MATCH(Emissions!$D65,'Activity data'!$D$24:$D$39,0))*INDEX(EF!$H$84:$H$99,MATCH(Emissions!$D65,EF!$D$84:$D$99,0))*INDEX(EF!$H$100:$H$115,MATCH(Emissions!$D65,EF!$D$100:$D$115,0))*INDEX(EF!$H$116:$H$131,MATCH(Emissions!$D65,EF!$D$116:$D$131,0))*kgtoGg</f>
        <v>9.2342601642070338E-2</v>
      </c>
      <c r="Z65" s="23">
        <f>INDEX('Activity data'!Z$24:Z$39,MATCH(Emissions!$D65,'Activity data'!$D$24:$D$39,0))*INDEX(EF!$H$84:$H$99,MATCH(Emissions!$D65,EF!$D$84:$D$99,0))*INDEX(EF!$H$100:$H$115,MATCH(Emissions!$D65,EF!$D$100:$D$115,0))*INDEX(EF!$H$116:$H$131,MATCH(Emissions!$D65,EF!$D$116:$D$131,0))*kgtoGg</f>
        <v>0.43199355021060487</v>
      </c>
      <c r="AA65" s="23">
        <f>INDEX('Activity data'!AA$24:AA$39,MATCH(Emissions!$D65,'Activity data'!$D$24:$D$39,0))*INDEX(EF!$H$84:$H$99,MATCH(Emissions!$D65,EF!$D$84:$D$99,0))*INDEX(EF!$H$100:$H$115,MATCH(Emissions!$D65,EF!$D$100:$D$115,0))*INDEX(EF!$H$116:$H$131,MATCH(Emissions!$D65,EF!$D$116:$D$131,0))*kgtoGg</f>
        <v>0.2804243144118963</v>
      </c>
      <c r="AB65" s="23">
        <f>INDEX('Activity data'!AB$24:AB$39,MATCH(Emissions!$D65,'Activity data'!$D$24:$D$39,0))*INDEX(EF!$H$84:$H$99,MATCH(Emissions!$D65,EF!$D$84:$D$99,0))*INDEX(EF!$H$100:$H$115,MATCH(Emissions!$D65,EF!$D$100:$D$115,0))*INDEX(EF!$H$116:$H$131,MATCH(Emissions!$D65,EF!$D$116:$D$131,0))*kgtoGg</f>
        <v>0.37741233600000001</v>
      </c>
      <c r="AC65" s="23">
        <f>INDEX('Activity data'!AC$24:AC$39,MATCH(Emissions!$D65,'Activity data'!$D$24:$D$39,0))*INDEX(EF!$H$84:$H$99,MATCH(Emissions!$D65,EF!$D$84:$D$99,0))*INDEX(EF!$H$100:$H$115,MATCH(Emissions!$D65,EF!$D$100:$D$115,0))*INDEX(EF!$H$116:$H$131,MATCH(Emissions!$D65,EF!$D$116:$D$131,0))*kgtoGg</f>
        <v>0.44425760399999997</v>
      </c>
      <c r="AD65" s="23">
        <f>INDEX('Activity data'!AD$24:AD$39,MATCH(Emissions!$D65,'Activity data'!$D$24:$D$39,0))*INDEX(EF!$H$84:$H$99,MATCH(Emissions!$D65,EF!$D$84:$D$99,0))*INDEX(EF!$H$100:$H$115,MATCH(Emissions!$D65,EF!$D$100:$D$115,0))*INDEX(EF!$H$116:$H$131,MATCH(Emissions!$D65,EF!$D$116:$D$131,0))*kgtoGg</f>
        <v>0.188757918</v>
      </c>
      <c r="AE65" s="23">
        <f>INDEX('Activity data'!AE$24:AE$39,MATCH(Emissions!$D65,'Activity data'!$D$24:$D$39,0))*INDEX(EF!$H$84:$H$99,MATCH(Emissions!$D65,EF!$D$84:$D$99,0))*INDEX(EF!$H$100:$H$115,MATCH(Emissions!$D65,EF!$D$100:$D$115,0))*INDEX(EF!$H$116:$H$131,MATCH(Emissions!$D65,EF!$D$116:$D$131,0))*kgtoGg</f>
        <v>0.18824952599999997</v>
      </c>
      <c r="AF65" s="23">
        <f>INDEX('Activity data'!AF$24:AF$39,MATCH(Emissions!$D65,'Activity data'!$D$24:$D$39,0))*INDEX(EF!$H$84:$H$99,MATCH(Emissions!$D65,EF!$D$84:$D$99,0))*INDEX(EF!$H$100:$H$115,MATCH(Emissions!$D65,EF!$D$100:$D$115,0))*INDEX(EF!$H$116:$H$131,MATCH(Emissions!$D65,EF!$D$116:$D$131,0))*kgtoGg</f>
        <v>0.16365502799999998</v>
      </c>
      <c r="AG65" s="23">
        <f>INDEX('Activity data'!AG$24:AG$39,MATCH(Emissions!$D65,'Activity data'!$D$24:$D$39,0))*INDEX(EF!$H$84:$H$99,MATCH(Emissions!$D65,EF!$D$84:$D$99,0))*INDEX(EF!$H$100:$H$115,MATCH(Emissions!$D65,EF!$D$100:$D$115,0))*INDEX(EF!$H$116:$H$131,MATCH(Emissions!$D65,EF!$D$116:$D$131,0))*kgtoGg</f>
        <v>0.12085612199999998</v>
      </c>
      <c r="AH65" s="23">
        <f>INDEX('Activity data'!AH$24:AH$39,MATCH(Emissions!$D65,'Activity data'!$D$24:$D$39,0))*INDEX(EF!$H$84:$H$99,MATCH(Emissions!$D65,EF!$D$84:$D$99,0))*INDEX(EF!$H$100:$H$115,MATCH(Emissions!$D65,EF!$D$100:$D$115,0))*INDEX(EF!$H$116:$H$131,MATCH(Emissions!$D65,EF!$D$116:$D$131,0))*kgtoGg</f>
        <v>4.5549935999999992E-2</v>
      </c>
      <c r="AI65" s="23">
        <f>INDEX('Activity data'!AI$24:AI$39,MATCH(Emissions!$D65,'Activity data'!$D$24:$D$39,0))*INDEX(EF!$H$84:$H$99,MATCH(Emissions!$D65,EF!$D$84:$D$99,0))*INDEX(EF!$H$100:$H$115,MATCH(Emissions!$D65,EF!$D$100:$D$115,0))*INDEX(EF!$H$116:$H$131,MATCH(Emissions!$D65,EF!$D$116:$D$131,0))*kgtoGg</f>
        <v>2.9759147999999996E-2</v>
      </c>
      <c r="AJ65" s="23">
        <f>INDEX('Activity data'!AJ$24:AJ$39,MATCH(Emissions!$D65,'Activity data'!$D$24:$D$39,0))*INDEX(EF!$H$84:$H$99,MATCH(Emissions!$D65,EF!$D$84:$D$99,0))*INDEX(EF!$H$100:$H$115,MATCH(Emissions!$D65,EF!$D$100:$D$115,0))*INDEX(EF!$H$116:$H$131,MATCH(Emissions!$D65,EF!$D$116:$D$131,0))*kgtoGg</f>
        <v>5.2234153896691185E-2</v>
      </c>
      <c r="AK65" s="23">
        <f>INDEX('Activity data'!AK$24:AK$39,MATCH(Emissions!$D65,'Activity data'!$D$24:$D$39,0))*INDEX(EF!$H$84:$H$99,MATCH(Emissions!$D65,EF!$D$84:$D$99,0))*INDEX(EF!$H$100:$H$115,MATCH(Emissions!$D65,EF!$D$100:$D$115,0))*INDEX(EF!$H$116:$H$131,MATCH(Emissions!$D65,EF!$D$116:$D$131,0))*kgtoGg</f>
        <v>5.1724069998450188E-2</v>
      </c>
      <c r="AL65" s="23">
        <f>INDEX('Activity data'!AL$24:AL$39,MATCH(Emissions!$D65,'Activity data'!$D$24:$D$39,0))*INDEX(EF!$H$84:$H$99,MATCH(Emissions!$D65,EF!$D$84:$D$99,0))*INDEX(EF!$H$100:$H$115,MATCH(Emissions!$D65,EF!$D$100:$D$115,0))*INDEX(EF!$H$116:$H$131,MATCH(Emissions!$D65,EF!$D$116:$D$131,0))*kgtoGg</f>
        <v>5.1213986100209198E-2</v>
      </c>
      <c r="AM65" s="23">
        <f>INDEX('Activity data'!AM$24:AM$39,MATCH(Emissions!$D65,'Activity data'!$D$24:$D$39,0))*INDEX(EF!$H$84:$H$99,MATCH(Emissions!$D65,EF!$D$84:$D$99,0))*INDEX(EF!$H$100:$H$115,MATCH(Emissions!$D65,EF!$D$100:$D$115,0))*INDEX(EF!$H$116:$H$131,MATCH(Emissions!$D65,EF!$D$116:$D$131,0))*kgtoGg</f>
        <v>5.0703902201968201E-2</v>
      </c>
      <c r="AN65" s="23">
        <f>INDEX('Activity data'!AN$24:AN$39,MATCH(Emissions!$D65,'Activity data'!$D$24:$D$39,0))*INDEX(EF!$H$84:$H$99,MATCH(Emissions!$D65,EF!$D$84:$D$99,0))*INDEX(EF!$H$100:$H$115,MATCH(Emissions!$D65,EF!$D$100:$D$115,0))*INDEX(EF!$H$116:$H$131,MATCH(Emissions!$D65,EF!$D$116:$D$131,0))*kgtoGg</f>
        <v>5.0193818303727211E-2</v>
      </c>
      <c r="AO65" s="23">
        <f>INDEX('Activity data'!AO$24:AO$39,MATCH(Emissions!$D65,'Activity data'!$D$24:$D$39,0))*INDEX(EF!$H$84:$H$99,MATCH(Emissions!$D65,EF!$D$84:$D$99,0))*INDEX(EF!$H$100:$H$115,MATCH(Emissions!$D65,EF!$D$100:$D$115,0))*INDEX(EF!$H$116:$H$131,MATCH(Emissions!$D65,EF!$D$116:$D$131,0))*kgtoGg</f>
        <v>4.9683734405486221E-2</v>
      </c>
      <c r="AP65" s="23">
        <f>INDEX('Activity data'!AP$24:AP$39,MATCH(Emissions!$D65,'Activity data'!$D$24:$D$39,0))*INDEX(EF!$H$84:$H$99,MATCH(Emissions!$D65,EF!$D$84:$D$99,0))*INDEX(EF!$H$100:$H$115,MATCH(Emissions!$D65,EF!$D$100:$D$115,0))*INDEX(EF!$H$116:$H$131,MATCH(Emissions!$D65,EF!$D$116:$D$131,0))*kgtoGg</f>
        <v>4.9173650507245224E-2</v>
      </c>
      <c r="AQ65" s="23">
        <f>INDEX('Activity data'!AQ$24:AQ$39,MATCH(Emissions!$D65,'Activity data'!$D$24:$D$39,0))*INDEX(EF!$H$84:$H$99,MATCH(Emissions!$D65,EF!$D$84:$D$99,0))*INDEX(EF!$H$100:$H$115,MATCH(Emissions!$D65,EF!$D$100:$D$115,0))*INDEX(EF!$H$116:$H$131,MATCH(Emissions!$D65,EF!$D$116:$D$131,0))*kgtoGg</f>
        <v>4.8663566609004241E-2</v>
      </c>
      <c r="AR65" s="23">
        <f>INDEX('Activity data'!AR$24:AR$39,MATCH(Emissions!$D65,'Activity data'!$D$24:$D$39,0))*INDEX(EF!$H$84:$H$99,MATCH(Emissions!$D65,EF!$D$84:$D$99,0))*INDEX(EF!$H$100:$H$115,MATCH(Emissions!$D65,EF!$D$100:$D$115,0))*INDEX(EF!$H$116:$H$131,MATCH(Emissions!$D65,EF!$D$116:$D$131,0))*kgtoGg</f>
        <v>4.8153482710763244E-2</v>
      </c>
      <c r="AS65" s="23">
        <f>INDEX('Activity data'!AS$24:AS$39,MATCH(Emissions!$D65,'Activity data'!$D$24:$D$39,0))*INDEX(EF!$H$84:$H$99,MATCH(Emissions!$D65,EF!$D$84:$D$99,0))*INDEX(EF!$H$100:$H$115,MATCH(Emissions!$D65,EF!$D$100:$D$115,0))*INDEX(EF!$H$116:$H$131,MATCH(Emissions!$D65,EF!$D$116:$D$131,0))*kgtoGg</f>
        <v>4.7643398812522254E-2</v>
      </c>
      <c r="AT65" s="23">
        <f>INDEX('Activity data'!AT$24:AT$39,MATCH(Emissions!$D65,'Activity data'!$D$24:$D$39,0))*INDEX(EF!$H$84:$H$99,MATCH(Emissions!$D65,EF!$D$84:$D$99,0))*INDEX(EF!$H$100:$H$115,MATCH(Emissions!$D65,EF!$D$100:$D$115,0))*INDEX(EF!$H$116:$H$131,MATCH(Emissions!$D65,EF!$D$116:$D$131,0))*kgtoGg</f>
        <v>4.713331491428125E-2</v>
      </c>
      <c r="AU65" s="23">
        <f>INDEX('Activity data'!AU$24:AU$39,MATCH(Emissions!$D65,'Activity data'!$D$24:$D$39,0))*INDEX(EF!$H$84:$H$99,MATCH(Emissions!$D65,EF!$D$84:$D$99,0))*INDEX(EF!$H$100:$H$115,MATCH(Emissions!$D65,EF!$D$100:$D$115,0))*INDEX(EF!$H$116:$H$131,MATCH(Emissions!$D65,EF!$D$116:$D$131,0))*kgtoGg</f>
        <v>4.6623231016040267E-2</v>
      </c>
      <c r="AV65" s="23">
        <f>INDEX('Activity data'!AV$24:AV$39,MATCH(Emissions!$D65,'Activity data'!$D$24:$D$39,0))*INDEX(EF!$H$84:$H$99,MATCH(Emissions!$D65,EF!$D$84:$D$99,0))*INDEX(EF!$H$100:$H$115,MATCH(Emissions!$D65,EF!$D$100:$D$115,0))*INDEX(EF!$H$116:$H$131,MATCH(Emissions!$D65,EF!$D$116:$D$131,0))*kgtoGg</f>
        <v>4.6113147117799284E-2</v>
      </c>
      <c r="AW65" s="23">
        <f>INDEX('Activity data'!AW$24:AW$39,MATCH(Emissions!$D65,'Activity data'!$D$24:$D$39,0))*INDEX(EF!$H$84:$H$99,MATCH(Emissions!$D65,EF!$D$84:$D$99,0))*INDEX(EF!$H$100:$H$115,MATCH(Emissions!$D65,EF!$D$100:$D$115,0))*INDEX(EF!$H$116:$H$131,MATCH(Emissions!$D65,EF!$D$116:$D$131,0))*kgtoGg</f>
        <v>4.5603063219558287E-2</v>
      </c>
      <c r="AX65" s="23">
        <f>INDEX('Activity data'!AX$24:AX$39,MATCH(Emissions!$D65,'Activity data'!$D$24:$D$39,0))*INDEX(EF!$H$84:$H$99,MATCH(Emissions!$D65,EF!$D$84:$D$99,0))*INDEX(EF!$H$100:$H$115,MATCH(Emissions!$D65,EF!$D$100:$D$115,0))*INDEX(EF!$H$116:$H$131,MATCH(Emissions!$D65,EF!$D$116:$D$131,0))*kgtoGg</f>
        <v>4.5092979321317297E-2</v>
      </c>
      <c r="AY65" s="23">
        <f>INDEX('Activity data'!AY$24:AY$39,MATCH(Emissions!$D65,'Activity data'!$D$24:$D$39,0))*INDEX(EF!$H$84:$H$99,MATCH(Emissions!$D65,EF!$D$84:$D$99,0))*INDEX(EF!$H$100:$H$115,MATCH(Emissions!$D65,EF!$D$100:$D$115,0))*INDEX(EF!$H$116:$H$131,MATCH(Emissions!$D65,EF!$D$116:$D$131,0))*kgtoGg</f>
        <v>4.4582895423076294E-2</v>
      </c>
      <c r="AZ65" s="23">
        <f>INDEX('Activity data'!AZ$24:AZ$39,MATCH(Emissions!$D65,'Activity data'!$D$24:$D$39,0))*INDEX(EF!$H$84:$H$99,MATCH(Emissions!$D65,EF!$D$84:$D$99,0))*INDEX(EF!$H$100:$H$115,MATCH(Emissions!$D65,EF!$D$100:$D$115,0))*INDEX(EF!$H$116:$H$131,MATCH(Emissions!$D65,EF!$D$116:$D$131,0))*kgtoGg</f>
        <v>4.4072811524835311E-2</v>
      </c>
      <c r="BA65" s="23">
        <f>INDEX('Activity data'!BA$24:BA$39,MATCH(Emissions!$D65,'Activity data'!$D$24:$D$39,0))*INDEX(EF!$H$84:$H$99,MATCH(Emissions!$D65,EF!$D$84:$D$99,0))*INDEX(EF!$H$100:$H$115,MATCH(Emissions!$D65,EF!$D$100:$D$115,0))*INDEX(EF!$H$116:$H$131,MATCH(Emissions!$D65,EF!$D$116:$D$131,0))*kgtoGg</f>
        <v>4.3562727626594314E-2</v>
      </c>
      <c r="BB65" s="23">
        <f>INDEX('Activity data'!BB$24:BB$39,MATCH(Emissions!$D65,'Activity data'!$D$24:$D$39,0))*INDEX(EF!$H$84:$H$99,MATCH(Emissions!$D65,EF!$D$84:$D$99,0))*INDEX(EF!$H$100:$H$115,MATCH(Emissions!$D65,EF!$D$100:$D$115,0))*INDEX(EF!$H$116:$H$131,MATCH(Emissions!$D65,EF!$D$116:$D$131,0))*kgtoGg</f>
        <v>4.3052643728353331E-2</v>
      </c>
      <c r="BC65" s="23">
        <f>INDEX('Activity data'!BC$24:BC$39,MATCH(Emissions!$D65,'Activity data'!$D$24:$D$39,0))*INDEX(EF!$H$84:$H$99,MATCH(Emissions!$D65,EF!$D$84:$D$99,0))*INDEX(EF!$H$100:$H$115,MATCH(Emissions!$D65,EF!$D$100:$D$115,0))*INDEX(EF!$H$116:$H$131,MATCH(Emissions!$D65,EF!$D$116:$D$131,0))*kgtoGg</f>
        <v>4.2542559830112327E-2</v>
      </c>
      <c r="BD65" s="23">
        <f>INDEX('Activity data'!BD$24:BD$39,MATCH(Emissions!$D65,'Activity data'!$D$24:$D$39,0))*INDEX(EF!$H$84:$H$99,MATCH(Emissions!$D65,EF!$D$84:$D$99,0))*INDEX(EF!$H$100:$H$115,MATCH(Emissions!$D65,EF!$D$100:$D$115,0))*INDEX(EF!$H$116:$H$131,MATCH(Emissions!$D65,EF!$D$116:$D$131,0))*kgtoGg</f>
        <v>4.2032475931871337E-2</v>
      </c>
      <c r="BE65" s="23">
        <f>INDEX('Activity data'!BE$24:BE$39,MATCH(Emissions!$D65,'Activity data'!$D$24:$D$39,0))*INDEX(EF!$H$84:$H$99,MATCH(Emissions!$D65,EF!$D$84:$D$99,0))*INDEX(EF!$H$100:$H$115,MATCH(Emissions!$D65,EF!$D$100:$D$115,0))*INDEX(EF!$H$116:$H$131,MATCH(Emissions!$D65,EF!$D$116:$D$131,0))*kgtoGg</f>
        <v>4.152239203363034E-2</v>
      </c>
      <c r="BF65" s="23">
        <f>INDEX('Activity data'!BF$24:BF$39,MATCH(Emissions!$D65,'Activity data'!$D$24:$D$39,0))*INDEX(EF!$H$84:$H$99,MATCH(Emissions!$D65,EF!$D$84:$D$99,0))*INDEX(EF!$H$100:$H$115,MATCH(Emissions!$D65,EF!$D$100:$D$115,0))*INDEX(EF!$H$116:$H$131,MATCH(Emissions!$D65,EF!$D$116:$D$131,0))*kgtoGg</f>
        <v>4.1012308135389357E-2</v>
      </c>
      <c r="BG65" s="23">
        <f>INDEX('Activity data'!BG$24:BG$39,MATCH(Emissions!$D65,'Activity data'!$D$24:$D$39,0))*INDEX(EF!$H$84:$H$99,MATCH(Emissions!$D65,EF!$D$84:$D$99,0))*INDEX(EF!$H$100:$H$115,MATCH(Emissions!$D65,EF!$D$100:$D$115,0))*INDEX(EF!$H$116:$H$131,MATCH(Emissions!$D65,EF!$D$116:$D$131,0))*kgtoGg</f>
        <v>4.0502224237148374E-2</v>
      </c>
      <c r="BH65" s="23">
        <f>INDEX('Activity data'!BH$24:BH$39,MATCH(Emissions!$D65,'Activity data'!$D$24:$D$39,0))*INDEX(EF!$H$84:$H$99,MATCH(Emissions!$D65,EF!$D$84:$D$99,0))*INDEX(EF!$H$100:$H$115,MATCH(Emissions!$D65,EF!$D$100:$D$115,0))*INDEX(EF!$H$116:$H$131,MATCH(Emissions!$D65,EF!$D$116:$D$131,0))*kgtoGg</f>
        <v>3.999214033890737E-2</v>
      </c>
      <c r="BI65" s="23">
        <f>INDEX('Activity data'!BI$24:BI$39,MATCH(Emissions!$D65,'Activity data'!$D$24:$D$39,0))*INDEX(EF!$H$84:$H$99,MATCH(Emissions!$D65,EF!$D$84:$D$99,0))*INDEX(EF!$H$100:$H$115,MATCH(Emissions!$D65,EF!$D$100:$D$115,0))*INDEX(EF!$H$116:$H$131,MATCH(Emissions!$D65,EF!$D$116:$D$131,0))*kgtoGg</f>
        <v>3.948205644066638E-2</v>
      </c>
      <c r="BJ65" s="23">
        <f>INDEX('Activity data'!BJ$24:BJ$39,MATCH(Emissions!$D65,'Activity data'!$D$24:$D$39,0))*INDEX(EF!$H$84:$H$99,MATCH(Emissions!$D65,EF!$D$84:$D$99,0))*INDEX(EF!$H$100:$H$115,MATCH(Emissions!$D65,EF!$D$100:$D$115,0))*INDEX(EF!$H$116:$H$131,MATCH(Emissions!$D65,EF!$D$116:$D$131,0))*kgtoGg</f>
        <v>3.8971972542425383E-2</v>
      </c>
      <c r="BK65" s="23">
        <f>INDEX('Activity data'!BK$24:BK$39,MATCH(Emissions!$D65,'Activity data'!$D$24:$D$39,0))*INDEX(EF!$H$84:$H$99,MATCH(Emissions!$D65,EF!$D$84:$D$99,0))*INDEX(EF!$H$100:$H$115,MATCH(Emissions!$D65,EF!$D$100:$D$115,0))*INDEX(EF!$H$116:$H$131,MATCH(Emissions!$D65,EF!$D$116:$D$131,0))*kgtoGg</f>
        <v>3.84618886441844E-2</v>
      </c>
      <c r="BL65" s="23">
        <f>INDEX('Activity data'!BL$24:BL$39,MATCH(Emissions!$D65,'Activity data'!$D$24:$D$39,0))*INDEX(EF!$H$84:$H$99,MATCH(Emissions!$D65,EF!$D$84:$D$99,0))*INDEX(EF!$H$100:$H$115,MATCH(Emissions!$D65,EF!$D$100:$D$115,0))*INDEX(EF!$H$116:$H$131,MATCH(Emissions!$D65,EF!$D$116:$D$131,0))*kgtoGg</f>
        <v>3.7951804745943396E-2</v>
      </c>
      <c r="BM65" s="23">
        <f>INDEX('Activity data'!BM$24:BM$39,MATCH(Emissions!$D65,'Activity data'!$D$24:$D$39,0))*INDEX(EF!$H$84:$H$99,MATCH(Emissions!$D65,EF!$D$84:$D$99,0))*INDEX(EF!$H$100:$H$115,MATCH(Emissions!$D65,EF!$D$100:$D$115,0))*INDEX(EF!$H$116:$H$131,MATCH(Emissions!$D65,EF!$D$116:$D$131,0))*kgtoGg</f>
        <v>3.7441720847702406E-2</v>
      </c>
      <c r="BN65" s="23">
        <f>INDEX('Activity data'!BN$24:BN$39,MATCH(Emissions!$D65,'Activity data'!$D$24:$D$39,0))*INDEX(EF!$H$84:$H$99,MATCH(Emissions!$D65,EF!$D$84:$D$99,0))*INDEX(EF!$H$100:$H$115,MATCH(Emissions!$D65,EF!$D$100:$D$115,0))*INDEX(EF!$H$116:$H$131,MATCH(Emissions!$D65,EF!$D$116:$D$131,0))*kgtoGg</f>
        <v>3.6931636949461409E-2</v>
      </c>
      <c r="BO65" s="23">
        <f>INDEX('Activity data'!BO$24:BO$39,MATCH(Emissions!$D65,'Activity data'!$D$24:$D$39,0))*INDEX(EF!$H$84:$H$99,MATCH(Emissions!$D65,EF!$D$84:$D$99,0))*INDEX(EF!$H$100:$H$115,MATCH(Emissions!$D65,EF!$D$100:$D$115,0))*INDEX(EF!$H$116:$H$131,MATCH(Emissions!$D65,EF!$D$116:$D$131,0))*kgtoGg</f>
        <v>3.6421553051220419E-2</v>
      </c>
      <c r="BP65" s="23">
        <f>INDEX('Activity data'!BP$24:BP$39,MATCH(Emissions!$D65,'Activity data'!$D$24:$D$39,0))*INDEX(EF!$H$84:$H$99,MATCH(Emissions!$D65,EF!$D$84:$D$99,0))*INDEX(EF!$H$100:$H$115,MATCH(Emissions!$D65,EF!$D$100:$D$115,0))*INDEX(EF!$H$116:$H$131,MATCH(Emissions!$D65,EF!$D$116:$D$131,0))*kgtoGg</f>
        <v>3.5911469152979436E-2</v>
      </c>
    </row>
    <row r="66" spans="1:68" x14ac:dyDescent="0.25">
      <c r="A66" t="str">
        <f t="shared" si="19"/>
        <v>3C Aggregated and non-CO2 emissions on land</v>
      </c>
      <c r="B66" t="str">
        <f t="shared" si="20"/>
        <v>3C1 Biomass burning (CH4)</v>
      </c>
      <c r="C66" t="str">
        <f>'IPCC Categories'!C62</f>
        <v>3C1d Biomass burning in Wetlands</v>
      </c>
      <c r="D66" t="str">
        <f>EF!D96</f>
        <v>Wetlands</v>
      </c>
      <c r="E66" t="s">
        <v>736</v>
      </c>
      <c r="F66" t="str">
        <f t="shared" ref="F66:F69" si="23">F65</f>
        <v>CH4</v>
      </c>
      <c r="G66" t="str">
        <f t="shared" ref="G66:G69" si="24">G65</f>
        <v>Gg CH4</v>
      </c>
      <c r="H66" s="23">
        <f>INDEX('Activity data'!H$24:H$39,MATCH(Emissions!$D66,'Activity data'!$D$24:$D$39,0))*INDEX(EF!$H$84:$H$99,MATCH(Emissions!$D66,EF!$D$84:$D$99,0))*INDEX(EF!$H$100:$H$115,MATCH(Emissions!$D66,EF!$D$100:$D$115,0))*INDEX(EF!$H$116:$H$131,MATCH(Emissions!$D66,EF!$D$116:$D$131,0))*kgtoGg</f>
        <v>0.80577517347341965</v>
      </c>
      <c r="I66" s="23">
        <f>INDEX('Activity data'!I$24:I$39,MATCH(Emissions!$D66,'Activity data'!$D$24:$D$39,0))*INDEX(EF!$H$84:$H$99,MATCH(Emissions!$D66,EF!$D$84:$D$99,0))*INDEX(EF!$H$100:$H$115,MATCH(Emissions!$D66,EF!$D$100:$D$115,0))*INDEX(EF!$H$116:$H$131,MATCH(Emissions!$D66,EF!$D$116:$D$131,0))*kgtoGg</f>
        <v>0.80577517347341965</v>
      </c>
      <c r="J66" s="23">
        <f>INDEX('Activity data'!J$24:J$39,MATCH(Emissions!$D66,'Activity data'!$D$24:$D$39,0))*INDEX(EF!$H$84:$H$99,MATCH(Emissions!$D66,EF!$D$84:$D$99,0))*INDEX(EF!$H$100:$H$115,MATCH(Emissions!$D66,EF!$D$100:$D$115,0))*INDEX(EF!$H$116:$H$131,MATCH(Emissions!$D66,EF!$D$116:$D$131,0))*kgtoGg</f>
        <v>0.80577517347341965</v>
      </c>
      <c r="K66" s="23">
        <f>INDEX('Activity data'!K$24:K$39,MATCH(Emissions!$D66,'Activity data'!$D$24:$D$39,0))*INDEX(EF!$H$84:$H$99,MATCH(Emissions!$D66,EF!$D$84:$D$99,0))*INDEX(EF!$H$100:$H$115,MATCH(Emissions!$D66,EF!$D$100:$D$115,0))*INDEX(EF!$H$116:$H$131,MATCH(Emissions!$D66,EF!$D$116:$D$131,0))*kgtoGg</f>
        <v>0.80577517347341965</v>
      </c>
      <c r="L66" s="23">
        <f>INDEX('Activity data'!L$24:L$39,MATCH(Emissions!$D66,'Activity data'!$D$24:$D$39,0))*INDEX(EF!$H$84:$H$99,MATCH(Emissions!$D66,EF!$D$84:$D$99,0))*INDEX(EF!$H$100:$H$115,MATCH(Emissions!$D66,EF!$D$100:$D$115,0))*INDEX(EF!$H$116:$H$131,MATCH(Emissions!$D66,EF!$D$116:$D$131,0))*kgtoGg</f>
        <v>0.80577517347341965</v>
      </c>
      <c r="M66" s="23">
        <f>INDEX('Activity data'!M$24:M$39,MATCH(Emissions!$D66,'Activity data'!$D$24:$D$39,0))*INDEX(EF!$H$84:$H$99,MATCH(Emissions!$D66,EF!$D$84:$D$99,0))*INDEX(EF!$H$100:$H$115,MATCH(Emissions!$D66,EF!$D$100:$D$115,0))*INDEX(EF!$H$116:$H$131,MATCH(Emissions!$D66,EF!$D$116:$D$131,0))*kgtoGg</f>
        <v>0.80577517347341965</v>
      </c>
      <c r="N66" s="23">
        <f>INDEX('Activity data'!N$24:N$39,MATCH(Emissions!$D66,'Activity data'!$D$24:$D$39,0))*INDEX(EF!$H$84:$H$99,MATCH(Emissions!$D66,EF!$D$84:$D$99,0))*INDEX(EF!$H$100:$H$115,MATCH(Emissions!$D66,EF!$D$100:$D$115,0))*INDEX(EF!$H$116:$H$131,MATCH(Emissions!$D66,EF!$D$116:$D$131,0))*kgtoGg</f>
        <v>0.80577517347341965</v>
      </c>
      <c r="O66" s="23">
        <f>INDEX('Activity data'!O$24:O$39,MATCH(Emissions!$D66,'Activity data'!$D$24:$D$39,0))*INDEX(EF!$H$84:$H$99,MATCH(Emissions!$D66,EF!$D$84:$D$99,0))*INDEX(EF!$H$100:$H$115,MATCH(Emissions!$D66,EF!$D$100:$D$115,0))*INDEX(EF!$H$116:$H$131,MATCH(Emissions!$D66,EF!$D$116:$D$131,0))*kgtoGg</f>
        <v>0.80577517347341965</v>
      </c>
      <c r="P66" s="23">
        <f>INDEX('Activity data'!P$24:P$39,MATCH(Emissions!$D66,'Activity data'!$D$24:$D$39,0))*INDEX(EF!$H$84:$H$99,MATCH(Emissions!$D66,EF!$D$84:$D$99,0))*INDEX(EF!$H$100:$H$115,MATCH(Emissions!$D66,EF!$D$100:$D$115,0))*INDEX(EF!$H$116:$H$131,MATCH(Emissions!$D66,EF!$D$116:$D$131,0))*kgtoGg</f>
        <v>0.80577517347341965</v>
      </c>
      <c r="Q66" s="23">
        <f>INDEX('Activity data'!Q$24:Q$39,MATCH(Emissions!$D66,'Activity data'!$D$24:$D$39,0))*INDEX(EF!$H$84:$H$99,MATCH(Emissions!$D66,EF!$D$84:$D$99,0))*INDEX(EF!$H$100:$H$115,MATCH(Emissions!$D66,EF!$D$100:$D$115,0))*INDEX(EF!$H$116:$H$131,MATCH(Emissions!$D66,EF!$D$116:$D$131,0))*kgtoGg</f>
        <v>0.80577517347341965</v>
      </c>
      <c r="R66" s="23">
        <f>INDEX('Activity data'!R$24:R$39,MATCH(Emissions!$D66,'Activity data'!$D$24:$D$39,0))*INDEX(EF!$H$84:$H$99,MATCH(Emissions!$D66,EF!$D$84:$D$99,0))*INDEX(EF!$H$100:$H$115,MATCH(Emissions!$D66,EF!$D$100:$D$115,0))*INDEX(EF!$H$116:$H$131,MATCH(Emissions!$D66,EF!$D$116:$D$131,0))*kgtoGg</f>
        <v>0.71282120012392636</v>
      </c>
      <c r="S66" s="23">
        <f>INDEX('Activity data'!S$24:S$39,MATCH(Emissions!$D66,'Activity data'!$D$24:$D$39,0))*INDEX(EF!$H$84:$H$99,MATCH(Emissions!$D66,EF!$D$84:$D$99,0))*INDEX(EF!$H$100:$H$115,MATCH(Emissions!$D66,EF!$D$100:$D$115,0))*INDEX(EF!$H$116:$H$131,MATCH(Emissions!$D66,EF!$D$116:$D$131,0))*kgtoGg</f>
        <v>0.86099923348302065</v>
      </c>
      <c r="T66" s="23">
        <f>INDEX('Activity data'!T$24:T$39,MATCH(Emissions!$D66,'Activity data'!$D$24:$D$39,0))*INDEX(EF!$H$84:$H$99,MATCH(Emissions!$D66,EF!$D$84:$D$99,0))*INDEX(EF!$H$100:$H$115,MATCH(Emissions!$D66,EF!$D$100:$D$115,0))*INDEX(EF!$H$116:$H$131,MATCH(Emissions!$D66,EF!$D$116:$D$131,0))*kgtoGg</f>
        <v>0.97458063350276725</v>
      </c>
      <c r="U66" s="23">
        <f>INDEX('Activity data'!U$24:U$39,MATCH(Emissions!$D66,'Activity data'!$D$24:$D$39,0))*INDEX(EF!$H$84:$H$99,MATCH(Emissions!$D66,EF!$D$84:$D$99,0))*INDEX(EF!$H$100:$H$115,MATCH(Emissions!$D66,EF!$D$100:$D$115,0))*INDEX(EF!$H$116:$H$131,MATCH(Emissions!$D66,EF!$D$116:$D$131,0))*kgtoGg</f>
        <v>0.79724568902749249</v>
      </c>
      <c r="V66" s="23">
        <f>INDEX('Activity data'!V$24:V$39,MATCH(Emissions!$D66,'Activity data'!$D$24:$D$39,0))*INDEX(EF!$H$84:$H$99,MATCH(Emissions!$D66,EF!$D$84:$D$99,0))*INDEX(EF!$H$100:$H$115,MATCH(Emissions!$D66,EF!$D$100:$D$115,0))*INDEX(EF!$H$116:$H$131,MATCH(Emissions!$D66,EF!$D$116:$D$131,0))*kgtoGg</f>
        <v>0.68322911122989261</v>
      </c>
      <c r="W66" s="23">
        <f>INDEX('Activity data'!W$24:W$39,MATCH(Emissions!$D66,'Activity data'!$D$24:$D$39,0))*INDEX(EF!$H$84:$H$99,MATCH(Emissions!$D66,EF!$D$84:$D$99,0))*INDEX(EF!$H$100:$H$115,MATCH(Emissions!$D66,EF!$D$100:$D$115,0))*INDEX(EF!$H$116:$H$131,MATCH(Emissions!$D66,EF!$D$116:$D$131,0))*kgtoGg</f>
        <v>1.0109179779535291</v>
      </c>
      <c r="X66" s="23">
        <f>INDEX('Activity data'!X$24:X$39,MATCH(Emissions!$D66,'Activity data'!$D$24:$D$39,0))*INDEX(EF!$H$84:$H$99,MATCH(Emissions!$D66,EF!$D$84:$D$99,0))*INDEX(EF!$H$100:$H$115,MATCH(Emissions!$D66,EF!$D$100:$D$115,0))*INDEX(EF!$H$116:$H$131,MATCH(Emissions!$D66,EF!$D$116:$D$131,0))*kgtoGg</f>
        <v>0.89733657793378252</v>
      </c>
      <c r="Y66" s="23">
        <f>INDEX('Activity data'!Y$24:Y$39,MATCH(Emissions!$D66,'Activity data'!$D$24:$D$39,0))*INDEX(EF!$H$84:$H$99,MATCH(Emissions!$D66,EF!$D$84:$D$99,0))*INDEX(EF!$H$100:$H$115,MATCH(Emissions!$D66,EF!$D$100:$D$115,0))*INDEX(EF!$H$116:$H$131,MATCH(Emissions!$D66,EF!$D$116:$D$131,0))*kgtoGg</f>
        <v>0.79050043347076437</v>
      </c>
      <c r="Z66" s="23">
        <f>INDEX('Activity data'!Z$24:Z$39,MATCH(Emissions!$D66,'Activity data'!$D$24:$D$39,0))*INDEX(EF!$H$84:$H$99,MATCH(Emissions!$D66,EF!$D$84:$D$99,0))*INDEX(EF!$H$100:$H$115,MATCH(Emissions!$D66,EF!$D$100:$D$115,0))*INDEX(EF!$H$116:$H$131,MATCH(Emissions!$D66,EF!$D$116:$D$131,0))*kgtoGg</f>
        <v>0.72087198901421468</v>
      </c>
      <c r="AA66" s="23">
        <f>INDEX('Activity data'!AA$24:AA$39,MATCH(Emissions!$D66,'Activity data'!$D$24:$D$39,0))*INDEX(EF!$H$84:$H$99,MATCH(Emissions!$D66,EF!$D$84:$D$99,0))*INDEX(EF!$H$100:$H$115,MATCH(Emissions!$D66,EF!$D$100:$D$115,0))*INDEX(EF!$H$116:$H$131,MATCH(Emissions!$D66,EF!$D$116:$D$131,0))*kgtoGg</f>
        <v>0.80964825569631549</v>
      </c>
      <c r="AB66" s="23">
        <f>INDEX('Activity data'!AB$24:AB$39,MATCH(Emissions!$D66,'Activity data'!$D$24:$D$39,0))*INDEX(EF!$H$84:$H$99,MATCH(Emissions!$D66,EF!$D$84:$D$99,0))*INDEX(EF!$H$100:$H$115,MATCH(Emissions!$D66,EF!$D$100:$D$115,0))*INDEX(EF!$H$116:$H$131,MATCH(Emissions!$D66,EF!$D$116:$D$131,0))*kgtoGg</f>
        <v>1.0836294956999997</v>
      </c>
      <c r="AC66" s="23">
        <f>INDEX('Activity data'!AC$24:AC$39,MATCH(Emissions!$D66,'Activity data'!$D$24:$D$39,0))*INDEX(EF!$H$84:$H$99,MATCH(Emissions!$D66,EF!$D$84:$D$99,0))*INDEX(EF!$H$100:$H$115,MATCH(Emissions!$D66,EF!$D$100:$D$115,0))*INDEX(EF!$H$116:$H$131,MATCH(Emissions!$D66,EF!$D$116:$D$131,0))*kgtoGg</f>
        <v>1.1703623921999995</v>
      </c>
      <c r="AD66" s="23">
        <f>INDEX('Activity data'!AD$24:AD$39,MATCH(Emissions!$D66,'Activity data'!$D$24:$D$39,0))*INDEX(EF!$H$84:$H$99,MATCH(Emissions!$D66,EF!$D$84:$D$99,0))*INDEX(EF!$H$100:$H$115,MATCH(Emissions!$D66,EF!$D$100:$D$115,0))*INDEX(EF!$H$116:$H$131,MATCH(Emissions!$D66,EF!$D$116:$D$131,0))*kgtoGg</f>
        <v>0.93255834959999984</v>
      </c>
      <c r="AE66" s="23">
        <f>INDEX('Activity data'!AE$24:AE$39,MATCH(Emissions!$D66,'Activity data'!$D$24:$D$39,0))*INDEX(EF!$H$84:$H$99,MATCH(Emissions!$D66,EF!$D$84:$D$99,0))*INDEX(EF!$H$100:$H$115,MATCH(Emissions!$D66,EF!$D$100:$D$115,0))*INDEX(EF!$H$116:$H$131,MATCH(Emissions!$D66,EF!$D$116:$D$131,0))*kgtoGg</f>
        <v>1.0906991666999999</v>
      </c>
      <c r="AF66" s="23">
        <f>INDEX('Activity data'!AF$24:AF$39,MATCH(Emissions!$D66,'Activity data'!$D$24:$D$39,0))*INDEX(EF!$H$84:$H$99,MATCH(Emissions!$D66,EF!$D$84:$D$99,0))*INDEX(EF!$H$100:$H$115,MATCH(Emissions!$D66,EF!$D$100:$D$115,0))*INDEX(EF!$H$116:$H$131,MATCH(Emissions!$D66,EF!$D$116:$D$131,0))*kgtoGg</f>
        <v>1.0410620984999999</v>
      </c>
      <c r="AG66" s="23">
        <f>INDEX('Activity data'!AG$24:AG$39,MATCH(Emissions!$D66,'Activity data'!$D$24:$D$39,0))*INDEX(EF!$H$84:$H$99,MATCH(Emissions!$D66,EF!$D$84:$D$99,0))*INDEX(EF!$H$100:$H$115,MATCH(Emissions!$D66,EF!$D$100:$D$115,0))*INDEX(EF!$H$116:$H$131,MATCH(Emissions!$D66,EF!$D$116:$D$131,0))*kgtoGg</f>
        <v>0.96712335449999975</v>
      </c>
      <c r="AH66" s="23">
        <f>INDEX('Activity data'!AH$24:AH$39,MATCH(Emissions!$D66,'Activity data'!$D$24:$D$39,0))*INDEX(EF!$H$84:$H$99,MATCH(Emissions!$D66,EF!$D$84:$D$99,0))*INDEX(EF!$H$100:$H$115,MATCH(Emissions!$D66,EF!$D$100:$D$115,0))*INDEX(EF!$H$116:$H$131,MATCH(Emissions!$D66,EF!$D$116:$D$131,0))*kgtoGg</f>
        <v>0.50805134009999986</v>
      </c>
      <c r="AI66" s="23">
        <f>INDEX('Activity data'!AI$24:AI$39,MATCH(Emissions!$D66,'Activity data'!$D$24:$D$39,0))*INDEX(EF!$H$84:$H$99,MATCH(Emissions!$D66,EF!$D$84:$D$99,0))*INDEX(EF!$H$100:$H$115,MATCH(Emissions!$D66,EF!$D$100:$D$115,0))*INDEX(EF!$H$116:$H$131,MATCH(Emissions!$D66,EF!$D$116:$D$131,0))*kgtoGg</f>
        <v>0.48587141429999992</v>
      </c>
      <c r="AJ66" s="23">
        <f>INDEX('Activity data'!AJ$24:AJ$39,MATCH(Emissions!$D66,'Activity data'!$D$24:$D$39,0))*INDEX(EF!$H$84:$H$99,MATCH(Emissions!$D66,EF!$D$84:$D$99,0))*INDEX(EF!$H$100:$H$115,MATCH(Emissions!$D66,EF!$D$100:$D$115,0))*INDEX(EF!$H$116:$H$131,MATCH(Emissions!$D66,EF!$D$116:$D$131,0))*kgtoGg</f>
        <v>0.47948126621252324</v>
      </c>
      <c r="AK66" s="23">
        <f>INDEX('Activity data'!AK$24:AK$39,MATCH(Emissions!$D66,'Activity data'!$D$24:$D$39,0))*INDEX(EF!$H$84:$H$99,MATCH(Emissions!$D66,EF!$D$84:$D$99,0))*INDEX(EF!$H$100:$H$115,MATCH(Emissions!$D66,EF!$D$100:$D$115,0))*INDEX(EF!$H$116:$H$131,MATCH(Emissions!$D66,EF!$D$116:$D$131,0))*kgtoGg</f>
        <v>0.47191749958729734</v>
      </c>
      <c r="AL66" s="23">
        <f>INDEX('Activity data'!AL$24:AL$39,MATCH(Emissions!$D66,'Activity data'!$D$24:$D$39,0))*INDEX(EF!$H$84:$H$99,MATCH(Emissions!$D66,EF!$D$84:$D$99,0))*INDEX(EF!$H$100:$H$115,MATCH(Emissions!$D66,EF!$D$100:$D$115,0))*INDEX(EF!$H$116:$H$131,MATCH(Emissions!$D66,EF!$D$116:$D$131,0))*kgtoGg</f>
        <v>0.46435373296207139</v>
      </c>
      <c r="AM66" s="23">
        <f>INDEX('Activity data'!AM$24:AM$39,MATCH(Emissions!$D66,'Activity data'!$D$24:$D$39,0))*INDEX(EF!$H$84:$H$99,MATCH(Emissions!$D66,EF!$D$84:$D$99,0))*INDEX(EF!$H$100:$H$115,MATCH(Emissions!$D66,EF!$D$100:$D$115,0))*INDEX(EF!$H$116:$H$131,MATCH(Emissions!$D66,EF!$D$116:$D$131,0))*kgtoGg</f>
        <v>0.45678996633684538</v>
      </c>
      <c r="AN66" s="23">
        <f>INDEX('Activity data'!AN$24:AN$39,MATCH(Emissions!$D66,'Activity data'!$D$24:$D$39,0))*INDEX(EF!$H$84:$H$99,MATCH(Emissions!$D66,EF!$D$84:$D$99,0))*INDEX(EF!$H$100:$H$115,MATCH(Emissions!$D66,EF!$D$100:$D$115,0))*INDEX(EF!$H$116:$H$131,MATCH(Emissions!$D66,EF!$D$116:$D$131,0))*kgtoGg</f>
        <v>0.44922619971161942</v>
      </c>
      <c r="AO66" s="23">
        <f>INDEX('Activity data'!AO$24:AO$39,MATCH(Emissions!$D66,'Activity data'!$D$24:$D$39,0))*INDEX(EF!$H$84:$H$99,MATCH(Emissions!$D66,EF!$D$84:$D$99,0))*INDEX(EF!$H$100:$H$115,MATCH(Emissions!$D66,EF!$D$100:$D$115,0))*INDEX(EF!$H$116:$H$131,MATCH(Emissions!$D66,EF!$D$116:$D$131,0))*kgtoGg</f>
        <v>0.44166243308639352</v>
      </c>
      <c r="AP66" s="23">
        <f>INDEX('Activity data'!AP$24:AP$39,MATCH(Emissions!$D66,'Activity data'!$D$24:$D$39,0))*INDEX(EF!$H$84:$H$99,MATCH(Emissions!$D66,EF!$D$84:$D$99,0))*INDEX(EF!$H$100:$H$115,MATCH(Emissions!$D66,EF!$D$100:$D$115,0))*INDEX(EF!$H$116:$H$131,MATCH(Emissions!$D66,EF!$D$116:$D$131,0))*kgtoGg</f>
        <v>0.43409866646116768</v>
      </c>
      <c r="AQ66" s="23">
        <f>INDEX('Activity data'!AQ$24:AQ$39,MATCH(Emissions!$D66,'Activity data'!$D$24:$D$39,0))*INDEX(EF!$H$84:$H$99,MATCH(Emissions!$D66,EF!$D$84:$D$99,0))*INDEX(EF!$H$100:$H$115,MATCH(Emissions!$D66,EF!$D$100:$D$115,0))*INDEX(EF!$H$116:$H$131,MATCH(Emissions!$D66,EF!$D$116:$D$131,0))*kgtoGg</f>
        <v>0.42653489983594173</v>
      </c>
      <c r="AR66" s="23">
        <f>INDEX('Activity data'!AR$24:AR$39,MATCH(Emissions!$D66,'Activity data'!$D$24:$D$39,0))*INDEX(EF!$H$84:$H$99,MATCH(Emissions!$D66,EF!$D$84:$D$99,0))*INDEX(EF!$H$100:$H$115,MATCH(Emissions!$D66,EF!$D$100:$D$115,0))*INDEX(EF!$H$116:$H$131,MATCH(Emissions!$D66,EF!$D$116:$D$131,0))*kgtoGg</f>
        <v>0.41897113321071577</v>
      </c>
      <c r="AS66" s="23">
        <f>INDEX('Activity data'!AS$24:AS$39,MATCH(Emissions!$D66,'Activity data'!$D$24:$D$39,0))*INDEX(EF!$H$84:$H$99,MATCH(Emissions!$D66,EF!$D$84:$D$99,0))*INDEX(EF!$H$100:$H$115,MATCH(Emissions!$D66,EF!$D$100:$D$115,0))*INDEX(EF!$H$116:$H$131,MATCH(Emissions!$D66,EF!$D$116:$D$131,0))*kgtoGg</f>
        <v>0.41140736658548982</v>
      </c>
      <c r="AT66" s="23">
        <f>INDEX('Activity data'!AT$24:AT$39,MATCH(Emissions!$D66,'Activity data'!$D$24:$D$39,0))*INDEX(EF!$H$84:$H$99,MATCH(Emissions!$D66,EF!$D$84:$D$99,0))*INDEX(EF!$H$100:$H$115,MATCH(Emissions!$D66,EF!$D$100:$D$115,0))*INDEX(EF!$H$116:$H$131,MATCH(Emissions!$D66,EF!$D$116:$D$131,0))*kgtoGg</f>
        <v>0.40384359996026392</v>
      </c>
      <c r="AU66" s="23">
        <f>INDEX('Activity data'!AU$24:AU$39,MATCH(Emissions!$D66,'Activity data'!$D$24:$D$39,0))*INDEX(EF!$H$84:$H$99,MATCH(Emissions!$D66,EF!$D$84:$D$99,0))*INDEX(EF!$H$100:$H$115,MATCH(Emissions!$D66,EF!$D$100:$D$115,0))*INDEX(EF!$H$116:$H$131,MATCH(Emissions!$D66,EF!$D$116:$D$131,0))*kgtoGg</f>
        <v>0.39627983333503797</v>
      </c>
      <c r="AV66" s="23">
        <f>INDEX('Activity data'!AV$24:AV$39,MATCH(Emissions!$D66,'Activity data'!$D$24:$D$39,0))*INDEX(EF!$H$84:$H$99,MATCH(Emissions!$D66,EF!$D$84:$D$99,0))*INDEX(EF!$H$100:$H$115,MATCH(Emissions!$D66,EF!$D$100:$D$115,0))*INDEX(EF!$H$116:$H$131,MATCH(Emissions!$D66,EF!$D$116:$D$131,0))*kgtoGg</f>
        <v>0.38871606670981201</v>
      </c>
      <c r="AW66" s="23">
        <f>INDEX('Activity data'!AW$24:AW$39,MATCH(Emissions!$D66,'Activity data'!$D$24:$D$39,0))*INDEX(EF!$H$84:$H$99,MATCH(Emissions!$D66,EF!$D$84:$D$99,0))*INDEX(EF!$H$100:$H$115,MATCH(Emissions!$D66,EF!$D$100:$D$115,0))*INDEX(EF!$H$116:$H$131,MATCH(Emissions!$D66,EF!$D$116:$D$131,0))*kgtoGg</f>
        <v>0.38115230008458606</v>
      </c>
      <c r="AX66" s="23">
        <f>INDEX('Activity data'!AX$24:AX$39,MATCH(Emissions!$D66,'Activity data'!$D$24:$D$39,0))*INDEX(EF!$H$84:$H$99,MATCH(Emissions!$D66,EF!$D$84:$D$99,0))*INDEX(EF!$H$100:$H$115,MATCH(Emissions!$D66,EF!$D$100:$D$115,0))*INDEX(EF!$H$116:$H$131,MATCH(Emissions!$D66,EF!$D$116:$D$131,0))*kgtoGg</f>
        <v>0.37358853345936027</v>
      </c>
      <c r="AY66" s="23">
        <f>INDEX('Activity data'!AY$24:AY$39,MATCH(Emissions!$D66,'Activity data'!$D$24:$D$39,0))*INDEX(EF!$H$84:$H$99,MATCH(Emissions!$D66,EF!$D$84:$D$99,0))*INDEX(EF!$H$100:$H$115,MATCH(Emissions!$D66,EF!$D$100:$D$115,0))*INDEX(EF!$H$116:$H$131,MATCH(Emissions!$D66,EF!$D$116:$D$131,0))*kgtoGg</f>
        <v>0.36602476683413437</v>
      </c>
      <c r="AZ66" s="23">
        <f>INDEX('Activity data'!AZ$24:AZ$39,MATCH(Emissions!$D66,'Activity data'!$D$24:$D$39,0))*INDEX(EF!$H$84:$H$99,MATCH(Emissions!$D66,EF!$D$84:$D$99,0))*INDEX(EF!$H$100:$H$115,MATCH(Emissions!$D66,EF!$D$100:$D$115,0))*INDEX(EF!$H$116:$H$131,MATCH(Emissions!$D66,EF!$D$116:$D$131,0))*kgtoGg</f>
        <v>0.35846100020890842</v>
      </c>
      <c r="BA66" s="23">
        <f>INDEX('Activity data'!BA$24:BA$39,MATCH(Emissions!$D66,'Activity data'!$D$24:$D$39,0))*INDEX(EF!$H$84:$H$99,MATCH(Emissions!$D66,EF!$D$84:$D$99,0))*INDEX(EF!$H$100:$H$115,MATCH(Emissions!$D66,EF!$D$100:$D$115,0))*INDEX(EF!$H$116:$H$131,MATCH(Emissions!$D66,EF!$D$116:$D$131,0))*kgtoGg</f>
        <v>0.35089723358368263</v>
      </c>
      <c r="BB66" s="23">
        <f>INDEX('Activity data'!BB$24:BB$39,MATCH(Emissions!$D66,'Activity data'!$D$24:$D$39,0))*INDEX(EF!$H$84:$H$99,MATCH(Emissions!$D66,EF!$D$84:$D$99,0))*INDEX(EF!$H$100:$H$115,MATCH(Emissions!$D66,EF!$D$100:$D$115,0))*INDEX(EF!$H$116:$H$131,MATCH(Emissions!$D66,EF!$D$116:$D$131,0))*kgtoGg</f>
        <v>0.34333346695845673</v>
      </c>
      <c r="BC66" s="23">
        <f>INDEX('Activity data'!BC$24:BC$39,MATCH(Emissions!$D66,'Activity data'!$D$24:$D$39,0))*INDEX(EF!$H$84:$H$99,MATCH(Emissions!$D66,EF!$D$84:$D$99,0))*INDEX(EF!$H$100:$H$115,MATCH(Emissions!$D66,EF!$D$100:$D$115,0))*INDEX(EF!$H$116:$H$131,MATCH(Emissions!$D66,EF!$D$116:$D$131,0))*kgtoGg</f>
        <v>0.33576970033323078</v>
      </c>
      <c r="BD66" s="23">
        <f>INDEX('Activity data'!BD$24:BD$39,MATCH(Emissions!$D66,'Activity data'!$D$24:$D$39,0))*INDEX(EF!$H$84:$H$99,MATCH(Emissions!$D66,EF!$D$84:$D$99,0))*INDEX(EF!$H$100:$H$115,MATCH(Emissions!$D66,EF!$D$100:$D$115,0))*INDEX(EF!$H$116:$H$131,MATCH(Emissions!$D66,EF!$D$116:$D$131,0))*kgtoGg</f>
        <v>0.32820593370800499</v>
      </c>
      <c r="BE66" s="23">
        <f>INDEX('Activity data'!BE$24:BE$39,MATCH(Emissions!$D66,'Activity data'!$D$24:$D$39,0))*INDEX(EF!$H$84:$H$99,MATCH(Emissions!$D66,EF!$D$84:$D$99,0))*INDEX(EF!$H$100:$H$115,MATCH(Emissions!$D66,EF!$D$100:$D$115,0))*INDEX(EF!$H$116:$H$131,MATCH(Emissions!$D66,EF!$D$116:$D$131,0))*kgtoGg</f>
        <v>0.32064216708277909</v>
      </c>
      <c r="BF66" s="23">
        <f>INDEX('Activity data'!BF$24:BF$39,MATCH(Emissions!$D66,'Activity data'!$D$24:$D$39,0))*INDEX(EF!$H$84:$H$99,MATCH(Emissions!$D66,EF!$D$84:$D$99,0))*INDEX(EF!$H$100:$H$115,MATCH(Emissions!$D66,EF!$D$100:$D$115,0))*INDEX(EF!$H$116:$H$131,MATCH(Emissions!$D66,EF!$D$116:$D$131,0))*kgtoGg</f>
        <v>0.31307840045755314</v>
      </c>
      <c r="BG66" s="23">
        <f>INDEX('Activity data'!BG$24:BG$39,MATCH(Emissions!$D66,'Activity data'!$D$24:$D$39,0))*INDEX(EF!$H$84:$H$99,MATCH(Emissions!$D66,EF!$D$84:$D$99,0))*INDEX(EF!$H$100:$H$115,MATCH(Emissions!$D66,EF!$D$100:$D$115,0))*INDEX(EF!$H$116:$H$131,MATCH(Emissions!$D66,EF!$D$116:$D$131,0))*kgtoGg</f>
        <v>0.3055146338323273</v>
      </c>
      <c r="BH66" s="23">
        <f>INDEX('Activity data'!BH$24:BH$39,MATCH(Emissions!$D66,'Activity data'!$D$24:$D$39,0))*INDEX(EF!$H$84:$H$99,MATCH(Emissions!$D66,EF!$D$84:$D$99,0))*INDEX(EF!$H$100:$H$115,MATCH(Emissions!$D66,EF!$D$100:$D$115,0))*INDEX(EF!$H$116:$H$131,MATCH(Emissions!$D66,EF!$D$116:$D$131,0))*kgtoGg</f>
        <v>0.2979508672071014</v>
      </c>
      <c r="BI66" s="23">
        <f>INDEX('Activity data'!BI$24:BI$39,MATCH(Emissions!$D66,'Activity data'!$D$24:$D$39,0))*INDEX(EF!$H$84:$H$99,MATCH(Emissions!$D66,EF!$D$84:$D$99,0))*INDEX(EF!$H$100:$H$115,MATCH(Emissions!$D66,EF!$D$100:$D$115,0))*INDEX(EF!$H$116:$H$131,MATCH(Emissions!$D66,EF!$D$116:$D$131,0))*kgtoGg</f>
        <v>0.2903871005818755</v>
      </c>
      <c r="BJ66" s="23">
        <f>INDEX('Activity data'!BJ$24:BJ$39,MATCH(Emissions!$D66,'Activity data'!$D$24:$D$39,0))*INDEX(EF!$H$84:$H$99,MATCH(Emissions!$D66,EF!$D$84:$D$99,0))*INDEX(EF!$H$100:$H$115,MATCH(Emissions!$D66,EF!$D$100:$D$115,0))*INDEX(EF!$H$116:$H$131,MATCH(Emissions!$D66,EF!$D$116:$D$131,0))*kgtoGg</f>
        <v>0.2828233339566496</v>
      </c>
      <c r="BK66" s="23">
        <f>INDEX('Activity data'!BK$24:BK$39,MATCH(Emissions!$D66,'Activity data'!$D$24:$D$39,0))*INDEX(EF!$H$84:$H$99,MATCH(Emissions!$D66,EF!$D$84:$D$99,0))*INDEX(EF!$H$100:$H$115,MATCH(Emissions!$D66,EF!$D$100:$D$115,0))*INDEX(EF!$H$116:$H$131,MATCH(Emissions!$D66,EF!$D$116:$D$131,0))*kgtoGg</f>
        <v>0.27525956733142376</v>
      </c>
      <c r="BL66" s="23">
        <f>INDEX('Activity data'!BL$24:BL$39,MATCH(Emissions!$D66,'Activity data'!$D$24:$D$39,0))*INDEX(EF!$H$84:$H$99,MATCH(Emissions!$D66,EF!$D$84:$D$99,0))*INDEX(EF!$H$100:$H$115,MATCH(Emissions!$D66,EF!$D$100:$D$115,0))*INDEX(EF!$H$116:$H$131,MATCH(Emissions!$D66,EF!$D$116:$D$131,0))*kgtoGg</f>
        <v>0.26769580070619786</v>
      </c>
      <c r="BM66" s="23">
        <f>INDEX('Activity data'!BM$24:BM$39,MATCH(Emissions!$D66,'Activity data'!$D$24:$D$39,0))*INDEX(EF!$H$84:$H$99,MATCH(Emissions!$D66,EF!$D$84:$D$99,0))*INDEX(EF!$H$100:$H$115,MATCH(Emissions!$D66,EF!$D$100:$D$115,0))*INDEX(EF!$H$116:$H$131,MATCH(Emissions!$D66,EF!$D$116:$D$131,0))*kgtoGg</f>
        <v>0.26013203408097196</v>
      </c>
      <c r="BN66" s="23">
        <f>INDEX('Activity data'!BN$24:BN$39,MATCH(Emissions!$D66,'Activity data'!$D$24:$D$39,0))*INDEX(EF!$H$84:$H$99,MATCH(Emissions!$D66,EF!$D$84:$D$99,0))*INDEX(EF!$H$100:$H$115,MATCH(Emissions!$D66,EF!$D$100:$D$115,0))*INDEX(EF!$H$116:$H$131,MATCH(Emissions!$D66,EF!$D$116:$D$131,0))*kgtoGg</f>
        <v>0.25256826745574612</v>
      </c>
      <c r="BO66" s="23">
        <f>INDEX('Activity data'!BO$24:BO$39,MATCH(Emissions!$D66,'Activity data'!$D$24:$D$39,0))*INDEX(EF!$H$84:$H$99,MATCH(Emissions!$D66,EF!$D$84:$D$99,0))*INDEX(EF!$H$100:$H$115,MATCH(Emissions!$D66,EF!$D$100:$D$115,0))*INDEX(EF!$H$116:$H$131,MATCH(Emissions!$D66,EF!$D$116:$D$131,0))*kgtoGg</f>
        <v>0.24500450083052022</v>
      </c>
      <c r="BP66" s="23">
        <f>INDEX('Activity data'!BP$24:BP$39,MATCH(Emissions!$D66,'Activity data'!$D$24:$D$39,0))*INDEX(EF!$H$84:$H$99,MATCH(Emissions!$D66,EF!$D$84:$D$99,0))*INDEX(EF!$H$100:$H$115,MATCH(Emissions!$D66,EF!$D$100:$D$115,0))*INDEX(EF!$H$116:$H$131,MATCH(Emissions!$D66,EF!$D$116:$D$131,0))*kgtoGg</f>
        <v>0.23744073420529432</v>
      </c>
    </row>
    <row r="67" spans="1:68" x14ac:dyDescent="0.25">
      <c r="A67" t="str">
        <f t="shared" si="19"/>
        <v>3C Aggregated and non-CO2 emissions on land</v>
      </c>
      <c r="B67" t="str">
        <f t="shared" si="20"/>
        <v>3C1 Biomass burning (CH4)</v>
      </c>
      <c r="C67" t="str">
        <f>'IPCC Categories'!C63</f>
        <v>3C1e Biomass burning in Settlements</v>
      </c>
      <c r="D67" t="str">
        <f>EF!D97</f>
        <v>Settlements</v>
      </c>
      <c r="E67" t="s">
        <v>737</v>
      </c>
      <c r="F67" t="str">
        <f t="shared" si="23"/>
        <v>CH4</v>
      </c>
      <c r="G67" t="str">
        <f t="shared" si="24"/>
        <v>Gg CH4</v>
      </c>
      <c r="H67" s="23">
        <f>INDEX('Activity data'!H$24:H$39,MATCH(Emissions!$D67,'Activity data'!$D$24:$D$39,0))*INDEX(EF!$H$84:$H$99,MATCH(Emissions!$D67,EF!$D$84:$D$99,0))*INDEX(EF!$H$100:$H$115,MATCH(Emissions!$D67,EF!$D$100:$D$115,0))*INDEX(EF!$H$116:$H$131,MATCH(Emissions!$D67,EF!$D$116:$D$131,0))*kgtoGg</f>
        <v>0.48879168008497798</v>
      </c>
      <c r="I67" s="23">
        <f>INDEX('Activity data'!I$24:I$39,MATCH(Emissions!$D67,'Activity data'!$D$24:$D$39,0))*INDEX(EF!$H$84:$H$99,MATCH(Emissions!$D67,EF!$D$84:$D$99,0))*INDEX(EF!$H$100:$H$115,MATCH(Emissions!$D67,EF!$D$100:$D$115,0))*INDEX(EF!$H$116:$H$131,MATCH(Emissions!$D67,EF!$D$116:$D$131,0))*kgtoGg</f>
        <v>0.48879168008497798</v>
      </c>
      <c r="J67" s="23">
        <f>INDEX('Activity data'!J$24:J$39,MATCH(Emissions!$D67,'Activity data'!$D$24:$D$39,0))*INDEX(EF!$H$84:$H$99,MATCH(Emissions!$D67,EF!$D$84:$D$99,0))*INDEX(EF!$H$100:$H$115,MATCH(Emissions!$D67,EF!$D$100:$D$115,0))*INDEX(EF!$H$116:$H$131,MATCH(Emissions!$D67,EF!$D$116:$D$131,0))*kgtoGg</f>
        <v>0.48879168008497798</v>
      </c>
      <c r="K67" s="23">
        <f>INDEX('Activity data'!K$24:K$39,MATCH(Emissions!$D67,'Activity data'!$D$24:$D$39,0))*INDEX(EF!$H$84:$H$99,MATCH(Emissions!$D67,EF!$D$84:$D$99,0))*INDEX(EF!$H$100:$H$115,MATCH(Emissions!$D67,EF!$D$100:$D$115,0))*INDEX(EF!$H$116:$H$131,MATCH(Emissions!$D67,EF!$D$116:$D$131,0))*kgtoGg</f>
        <v>0.48879168008497798</v>
      </c>
      <c r="L67" s="23">
        <f>INDEX('Activity data'!L$24:L$39,MATCH(Emissions!$D67,'Activity data'!$D$24:$D$39,0))*INDEX(EF!$H$84:$H$99,MATCH(Emissions!$D67,EF!$D$84:$D$99,0))*INDEX(EF!$H$100:$H$115,MATCH(Emissions!$D67,EF!$D$100:$D$115,0))*INDEX(EF!$H$116:$H$131,MATCH(Emissions!$D67,EF!$D$116:$D$131,0))*kgtoGg</f>
        <v>0.48879168008497798</v>
      </c>
      <c r="M67" s="23">
        <f>INDEX('Activity data'!M$24:M$39,MATCH(Emissions!$D67,'Activity data'!$D$24:$D$39,0))*INDEX(EF!$H$84:$H$99,MATCH(Emissions!$D67,EF!$D$84:$D$99,0))*INDEX(EF!$H$100:$H$115,MATCH(Emissions!$D67,EF!$D$100:$D$115,0))*INDEX(EF!$H$116:$H$131,MATCH(Emissions!$D67,EF!$D$116:$D$131,0))*kgtoGg</f>
        <v>0.48879168008497798</v>
      </c>
      <c r="N67" s="23">
        <f>INDEX('Activity data'!N$24:N$39,MATCH(Emissions!$D67,'Activity data'!$D$24:$D$39,0))*INDEX(EF!$H$84:$H$99,MATCH(Emissions!$D67,EF!$D$84:$D$99,0))*INDEX(EF!$H$100:$H$115,MATCH(Emissions!$D67,EF!$D$100:$D$115,0))*INDEX(EF!$H$116:$H$131,MATCH(Emissions!$D67,EF!$D$116:$D$131,0))*kgtoGg</f>
        <v>0.48879168008497798</v>
      </c>
      <c r="O67" s="23">
        <f>INDEX('Activity data'!O$24:O$39,MATCH(Emissions!$D67,'Activity data'!$D$24:$D$39,0))*INDEX(EF!$H$84:$H$99,MATCH(Emissions!$D67,EF!$D$84:$D$99,0))*INDEX(EF!$H$100:$H$115,MATCH(Emissions!$D67,EF!$D$100:$D$115,0))*INDEX(EF!$H$116:$H$131,MATCH(Emissions!$D67,EF!$D$116:$D$131,0))*kgtoGg</f>
        <v>0.48879168008497798</v>
      </c>
      <c r="P67" s="23">
        <f>INDEX('Activity data'!P$24:P$39,MATCH(Emissions!$D67,'Activity data'!$D$24:$D$39,0))*INDEX(EF!$H$84:$H$99,MATCH(Emissions!$D67,EF!$D$84:$D$99,0))*INDEX(EF!$H$100:$H$115,MATCH(Emissions!$D67,EF!$D$100:$D$115,0))*INDEX(EF!$H$116:$H$131,MATCH(Emissions!$D67,EF!$D$116:$D$131,0))*kgtoGg</f>
        <v>0.48879168008497798</v>
      </c>
      <c r="Q67" s="23">
        <f>INDEX('Activity data'!Q$24:Q$39,MATCH(Emissions!$D67,'Activity data'!$D$24:$D$39,0))*INDEX(EF!$H$84:$H$99,MATCH(Emissions!$D67,EF!$D$84:$D$99,0))*INDEX(EF!$H$100:$H$115,MATCH(Emissions!$D67,EF!$D$100:$D$115,0))*INDEX(EF!$H$116:$H$131,MATCH(Emissions!$D67,EF!$D$116:$D$131,0))*kgtoGg</f>
        <v>0.48879168008497798</v>
      </c>
      <c r="R67" s="23">
        <f>INDEX('Activity data'!R$24:R$39,MATCH(Emissions!$D67,'Activity data'!$D$24:$D$39,0))*INDEX(EF!$H$84:$H$99,MATCH(Emissions!$D67,EF!$D$84:$D$99,0))*INDEX(EF!$H$100:$H$115,MATCH(Emissions!$D67,EF!$D$100:$D$115,0))*INDEX(EF!$H$116:$H$131,MATCH(Emissions!$D67,EF!$D$116:$D$131,0))*kgtoGg</f>
        <v>0.53244001120367745</v>
      </c>
      <c r="S67" s="23">
        <f>INDEX('Activity data'!S$24:S$39,MATCH(Emissions!$D67,'Activity data'!$D$24:$D$39,0))*INDEX(EF!$H$84:$H$99,MATCH(Emissions!$D67,EF!$D$84:$D$99,0))*INDEX(EF!$H$100:$H$115,MATCH(Emissions!$D67,EF!$D$100:$D$115,0))*INDEX(EF!$H$116:$H$131,MATCH(Emissions!$D67,EF!$D$116:$D$131,0))*kgtoGg</f>
        <v>0.58966588899140415</v>
      </c>
      <c r="T67" s="23">
        <f>INDEX('Activity data'!T$24:T$39,MATCH(Emissions!$D67,'Activity data'!$D$24:$D$39,0))*INDEX(EF!$H$84:$H$99,MATCH(Emissions!$D67,EF!$D$84:$D$99,0))*INDEX(EF!$H$100:$H$115,MATCH(Emissions!$D67,EF!$D$100:$D$115,0))*INDEX(EF!$H$116:$H$131,MATCH(Emissions!$D67,EF!$D$116:$D$131,0))*kgtoGg</f>
        <v>0.52134297786841477</v>
      </c>
      <c r="U67" s="23">
        <f>INDEX('Activity data'!U$24:U$39,MATCH(Emissions!$D67,'Activity data'!$D$24:$D$39,0))*INDEX(EF!$H$84:$H$99,MATCH(Emissions!$D67,EF!$D$84:$D$99,0))*INDEX(EF!$H$100:$H$115,MATCH(Emissions!$D67,EF!$D$100:$D$115,0))*INDEX(EF!$H$116:$H$131,MATCH(Emissions!$D67,EF!$D$116:$D$131,0))*kgtoGg</f>
        <v>0.44975623341152487</v>
      </c>
      <c r="V67" s="23">
        <f>INDEX('Activity data'!V$24:V$39,MATCH(Emissions!$D67,'Activity data'!$D$24:$D$39,0))*INDEX(EF!$H$84:$H$99,MATCH(Emissions!$D67,EF!$D$84:$D$99,0))*INDEX(EF!$H$100:$H$115,MATCH(Emissions!$D67,EF!$D$100:$D$115,0))*INDEX(EF!$H$116:$H$131,MATCH(Emissions!$D67,EF!$D$116:$D$131,0))*kgtoGg</f>
        <v>0.35075328894986846</v>
      </c>
      <c r="W67" s="23">
        <f>INDEX('Activity data'!W$24:W$39,MATCH(Emissions!$D67,'Activity data'!$D$24:$D$39,0))*INDEX(EF!$H$84:$H$99,MATCH(Emissions!$D67,EF!$D$84:$D$99,0))*INDEX(EF!$H$100:$H$115,MATCH(Emissions!$D67,EF!$D$100:$D$115,0))*INDEX(EF!$H$116:$H$131,MATCH(Emissions!$D67,EF!$D$116:$D$131,0))*kgtoGg</f>
        <v>0.79419944458251857</v>
      </c>
      <c r="X67" s="23">
        <f>INDEX('Activity data'!X$24:X$39,MATCH(Emissions!$D67,'Activity data'!$D$24:$D$39,0))*INDEX(EF!$H$84:$H$99,MATCH(Emissions!$D67,EF!$D$84:$D$99,0))*INDEX(EF!$H$100:$H$115,MATCH(Emissions!$D67,EF!$D$100:$D$115,0))*INDEX(EF!$H$116:$H$131,MATCH(Emissions!$D67,EF!$D$116:$D$131,0))*kgtoGg</f>
        <v>0.69563167789871561</v>
      </c>
      <c r="Y67" s="23">
        <f>INDEX('Activity data'!Y$24:Y$39,MATCH(Emissions!$D67,'Activity data'!$D$24:$D$39,0))*INDEX(EF!$H$84:$H$99,MATCH(Emissions!$D67,EF!$D$84:$D$99,0))*INDEX(EF!$H$100:$H$115,MATCH(Emissions!$D67,EF!$D$100:$D$115,0))*INDEX(EF!$H$116:$H$131,MATCH(Emissions!$D67,EF!$D$116:$D$131,0))*kgtoGg</f>
        <v>0.76939431124487268</v>
      </c>
      <c r="Z67" s="23">
        <f>INDEX('Activity data'!Z$24:Z$39,MATCH(Emissions!$D67,'Activity data'!$D$24:$D$39,0))*INDEX(EF!$H$84:$H$99,MATCH(Emissions!$D67,EF!$D$84:$D$99,0))*INDEX(EF!$H$100:$H$115,MATCH(Emissions!$D67,EF!$D$100:$D$115,0))*INDEX(EF!$H$116:$H$131,MATCH(Emissions!$D67,EF!$D$116:$D$131,0))*kgtoGg</f>
        <v>0.47499654452702411</v>
      </c>
      <c r="AA67" s="23">
        <f>INDEX('Activity data'!AA$24:AA$39,MATCH(Emissions!$D67,'Activity data'!$D$24:$D$39,0))*INDEX(EF!$H$84:$H$99,MATCH(Emissions!$D67,EF!$D$84:$D$99,0))*INDEX(EF!$H$100:$H$115,MATCH(Emissions!$D67,EF!$D$100:$D$115,0))*INDEX(EF!$H$116:$H$131,MATCH(Emissions!$D67,EF!$D$116:$D$131,0))*kgtoGg</f>
        <v>0.5716060112104866</v>
      </c>
      <c r="AB67" s="23">
        <f>INDEX('Activity data'!AB$24:AB$39,MATCH(Emissions!$D67,'Activity data'!$D$24:$D$39,0))*INDEX(EF!$H$84:$H$99,MATCH(Emissions!$D67,EF!$D$84:$D$99,0))*INDEX(EF!$H$100:$H$115,MATCH(Emissions!$D67,EF!$D$100:$D$115,0))*INDEX(EF!$H$116:$H$131,MATCH(Emissions!$D67,EF!$D$116:$D$131,0))*kgtoGg</f>
        <v>0.42745793939999993</v>
      </c>
      <c r="AC67" s="23">
        <f>INDEX('Activity data'!AC$24:AC$39,MATCH(Emissions!$D67,'Activity data'!$D$24:$D$39,0))*INDEX(EF!$H$84:$H$99,MATCH(Emissions!$D67,EF!$D$84:$D$99,0))*INDEX(EF!$H$100:$H$115,MATCH(Emissions!$D67,EF!$D$100:$D$115,0))*INDEX(EF!$H$116:$H$131,MATCH(Emissions!$D67,EF!$D$116:$D$131,0))*kgtoGg</f>
        <v>0.29794462199999994</v>
      </c>
      <c r="AD67" s="23">
        <f>INDEX('Activity data'!AD$24:AD$39,MATCH(Emissions!$D67,'Activity data'!$D$24:$D$39,0))*INDEX(EF!$H$84:$H$99,MATCH(Emissions!$D67,EF!$D$84:$D$99,0))*INDEX(EF!$H$100:$H$115,MATCH(Emissions!$D67,EF!$D$100:$D$115,0))*INDEX(EF!$H$116:$H$131,MATCH(Emissions!$D67,EF!$D$116:$D$131,0))*kgtoGg</f>
        <v>0.29015864819999992</v>
      </c>
      <c r="AE67" s="23">
        <f>INDEX('Activity data'!AE$24:AE$39,MATCH(Emissions!$D67,'Activity data'!$D$24:$D$39,0))*INDEX(EF!$H$84:$H$99,MATCH(Emissions!$D67,EF!$D$84:$D$99,0))*INDEX(EF!$H$100:$H$115,MATCH(Emissions!$D67,EF!$D$100:$D$115,0))*INDEX(EF!$H$116:$H$131,MATCH(Emissions!$D67,EF!$D$116:$D$131,0))*kgtoGg</f>
        <v>0.31198806089999992</v>
      </c>
      <c r="AF67" s="23">
        <f>INDEX('Activity data'!AF$24:AF$39,MATCH(Emissions!$D67,'Activity data'!$D$24:$D$39,0))*INDEX(EF!$H$84:$H$99,MATCH(Emissions!$D67,EF!$D$84:$D$99,0))*INDEX(EF!$H$100:$H$115,MATCH(Emissions!$D67,EF!$D$100:$D$115,0))*INDEX(EF!$H$116:$H$131,MATCH(Emissions!$D67,EF!$D$116:$D$131,0))*kgtoGg</f>
        <v>0.32622330599999994</v>
      </c>
      <c r="AG67" s="23">
        <f>INDEX('Activity data'!AG$24:AG$39,MATCH(Emissions!$D67,'Activity data'!$D$24:$D$39,0))*INDEX(EF!$H$84:$H$99,MATCH(Emissions!$D67,EF!$D$84:$D$99,0))*INDEX(EF!$H$100:$H$115,MATCH(Emissions!$D67,EF!$D$100:$D$115,0))*INDEX(EF!$H$116:$H$131,MATCH(Emissions!$D67,EF!$D$116:$D$131,0))*kgtoGg</f>
        <v>0.21166238519999994</v>
      </c>
      <c r="AH67" s="23">
        <f>INDEX('Activity data'!AH$24:AH$39,MATCH(Emissions!$D67,'Activity data'!$D$24:$D$39,0))*INDEX(EF!$H$84:$H$99,MATCH(Emissions!$D67,EF!$D$84:$D$99,0))*INDEX(EF!$H$100:$H$115,MATCH(Emissions!$D67,EF!$D$100:$D$115,0))*INDEX(EF!$H$116:$H$131,MATCH(Emissions!$D67,EF!$D$116:$D$131,0))*kgtoGg</f>
        <v>7.7445572399999982E-2</v>
      </c>
      <c r="AI67" s="23">
        <f>INDEX('Activity data'!AI$24:AI$39,MATCH(Emissions!$D67,'Activity data'!$D$24:$D$39,0))*INDEX(EF!$H$84:$H$99,MATCH(Emissions!$D67,EF!$D$84:$D$99,0))*INDEX(EF!$H$100:$H$115,MATCH(Emissions!$D67,EF!$D$100:$D$115,0))*INDEX(EF!$H$116:$H$131,MATCH(Emissions!$D67,EF!$D$116:$D$131,0))*kgtoGg</f>
        <v>7.5031020899999981E-2</v>
      </c>
      <c r="AJ67" s="23">
        <f>INDEX('Activity data'!AJ$24:AJ$39,MATCH(Emissions!$D67,'Activity data'!$D$24:$D$39,0))*INDEX(EF!$H$84:$H$99,MATCH(Emissions!$D67,EF!$D$84:$D$99,0))*INDEX(EF!$H$100:$H$115,MATCH(Emissions!$D67,EF!$D$100:$D$115,0))*INDEX(EF!$H$116:$H$131,MATCH(Emissions!$D67,EF!$D$116:$D$131,0))*kgtoGg</f>
        <v>0.4633114891449101</v>
      </c>
      <c r="AK67" s="23">
        <f>INDEX('Activity data'!AK$24:AK$39,MATCH(Emissions!$D67,'Activity data'!$D$24:$D$39,0))*INDEX(EF!$H$84:$H$99,MATCH(Emissions!$D67,EF!$D$84:$D$99,0))*INDEX(EF!$H$100:$H$115,MATCH(Emissions!$D67,EF!$D$100:$D$115,0))*INDEX(EF!$H$116:$H$131,MATCH(Emissions!$D67,EF!$D$116:$D$131,0))*kgtoGg</f>
        <v>0.46527831641310569</v>
      </c>
      <c r="AL67" s="23">
        <f>INDEX('Activity data'!AL$24:AL$39,MATCH(Emissions!$D67,'Activity data'!$D$24:$D$39,0))*INDEX(EF!$H$84:$H$99,MATCH(Emissions!$D67,EF!$D$84:$D$99,0))*INDEX(EF!$H$100:$H$115,MATCH(Emissions!$D67,EF!$D$100:$D$115,0))*INDEX(EF!$H$116:$H$131,MATCH(Emissions!$D67,EF!$D$116:$D$131,0))*kgtoGg</f>
        <v>0.46724514368130138</v>
      </c>
      <c r="AM67" s="23">
        <f>INDEX('Activity data'!AM$24:AM$39,MATCH(Emissions!$D67,'Activity data'!$D$24:$D$39,0))*INDEX(EF!$H$84:$H$99,MATCH(Emissions!$D67,EF!$D$84:$D$99,0))*INDEX(EF!$H$100:$H$115,MATCH(Emissions!$D67,EF!$D$100:$D$115,0))*INDEX(EF!$H$116:$H$131,MATCH(Emissions!$D67,EF!$D$116:$D$131,0))*kgtoGg</f>
        <v>0.46921197094949696</v>
      </c>
      <c r="AN67" s="23">
        <f>INDEX('Activity data'!AN$24:AN$39,MATCH(Emissions!$D67,'Activity data'!$D$24:$D$39,0))*INDEX(EF!$H$84:$H$99,MATCH(Emissions!$D67,EF!$D$84:$D$99,0))*INDEX(EF!$H$100:$H$115,MATCH(Emissions!$D67,EF!$D$100:$D$115,0))*INDEX(EF!$H$116:$H$131,MATCH(Emissions!$D67,EF!$D$116:$D$131,0))*kgtoGg</f>
        <v>0.47117879821769248</v>
      </c>
      <c r="AO67" s="23">
        <f>INDEX('Activity data'!AO$24:AO$39,MATCH(Emissions!$D67,'Activity data'!$D$24:$D$39,0))*INDEX(EF!$H$84:$H$99,MATCH(Emissions!$D67,EF!$D$84:$D$99,0))*INDEX(EF!$H$100:$H$115,MATCH(Emissions!$D67,EF!$D$100:$D$115,0))*INDEX(EF!$H$116:$H$131,MATCH(Emissions!$D67,EF!$D$116:$D$131,0))*kgtoGg</f>
        <v>0.47314562548588818</v>
      </c>
      <c r="AP67" s="23">
        <f>INDEX('Activity data'!AP$24:AP$39,MATCH(Emissions!$D67,'Activity data'!$D$24:$D$39,0))*INDEX(EF!$H$84:$H$99,MATCH(Emissions!$D67,EF!$D$84:$D$99,0))*INDEX(EF!$H$100:$H$115,MATCH(Emissions!$D67,EF!$D$100:$D$115,0))*INDEX(EF!$H$116:$H$131,MATCH(Emissions!$D67,EF!$D$116:$D$131,0))*kgtoGg</f>
        <v>0.47511245275408376</v>
      </c>
      <c r="AQ67" s="23">
        <f>INDEX('Activity data'!AQ$24:AQ$39,MATCH(Emissions!$D67,'Activity data'!$D$24:$D$39,0))*INDEX(EF!$H$84:$H$99,MATCH(Emissions!$D67,EF!$D$84:$D$99,0))*INDEX(EF!$H$100:$H$115,MATCH(Emissions!$D67,EF!$D$100:$D$115,0))*INDEX(EF!$H$116:$H$131,MATCH(Emissions!$D67,EF!$D$116:$D$131,0))*kgtoGg</f>
        <v>0.47707928002227934</v>
      </c>
      <c r="AR67" s="23">
        <f>INDEX('Activity data'!AR$24:AR$39,MATCH(Emissions!$D67,'Activity data'!$D$24:$D$39,0))*INDEX(EF!$H$84:$H$99,MATCH(Emissions!$D67,EF!$D$84:$D$99,0))*INDEX(EF!$H$100:$H$115,MATCH(Emissions!$D67,EF!$D$100:$D$115,0))*INDEX(EF!$H$116:$H$131,MATCH(Emissions!$D67,EF!$D$116:$D$131,0))*kgtoGg</f>
        <v>0.47904610729047509</v>
      </c>
      <c r="AS67" s="23">
        <f>INDEX('Activity data'!AS$24:AS$39,MATCH(Emissions!$D67,'Activity data'!$D$24:$D$39,0))*INDEX(EF!$H$84:$H$99,MATCH(Emissions!$D67,EF!$D$84:$D$99,0))*INDEX(EF!$H$100:$H$115,MATCH(Emissions!$D67,EF!$D$100:$D$115,0))*INDEX(EF!$H$116:$H$131,MATCH(Emissions!$D67,EF!$D$116:$D$131,0))*kgtoGg</f>
        <v>0.48101293455867061</v>
      </c>
      <c r="AT67" s="23">
        <f>INDEX('Activity data'!AT$24:AT$39,MATCH(Emissions!$D67,'Activity data'!$D$24:$D$39,0))*INDEX(EF!$H$84:$H$99,MATCH(Emissions!$D67,EF!$D$84:$D$99,0))*INDEX(EF!$H$100:$H$115,MATCH(Emissions!$D67,EF!$D$100:$D$115,0))*INDEX(EF!$H$116:$H$131,MATCH(Emissions!$D67,EF!$D$116:$D$131,0))*kgtoGg</f>
        <v>0.48297976182686619</v>
      </c>
      <c r="AU67" s="23">
        <f>INDEX('Activity data'!AU$24:AU$39,MATCH(Emissions!$D67,'Activity data'!$D$24:$D$39,0))*INDEX(EF!$H$84:$H$99,MATCH(Emissions!$D67,EF!$D$84:$D$99,0))*INDEX(EF!$H$100:$H$115,MATCH(Emissions!$D67,EF!$D$100:$D$115,0))*INDEX(EF!$H$116:$H$131,MATCH(Emissions!$D67,EF!$D$116:$D$131,0))*kgtoGg</f>
        <v>0.48494658909506189</v>
      </c>
      <c r="AV67" s="23">
        <f>INDEX('Activity data'!AV$24:AV$39,MATCH(Emissions!$D67,'Activity data'!$D$24:$D$39,0))*INDEX(EF!$H$84:$H$99,MATCH(Emissions!$D67,EF!$D$84:$D$99,0))*INDEX(EF!$H$100:$H$115,MATCH(Emissions!$D67,EF!$D$100:$D$115,0))*INDEX(EF!$H$116:$H$131,MATCH(Emissions!$D67,EF!$D$116:$D$131,0))*kgtoGg</f>
        <v>0.48691341636325747</v>
      </c>
      <c r="AW67" s="23">
        <f>INDEX('Activity data'!AW$24:AW$39,MATCH(Emissions!$D67,'Activity data'!$D$24:$D$39,0))*INDEX(EF!$H$84:$H$99,MATCH(Emissions!$D67,EF!$D$84:$D$99,0))*INDEX(EF!$H$100:$H$115,MATCH(Emissions!$D67,EF!$D$100:$D$115,0))*INDEX(EF!$H$116:$H$131,MATCH(Emissions!$D67,EF!$D$116:$D$131,0))*kgtoGg</f>
        <v>0.48888024363145305</v>
      </c>
      <c r="AX67" s="23">
        <f>INDEX('Activity data'!AX$24:AX$39,MATCH(Emissions!$D67,'Activity data'!$D$24:$D$39,0))*INDEX(EF!$H$84:$H$99,MATCH(Emissions!$D67,EF!$D$84:$D$99,0))*INDEX(EF!$H$100:$H$115,MATCH(Emissions!$D67,EF!$D$100:$D$115,0))*INDEX(EF!$H$116:$H$131,MATCH(Emissions!$D67,EF!$D$116:$D$131,0))*kgtoGg</f>
        <v>0.49084707089964869</v>
      </c>
      <c r="AY67" s="23">
        <f>INDEX('Activity data'!AY$24:AY$39,MATCH(Emissions!$D67,'Activity data'!$D$24:$D$39,0))*INDEX(EF!$H$84:$H$99,MATCH(Emissions!$D67,EF!$D$84:$D$99,0))*INDEX(EF!$H$100:$H$115,MATCH(Emissions!$D67,EF!$D$100:$D$115,0))*INDEX(EF!$H$116:$H$131,MATCH(Emissions!$D67,EF!$D$116:$D$131,0))*kgtoGg</f>
        <v>0.49281389816784432</v>
      </c>
      <c r="AZ67" s="23">
        <f>INDEX('Activity data'!AZ$24:AZ$39,MATCH(Emissions!$D67,'Activity data'!$D$24:$D$39,0))*INDEX(EF!$H$84:$H$99,MATCH(Emissions!$D67,EF!$D$84:$D$99,0))*INDEX(EF!$H$100:$H$115,MATCH(Emissions!$D67,EF!$D$100:$D$115,0))*INDEX(EF!$H$116:$H$131,MATCH(Emissions!$D67,EF!$D$116:$D$131,0))*kgtoGg</f>
        <v>0.49478072543603996</v>
      </c>
      <c r="BA67" s="23">
        <f>INDEX('Activity data'!BA$24:BA$39,MATCH(Emissions!$D67,'Activity data'!$D$24:$D$39,0))*INDEX(EF!$H$84:$H$99,MATCH(Emissions!$D67,EF!$D$84:$D$99,0))*INDEX(EF!$H$100:$H$115,MATCH(Emissions!$D67,EF!$D$100:$D$115,0))*INDEX(EF!$H$116:$H$131,MATCH(Emissions!$D67,EF!$D$116:$D$131,0))*kgtoGg</f>
        <v>0.49674755270423554</v>
      </c>
      <c r="BB67" s="23">
        <f>INDEX('Activity data'!BB$24:BB$39,MATCH(Emissions!$D67,'Activity data'!$D$24:$D$39,0))*INDEX(EF!$H$84:$H$99,MATCH(Emissions!$D67,EF!$D$84:$D$99,0))*INDEX(EF!$H$100:$H$115,MATCH(Emissions!$D67,EF!$D$100:$D$115,0))*INDEX(EF!$H$116:$H$131,MATCH(Emissions!$D67,EF!$D$116:$D$131,0))*kgtoGg</f>
        <v>0.49871437997243112</v>
      </c>
      <c r="BC67" s="23">
        <f>INDEX('Activity data'!BC$24:BC$39,MATCH(Emissions!$D67,'Activity data'!$D$24:$D$39,0))*INDEX(EF!$H$84:$H$99,MATCH(Emissions!$D67,EF!$D$84:$D$99,0))*INDEX(EF!$H$100:$H$115,MATCH(Emissions!$D67,EF!$D$100:$D$115,0))*INDEX(EF!$H$116:$H$131,MATCH(Emissions!$D67,EF!$D$116:$D$131,0))*kgtoGg</f>
        <v>0.50068120724062681</v>
      </c>
      <c r="BD67" s="23">
        <f>INDEX('Activity data'!BD$24:BD$39,MATCH(Emissions!$D67,'Activity data'!$D$24:$D$39,0))*INDEX(EF!$H$84:$H$99,MATCH(Emissions!$D67,EF!$D$84:$D$99,0))*INDEX(EF!$H$100:$H$115,MATCH(Emissions!$D67,EF!$D$100:$D$115,0))*INDEX(EF!$H$116:$H$131,MATCH(Emissions!$D67,EF!$D$116:$D$131,0))*kgtoGg</f>
        <v>0.50264803450882234</v>
      </c>
      <c r="BE67" s="23">
        <f>INDEX('Activity data'!BE$24:BE$39,MATCH(Emissions!$D67,'Activity data'!$D$24:$D$39,0))*INDEX(EF!$H$84:$H$99,MATCH(Emissions!$D67,EF!$D$84:$D$99,0))*INDEX(EF!$H$100:$H$115,MATCH(Emissions!$D67,EF!$D$100:$D$115,0))*INDEX(EF!$H$116:$H$131,MATCH(Emissions!$D67,EF!$D$116:$D$131,0))*kgtoGg</f>
        <v>0.50461486177701798</v>
      </c>
      <c r="BF67" s="23">
        <f>INDEX('Activity data'!BF$24:BF$39,MATCH(Emissions!$D67,'Activity data'!$D$24:$D$39,0))*INDEX(EF!$H$84:$H$99,MATCH(Emissions!$D67,EF!$D$84:$D$99,0))*INDEX(EF!$H$100:$H$115,MATCH(Emissions!$D67,EF!$D$100:$D$115,0))*INDEX(EF!$H$116:$H$131,MATCH(Emissions!$D67,EF!$D$116:$D$131,0))*kgtoGg</f>
        <v>0.50658168904521361</v>
      </c>
      <c r="BG67" s="23">
        <f>INDEX('Activity data'!BG$24:BG$39,MATCH(Emissions!$D67,'Activity data'!$D$24:$D$39,0))*INDEX(EF!$H$84:$H$99,MATCH(Emissions!$D67,EF!$D$84:$D$99,0))*INDEX(EF!$H$100:$H$115,MATCH(Emissions!$D67,EF!$D$100:$D$115,0))*INDEX(EF!$H$116:$H$131,MATCH(Emissions!$D67,EF!$D$116:$D$131,0))*kgtoGg</f>
        <v>0.50854851631340914</v>
      </c>
      <c r="BH67" s="23">
        <f>INDEX('Activity data'!BH$24:BH$39,MATCH(Emissions!$D67,'Activity data'!$D$24:$D$39,0))*INDEX(EF!$H$84:$H$99,MATCH(Emissions!$D67,EF!$D$84:$D$99,0))*INDEX(EF!$H$100:$H$115,MATCH(Emissions!$D67,EF!$D$100:$D$115,0))*INDEX(EF!$H$116:$H$131,MATCH(Emissions!$D67,EF!$D$116:$D$131,0))*kgtoGg</f>
        <v>0.51051534358160477</v>
      </c>
      <c r="BI67" s="23">
        <f>INDEX('Activity data'!BI$24:BI$39,MATCH(Emissions!$D67,'Activity data'!$D$24:$D$39,0))*INDEX(EF!$H$84:$H$99,MATCH(Emissions!$D67,EF!$D$84:$D$99,0))*INDEX(EF!$H$100:$H$115,MATCH(Emissions!$D67,EF!$D$100:$D$115,0))*INDEX(EF!$H$116:$H$131,MATCH(Emissions!$D67,EF!$D$116:$D$131,0))*kgtoGg</f>
        <v>0.51248217084980041</v>
      </c>
      <c r="BJ67" s="23">
        <f>INDEX('Activity data'!BJ$24:BJ$39,MATCH(Emissions!$D67,'Activity data'!$D$24:$D$39,0))*INDEX(EF!$H$84:$H$99,MATCH(Emissions!$D67,EF!$D$84:$D$99,0))*INDEX(EF!$H$100:$H$115,MATCH(Emissions!$D67,EF!$D$100:$D$115,0))*INDEX(EF!$H$116:$H$131,MATCH(Emissions!$D67,EF!$D$116:$D$131,0))*kgtoGg</f>
        <v>0.51444899811799605</v>
      </c>
      <c r="BK67" s="23">
        <f>INDEX('Activity data'!BK$24:BK$39,MATCH(Emissions!$D67,'Activity data'!$D$24:$D$39,0))*INDEX(EF!$H$84:$H$99,MATCH(Emissions!$D67,EF!$D$84:$D$99,0))*INDEX(EF!$H$100:$H$115,MATCH(Emissions!$D67,EF!$D$100:$D$115,0))*INDEX(EF!$H$116:$H$131,MATCH(Emissions!$D67,EF!$D$116:$D$131,0))*kgtoGg</f>
        <v>0.51641582538619157</v>
      </c>
      <c r="BL67" s="23">
        <f>INDEX('Activity data'!BL$24:BL$39,MATCH(Emissions!$D67,'Activity data'!$D$24:$D$39,0))*INDEX(EF!$H$84:$H$99,MATCH(Emissions!$D67,EF!$D$84:$D$99,0))*INDEX(EF!$H$100:$H$115,MATCH(Emissions!$D67,EF!$D$100:$D$115,0))*INDEX(EF!$H$116:$H$131,MATCH(Emissions!$D67,EF!$D$116:$D$131,0))*kgtoGg</f>
        <v>0.51838265265438732</v>
      </c>
      <c r="BM67" s="23">
        <f>INDEX('Activity data'!BM$24:BM$39,MATCH(Emissions!$D67,'Activity data'!$D$24:$D$39,0))*INDEX(EF!$H$84:$H$99,MATCH(Emissions!$D67,EF!$D$84:$D$99,0))*INDEX(EF!$H$100:$H$115,MATCH(Emissions!$D67,EF!$D$100:$D$115,0))*INDEX(EF!$H$116:$H$131,MATCH(Emissions!$D67,EF!$D$116:$D$131,0))*kgtoGg</f>
        <v>0.52034947992258285</v>
      </c>
      <c r="BN67" s="23">
        <f>INDEX('Activity data'!BN$24:BN$39,MATCH(Emissions!$D67,'Activity data'!$D$24:$D$39,0))*INDEX(EF!$H$84:$H$99,MATCH(Emissions!$D67,EF!$D$84:$D$99,0))*INDEX(EF!$H$100:$H$115,MATCH(Emissions!$D67,EF!$D$100:$D$115,0))*INDEX(EF!$H$116:$H$131,MATCH(Emissions!$D67,EF!$D$116:$D$131,0))*kgtoGg</f>
        <v>0.52231630719077848</v>
      </c>
      <c r="BO67" s="23">
        <f>INDEX('Activity data'!BO$24:BO$39,MATCH(Emissions!$D67,'Activity data'!$D$24:$D$39,0))*INDEX(EF!$H$84:$H$99,MATCH(Emissions!$D67,EF!$D$84:$D$99,0))*INDEX(EF!$H$100:$H$115,MATCH(Emissions!$D67,EF!$D$100:$D$115,0))*INDEX(EF!$H$116:$H$131,MATCH(Emissions!$D67,EF!$D$116:$D$131,0))*kgtoGg</f>
        <v>0.52428313445897412</v>
      </c>
      <c r="BP67" s="23">
        <f>INDEX('Activity data'!BP$24:BP$39,MATCH(Emissions!$D67,'Activity data'!$D$24:$D$39,0))*INDEX(EF!$H$84:$H$99,MATCH(Emissions!$D67,EF!$D$84:$D$99,0))*INDEX(EF!$H$100:$H$115,MATCH(Emissions!$D67,EF!$D$100:$D$115,0))*INDEX(EF!$H$116:$H$131,MATCH(Emissions!$D67,EF!$D$116:$D$131,0))*kgtoGg</f>
        <v>0.52624996172716965</v>
      </c>
    </row>
    <row r="68" spans="1:68" x14ac:dyDescent="0.25">
      <c r="A68" t="str">
        <f t="shared" si="19"/>
        <v>3C Aggregated and non-CO2 emissions on land</v>
      </c>
      <c r="B68" t="str">
        <f t="shared" si="20"/>
        <v>3C1 Biomass burning (CH4)</v>
      </c>
      <c r="C68" t="str">
        <f>C67</f>
        <v>3C1e Biomass burning in Settlements</v>
      </c>
      <c r="D68" t="str">
        <f>EF!D98</f>
        <v>Mines</v>
      </c>
      <c r="E68" t="s">
        <v>738</v>
      </c>
      <c r="F68" t="str">
        <f t="shared" si="23"/>
        <v>CH4</v>
      </c>
      <c r="G68" t="str">
        <f t="shared" si="24"/>
        <v>Gg CH4</v>
      </c>
      <c r="H68" s="23">
        <f>INDEX('Activity data'!H$24:H$39,MATCH(Emissions!$D68,'Activity data'!$D$24:$D$39,0))*INDEX(EF!$H$84:$H$99,MATCH(Emissions!$D68,EF!$D$84:$D$99,0))*INDEX(EF!$H$100:$H$115,MATCH(Emissions!$D68,EF!$D$100:$D$115,0))*INDEX(EF!$H$116:$H$131,MATCH(Emissions!$D68,EF!$D$116:$D$131,0))*kgtoGg</f>
        <v>0</v>
      </c>
      <c r="I68" s="23">
        <f>INDEX('Activity data'!I$24:I$39,MATCH(Emissions!$D68,'Activity data'!$D$24:$D$39,0))*INDEX(EF!$H$84:$H$99,MATCH(Emissions!$D68,EF!$D$84:$D$99,0))*INDEX(EF!$H$100:$H$115,MATCH(Emissions!$D68,EF!$D$100:$D$115,0))*INDEX(EF!$H$116:$H$131,MATCH(Emissions!$D68,EF!$D$116:$D$131,0))*kgtoGg</f>
        <v>0</v>
      </c>
      <c r="J68" s="23">
        <f>INDEX('Activity data'!J$24:J$39,MATCH(Emissions!$D68,'Activity data'!$D$24:$D$39,0))*INDEX(EF!$H$84:$H$99,MATCH(Emissions!$D68,EF!$D$84:$D$99,0))*INDEX(EF!$H$100:$H$115,MATCH(Emissions!$D68,EF!$D$100:$D$115,0))*INDEX(EF!$H$116:$H$131,MATCH(Emissions!$D68,EF!$D$116:$D$131,0))*kgtoGg</f>
        <v>0</v>
      </c>
      <c r="K68" s="23">
        <f>INDEX('Activity data'!K$24:K$39,MATCH(Emissions!$D68,'Activity data'!$D$24:$D$39,0))*INDEX(EF!$H$84:$H$99,MATCH(Emissions!$D68,EF!$D$84:$D$99,0))*INDEX(EF!$H$100:$H$115,MATCH(Emissions!$D68,EF!$D$100:$D$115,0))*INDEX(EF!$H$116:$H$131,MATCH(Emissions!$D68,EF!$D$116:$D$131,0))*kgtoGg</f>
        <v>0</v>
      </c>
      <c r="L68" s="23">
        <f>INDEX('Activity data'!L$24:L$39,MATCH(Emissions!$D68,'Activity data'!$D$24:$D$39,0))*INDEX(EF!$H$84:$H$99,MATCH(Emissions!$D68,EF!$D$84:$D$99,0))*INDEX(EF!$H$100:$H$115,MATCH(Emissions!$D68,EF!$D$100:$D$115,0))*INDEX(EF!$H$116:$H$131,MATCH(Emissions!$D68,EF!$D$116:$D$131,0))*kgtoGg</f>
        <v>0</v>
      </c>
      <c r="M68" s="23">
        <f>INDEX('Activity data'!M$24:M$39,MATCH(Emissions!$D68,'Activity data'!$D$24:$D$39,0))*INDEX(EF!$H$84:$H$99,MATCH(Emissions!$D68,EF!$D$84:$D$99,0))*INDEX(EF!$H$100:$H$115,MATCH(Emissions!$D68,EF!$D$100:$D$115,0))*INDEX(EF!$H$116:$H$131,MATCH(Emissions!$D68,EF!$D$116:$D$131,0))*kgtoGg</f>
        <v>0</v>
      </c>
      <c r="N68" s="23">
        <f>INDEX('Activity data'!N$24:N$39,MATCH(Emissions!$D68,'Activity data'!$D$24:$D$39,0))*INDEX(EF!$H$84:$H$99,MATCH(Emissions!$D68,EF!$D$84:$D$99,0))*INDEX(EF!$H$100:$H$115,MATCH(Emissions!$D68,EF!$D$100:$D$115,0))*INDEX(EF!$H$116:$H$131,MATCH(Emissions!$D68,EF!$D$116:$D$131,0))*kgtoGg</f>
        <v>0</v>
      </c>
      <c r="O68" s="23">
        <f>INDEX('Activity data'!O$24:O$39,MATCH(Emissions!$D68,'Activity data'!$D$24:$D$39,0))*INDEX(EF!$H$84:$H$99,MATCH(Emissions!$D68,EF!$D$84:$D$99,0))*INDEX(EF!$H$100:$H$115,MATCH(Emissions!$D68,EF!$D$100:$D$115,0))*INDEX(EF!$H$116:$H$131,MATCH(Emissions!$D68,EF!$D$116:$D$131,0))*kgtoGg</f>
        <v>0</v>
      </c>
      <c r="P68" s="23">
        <f>INDEX('Activity data'!P$24:P$39,MATCH(Emissions!$D68,'Activity data'!$D$24:$D$39,0))*INDEX(EF!$H$84:$H$99,MATCH(Emissions!$D68,EF!$D$84:$D$99,0))*INDEX(EF!$H$100:$H$115,MATCH(Emissions!$D68,EF!$D$100:$D$115,0))*INDEX(EF!$H$116:$H$131,MATCH(Emissions!$D68,EF!$D$116:$D$131,0))*kgtoGg</f>
        <v>0</v>
      </c>
      <c r="Q68" s="23">
        <f>INDEX('Activity data'!Q$24:Q$39,MATCH(Emissions!$D68,'Activity data'!$D$24:$D$39,0))*INDEX(EF!$H$84:$H$99,MATCH(Emissions!$D68,EF!$D$84:$D$99,0))*INDEX(EF!$H$100:$H$115,MATCH(Emissions!$D68,EF!$D$100:$D$115,0))*INDEX(EF!$H$116:$H$131,MATCH(Emissions!$D68,EF!$D$116:$D$131,0))*kgtoGg</f>
        <v>0</v>
      </c>
      <c r="R68" s="23">
        <f>INDEX('Activity data'!R$24:R$39,MATCH(Emissions!$D68,'Activity data'!$D$24:$D$39,0))*INDEX(EF!$H$84:$H$99,MATCH(Emissions!$D68,EF!$D$84:$D$99,0))*INDEX(EF!$H$100:$H$115,MATCH(Emissions!$D68,EF!$D$100:$D$115,0))*INDEX(EF!$H$116:$H$131,MATCH(Emissions!$D68,EF!$D$116:$D$131,0))*kgtoGg</f>
        <v>0</v>
      </c>
      <c r="S68" s="23">
        <f>INDEX('Activity data'!S$24:S$39,MATCH(Emissions!$D68,'Activity data'!$D$24:$D$39,0))*INDEX(EF!$H$84:$H$99,MATCH(Emissions!$D68,EF!$D$84:$D$99,0))*INDEX(EF!$H$100:$H$115,MATCH(Emissions!$D68,EF!$D$100:$D$115,0))*INDEX(EF!$H$116:$H$131,MATCH(Emissions!$D68,EF!$D$116:$D$131,0))*kgtoGg</f>
        <v>0</v>
      </c>
      <c r="T68" s="23">
        <f>INDEX('Activity data'!T$24:T$39,MATCH(Emissions!$D68,'Activity data'!$D$24:$D$39,0))*INDEX(EF!$H$84:$H$99,MATCH(Emissions!$D68,EF!$D$84:$D$99,0))*INDEX(EF!$H$100:$H$115,MATCH(Emissions!$D68,EF!$D$100:$D$115,0))*INDEX(EF!$H$116:$H$131,MATCH(Emissions!$D68,EF!$D$116:$D$131,0))*kgtoGg</f>
        <v>0</v>
      </c>
      <c r="U68" s="23">
        <f>INDEX('Activity data'!U$24:U$39,MATCH(Emissions!$D68,'Activity data'!$D$24:$D$39,0))*INDEX(EF!$H$84:$H$99,MATCH(Emissions!$D68,EF!$D$84:$D$99,0))*INDEX(EF!$H$100:$H$115,MATCH(Emissions!$D68,EF!$D$100:$D$115,0))*INDEX(EF!$H$116:$H$131,MATCH(Emissions!$D68,EF!$D$116:$D$131,0))*kgtoGg</f>
        <v>0</v>
      </c>
      <c r="V68" s="23">
        <f>INDEX('Activity data'!V$24:V$39,MATCH(Emissions!$D68,'Activity data'!$D$24:$D$39,0))*INDEX(EF!$H$84:$H$99,MATCH(Emissions!$D68,EF!$D$84:$D$99,0))*INDEX(EF!$H$100:$H$115,MATCH(Emissions!$D68,EF!$D$100:$D$115,0))*INDEX(EF!$H$116:$H$131,MATCH(Emissions!$D68,EF!$D$116:$D$131,0))*kgtoGg</f>
        <v>0</v>
      </c>
      <c r="W68" s="23">
        <f>INDEX('Activity data'!W$24:W$39,MATCH(Emissions!$D68,'Activity data'!$D$24:$D$39,0))*INDEX(EF!$H$84:$H$99,MATCH(Emissions!$D68,EF!$D$84:$D$99,0))*INDEX(EF!$H$100:$H$115,MATCH(Emissions!$D68,EF!$D$100:$D$115,0))*INDEX(EF!$H$116:$H$131,MATCH(Emissions!$D68,EF!$D$116:$D$131,0))*kgtoGg</f>
        <v>0</v>
      </c>
      <c r="X68" s="23">
        <f>INDEX('Activity data'!X$24:X$39,MATCH(Emissions!$D68,'Activity data'!$D$24:$D$39,0))*INDEX(EF!$H$84:$H$99,MATCH(Emissions!$D68,EF!$D$84:$D$99,0))*INDEX(EF!$H$100:$H$115,MATCH(Emissions!$D68,EF!$D$100:$D$115,0))*INDEX(EF!$H$116:$H$131,MATCH(Emissions!$D68,EF!$D$116:$D$131,0))*kgtoGg</f>
        <v>0</v>
      </c>
      <c r="Y68" s="23">
        <f>INDEX('Activity data'!Y$24:Y$39,MATCH(Emissions!$D68,'Activity data'!$D$24:$D$39,0))*INDEX(EF!$H$84:$H$99,MATCH(Emissions!$D68,EF!$D$84:$D$99,0))*INDEX(EF!$H$100:$H$115,MATCH(Emissions!$D68,EF!$D$100:$D$115,0))*INDEX(EF!$H$116:$H$131,MATCH(Emissions!$D68,EF!$D$116:$D$131,0))*kgtoGg</f>
        <v>0</v>
      </c>
      <c r="Z68" s="23">
        <f>INDEX('Activity data'!Z$24:Z$39,MATCH(Emissions!$D68,'Activity data'!$D$24:$D$39,0))*INDEX(EF!$H$84:$H$99,MATCH(Emissions!$D68,EF!$D$84:$D$99,0))*INDEX(EF!$H$100:$H$115,MATCH(Emissions!$D68,EF!$D$100:$D$115,0))*INDEX(EF!$H$116:$H$131,MATCH(Emissions!$D68,EF!$D$116:$D$131,0))*kgtoGg</f>
        <v>0</v>
      </c>
      <c r="AA68" s="23">
        <f>INDEX('Activity data'!AA$24:AA$39,MATCH(Emissions!$D68,'Activity data'!$D$24:$D$39,0))*INDEX(EF!$H$84:$H$99,MATCH(Emissions!$D68,EF!$D$84:$D$99,0))*INDEX(EF!$H$100:$H$115,MATCH(Emissions!$D68,EF!$D$100:$D$115,0))*INDEX(EF!$H$116:$H$131,MATCH(Emissions!$D68,EF!$D$116:$D$131,0))*kgtoGg</f>
        <v>0</v>
      </c>
      <c r="AB68" s="23">
        <f>INDEX('Activity data'!AB$24:AB$39,MATCH(Emissions!$D68,'Activity data'!$D$24:$D$39,0))*INDEX(EF!$H$84:$H$99,MATCH(Emissions!$D68,EF!$D$84:$D$99,0))*INDEX(EF!$H$100:$H$115,MATCH(Emissions!$D68,EF!$D$100:$D$115,0))*INDEX(EF!$H$116:$H$131,MATCH(Emissions!$D68,EF!$D$116:$D$131,0))*kgtoGg</f>
        <v>0</v>
      </c>
      <c r="AC68" s="23">
        <f>INDEX('Activity data'!AC$24:AC$39,MATCH(Emissions!$D68,'Activity data'!$D$24:$D$39,0))*INDEX(EF!$H$84:$H$99,MATCH(Emissions!$D68,EF!$D$84:$D$99,0))*INDEX(EF!$H$100:$H$115,MATCH(Emissions!$D68,EF!$D$100:$D$115,0))*INDEX(EF!$H$116:$H$131,MATCH(Emissions!$D68,EF!$D$116:$D$131,0))*kgtoGg</f>
        <v>0</v>
      </c>
      <c r="AD68" s="23">
        <f>INDEX('Activity data'!AD$24:AD$39,MATCH(Emissions!$D68,'Activity data'!$D$24:$D$39,0))*INDEX(EF!$H$84:$H$99,MATCH(Emissions!$D68,EF!$D$84:$D$99,0))*INDEX(EF!$H$100:$H$115,MATCH(Emissions!$D68,EF!$D$100:$D$115,0))*INDEX(EF!$H$116:$H$131,MATCH(Emissions!$D68,EF!$D$116:$D$131,0))*kgtoGg</f>
        <v>0</v>
      </c>
      <c r="AE68" s="23">
        <f>INDEX('Activity data'!AE$24:AE$39,MATCH(Emissions!$D68,'Activity data'!$D$24:$D$39,0))*INDEX(EF!$H$84:$H$99,MATCH(Emissions!$D68,EF!$D$84:$D$99,0))*INDEX(EF!$H$100:$H$115,MATCH(Emissions!$D68,EF!$D$100:$D$115,0))*INDEX(EF!$H$116:$H$131,MATCH(Emissions!$D68,EF!$D$116:$D$131,0))*kgtoGg</f>
        <v>0</v>
      </c>
      <c r="AF68" s="23">
        <f>INDEX('Activity data'!AF$24:AF$39,MATCH(Emissions!$D68,'Activity data'!$D$24:$D$39,0))*INDEX(EF!$H$84:$H$99,MATCH(Emissions!$D68,EF!$D$84:$D$99,0))*INDEX(EF!$H$100:$H$115,MATCH(Emissions!$D68,EF!$D$100:$D$115,0))*INDEX(EF!$H$116:$H$131,MATCH(Emissions!$D68,EF!$D$116:$D$131,0))*kgtoGg</f>
        <v>0</v>
      </c>
      <c r="AG68" s="23">
        <f>INDEX('Activity data'!AG$24:AG$39,MATCH(Emissions!$D68,'Activity data'!$D$24:$D$39,0))*INDEX(EF!$H$84:$H$99,MATCH(Emissions!$D68,EF!$D$84:$D$99,0))*INDEX(EF!$H$100:$H$115,MATCH(Emissions!$D68,EF!$D$100:$D$115,0))*INDEX(EF!$H$116:$H$131,MATCH(Emissions!$D68,EF!$D$116:$D$131,0))*kgtoGg</f>
        <v>0</v>
      </c>
      <c r="AH68" s="23">
        <f>INDEX('Activity data'!AH$24:AH$39,MATCH(Emissions!$D68,'Activity data'!$D$24:$D$39,0))*INDEX(EF!$H$84:$H$99,MATCH(Emissions!$D68,EF!$D$84:$D$99,0))*INDEX(EF!$H$100:$H$115,MATCH(Emissions!$D68,EF!$D$100:$D$115,0))*INDEX(EF!$H$116:$H$131,MATCH(Emissions!$D68,EF!$D$116:$D$131,0))*kgtoGg</f>
        <v>0</v>
      </c>
      <c r="AI68" s="23">
        <f>INDEX('Activity data'!AI$24:AI$39,MATCH(Emissions!$D68,'Activity data'!$D$24:$D$39,0))*INDEX(EF!$H$84:$H$99,MATCH(Emissions!$D68,EF!$D$84:$D$99,0))*INDEX(EF!$H$100:$H$115,MATCH(Emissions!$D68,EF!$D$100:$D$115,0))*INDEX(EF!$H$116:$H$131,MATCH(Emissions!$D68,EF!$D$116:$D$131,0))*kgtoGg</f>
        <v>0</v>
      </c>
      <c r="AJ68" s="23">
        <f>INDEX('Activity data'!AJ$24:AJ$39,MATCH(Emissions!$D68,'Activity data'!$D$24:$D$39,0))*INDEX(EF!$H$84:$H$99,MATCH(Emissions!$D68,EF!$D$84:$D$99,0))*INDEX(EF!$H$100:$H$115,MATCH(Emissions!$D68,EF!$D$100:$D$115,0))*INDEX(EF!$H$116:$H$131,MATCH(Emissions!$D68,EF!$D$116:$D$131,0))*kgtoGg</f>
        <v>0</v>
      </c>
      <c r="AK68" s="23">
        <f>INDEX('Activity data'!AK$24:AK$39,MATCH(Emissions!$D68,'Activity data'!$D$24:$D$39,0))*INDEX(EF!$H$84:$H$99,MATCH(Emissions!$D68,EF!$D$84:$D$99,0))*INDEX(EF!$H$100:$H$115,MATCH(Emissions!$D68,EF!$D$100:$D$115,0))*INDEX(EF!$H$116:$H$131,MATCH(Emissions!$D68,EF!$D$116:$D$131,0))*kgtoGg</f>
        <v>0</v>
      </c>
      <c r="AL68" s="23">
        <f>INDEX('Activity data'!AL$24:AL$39,MATCH(Emissions!$D68,'Activity data'!$D$24:$D$39,0))*INDEX(EF!$H$84:$H$99,MATCH(Emissions!$D68,EF!$D$84:$D$99,0))*INDEX(EF!$H$100:$H$115,MATCH(Emissions!$D68,EF!$D$100:$D$115,0))*INDEX(EF!$H$116:$H$131,MATCH(Emissions!$D68,EF!$D$116:$D$131,0))*kgtoGg</f>
        <v>0</v>
      </c>
      <c r="AM68" s="23">
        <f>INDEX('Activity data'!AM$24:AM$39,MATCH(Emissions!$D68,'Activity data'!$D$24:$D$39,0))*INDEX(EF!$H$84:$H$99,MATCH(Emissions!$D68,EF!$D$84:$D$99,0))*INDEX(EF!$H$100:$H$115,MATCH(Emissions!$D68,EF!$D$100:$D$115,0))*INDEX(EF!$H$116:$H$131,MATCH(Emissions!$D68,EF!$D$116:$D$131,0))*kgtoGg</f>
        <v>0</v>
      </c>
      <c r="AN68" s="23">
        <f>INDEX('Activity data'!AN$24:AN$39,MATCH(Emissions!$D68,'Activity data'!$D$24:$D$39,0))*INDEX(EF!$H$84:$H$99,MATCH(Emissions!$D68,EF!$D$84:$D$99,0))*INDEX(EF!$H$100:$H$115,MATCH(Emissions!$D68,EF!$D$100:$D$115,0))*INDEX(EF!$H$116:$H$131,MATCH(Emissions!$D68,EF!$D$116:$D$131,0))*kgtoGg</f>
        <v>0</v>
      </c>
      <c r="AO68" s="23">
        <f>INDEX('Activity data'!AO$24:AO$39,MATCH(Emissions!$D68,'Activity data'!$D$24:$D$39,0))*INDEX(EF!$H$84:$H$99,MATCH(Emissions!$D68,EF!$D$84:$D$99,0))*INDEX(EF!$H$100:$H$115,MATCH(Emissions!$D68,EF!$D$100:$D$115,0))*INDEX(EF!$H$116:$H$131,MATCH(Emissions!$D68,EF!$D$116:$D$131,0))*kgtoGg</f>
        <v>0</v>
      </c>
      <c r="AP68" s="23">
        <f>INDEX('Activity data'!AP$24:AP$39,MATCH(Emissions!$D68,'Activity data'!$D$24:$D$39,0))*INDEX(EF!$H$84:$H$99,MATCH(Emissions!$D68,EF!$D$84:$D$99,0))*INDEX(EF!$H$100:$H$115,MATCH(Emissions!$D68,EF!$D$100:$D$115,0))*INDEX(EF!$H$116:$H$131,MATCH(Emissions!$D68,EF!$D$116:$D$131,0))*kgtoGg</f>
        <v>0</v>
      </c>
      <c r="AQ68" s="23">
        <f>INDEX('Activity data'!AQ$24:AQ$39,MATCH(Emissions!$D68,'Activity data'!$D$24:$D$39,0))*INDEX(EF!$H$84:$H$99,MATCH(Emissions!$D68,EF!$D$84:$D$99,0))*INDEX(EF!$H$100:$H$115,MATCH(Emissions!$D68,EF!$D$100:$D$115,0))*INDEX(EF!$H$116:$H$131,MATCH(Emissions!$D68,EF!$D$116:$D$131,0))*kgtoGg</f>
        <v>0</v>
      </c>
      <c r="AR68" s="23">
        <f>INDEX('Activity data'!AR$24:AR$39,MATCH(Emissions!$D68,'Activity data'!$D$24:$D$39,0))*INDEX(EF!$H$84:$H$99,MATCH(Emissions!$D68,EF!$D$84:$D$99,0))*INDEX(EF!$H$100:$H$115,MATCH(Emissions!$D68,EF!$D$100:$D$115,0))*INDEX(EF!$H$116:$H$131,MATCH(Emissions!$D68,EF!$D$116:$D$131,0))*kgtoGg</f>
        <v>0</v>
      </c>
      <c r="AS68" s="23">
        <f>INDEX('Activity data'!AS$24:AS$39,MATCH(Emissions!$D68,'Activity data'!$D$24:$D$39,0))*INDEX(EF!$H$84:$H$99,MATCH(Emissions!$D68,EF!$D$84:$D$99,0))*INDEX(EF!$H$100:$H$115,MATCH(Emissions!$D68,EF!$D$100:$D$115,0))*INDEX(EF!$H$116:$H$131,MATCH(Emissions!$D68,EF!$D$116:$D$131,0))*kgtoGg</f>
        <v>0</v>
      </c>
      <c r="AT68" s="23">
        <f>INDEX('Activity data'!AT$24:AT$39,MATCH(Emissions!$D68,'Activity data'!$D$24:$D$39,0))*INDEX(EF!$H$84:$H$99,MATCH(Emissions!$D68,EF!$D$84:$D$99,0))*INDEX(EF!$H$100:$H$115,MATCH(Emissions!$D68,EF!$D$100:$D$115,0))*INDEX(EF!$H$116:$H$131,MATCH(Emissions!$D68,EF!$D$116:$D$131,0))*kgtoGg</f>
        <v>0</v>
      </c>
      <c r="AU68" s="23">
        <f>INDEX('Activity data'!AU$24:AU$39,MATCH(Emissions!$D68,'Activity data'!$D$24:$D$39,0))*INDEX(EF!$H$84:$H$99,MATCH(Emissions!$D68,EF!$D$84:$D$99,0))*INDEX(EF!$H$100:$H$115,MATCH(Emissions!$D68,EF!$D$100:$D$115,0))*INDEX(EF!$H$116:$H$131,MATCH(Emissions!$D68,EF!$D$116:$D$131,0))*kgtoGg</f>
        <v>0</v>
      </c>
      <c r="AV68" s="23">
        <f>INDEX('Activity data'!AV$24:AV$39,MATCH(Emissions!$D68,'Activity data'!$D$24:$D$39,0))*INDEX(EF!$H$84:$H$99,MATCH(Emissions!$D68,EF!$D$84:$D$99,0))*INDEX(EF!$H$100:$H$115,MATCH(Emissions!$D68,EF!$D$100:$D$115,0))*INDEX(EF!$H$116:$H$131,MATCH(Emissions!$D68,EF!$D$116:$D$131,0))*kgtoGg</f>
        <v>0</v>
      </c>
      <c r="AW68" s="23">
        <f>INDEX('Activity data'!AW$24:AW$39,MATCH(Emissions!$D68,'Activity data'!$D$24:$D$39,0))*INDEX(EF!$H$84:$H$99,MATCH(Emissions!$D68,EF!$D$84:$D$99,0))*INDEX(EF!$H$100:$H$115,MATCH(Emissions!$D68,EF!$D$100:$D$115,0))*INDEX(EF!$H$116:$H$131,MATCH(Emissions!$D68,EF!$D$116:$D$131,0))*kgtoGg</f>
        <v>0</v>
      </c>
      <c r="AX68" s="23">
        <f>INDEX('Activity data'!AX$24:AX$39,MATCH(Emissions!$D68,'Activity data'!$D$24:$D$39,0))*INDEX(EF!$H$84:$H$99,MATCH(Emissions!$D68,EF!$D$84:$D$99,0))*INDEX(EF!$H$100:$H$115,MATCH(Emissions!$D68,EF!$D$100:$D$115,0))*INDEX(EF!$H$116:$H$131,MATCH(Emissions!$D68,EF!$D$116:$D$131,0))*kgtoGg</f>
        <v>0</v>
      </c>
      <c r="AY68" s="23">
        <f>INDEX('Activity data'!AY$24:AY$39,MATCH(Emissions!$D68,'Activity data'!$D$24:$D$39,0))*INDEX(EF!$H$84:$H$99,MATCH(Emissions!$D68,EF!$D$84:$D$99,0))*INDEX(EF!$H$100:$H$115,MATCH(Emissions!$D68,EF!$D$100:$D$115,0))*INDEX(EF!$H$116:$H$131,MATCH(Emissions!$D68,EF!$D$116:$D$131,0))*kgtoGg</f>
        <v>0</v>
      </c>
      <c r="AZ68" s="23">
        <f>INDEX('Activity data'!AZ$24:AZ$39,MATCH(Emissions!$D68,'Activity data'!$D$24:$D$39,0))*INDEX(EF!$H$84:$H$99,MATCH(Emissions!$D68,EF!$D$84:$D$99,0))*INDEX(EF!$H$100:$H$115,MATCH(Emissions!$D68,EF!$D$100:$D$115,0))*INDEX(EF!$H$116:$H$131,MATCH(Emissions!$D68,EF!$D$116:$D$131,0))*kgtoGg</f>
        <v>0</v>
      </c>
      <c r="BA68" s="23">
        <f>INDEX('Activity data'!BA$24:BA$39,MATCH(Emissions!$D68,'Activity data'!$D$24:$D$39,0))*INDEX(EF!$H$84:$H$99,MATCH(Emissions!$D68,EF!$D$84:$D$99,0))*INDEX(EF!$H$100:$H$115,MATCH(Emissions!$D68,EF!$D$100:$D$115,0))*INDEX(EF!$H$116:$H$131,MATCH(Emissions!$D68,EF!$D$116:$D$131,0))*kgtoGg</f>
        <v>0</v>
      </c>
      <c r="BB68" s="23">
        <f>INDEX('Activity data'!BB$24:BB$39,MATCH(Emissions!$D68,'Activity data'!$D$24:$D$39,0))*INDEX(EF!$H$84:$H$99,MATCH(Emissions!$D68,EF!$D$84:$D$99,0))*INDEX(EF!$H$100:$H$115,MATCH(Emissions!$D68,EF!$D$100:$D$115,0))*INDEX(EF!$H$116:$H$131,MATCH(Emissions!$D68,EF!$D$116:$D$131,0))*kgtoGg</f>
        <v>0</v>
      </c>
      <c r="BC68" s="23">
        <f>INDEX('Activity data'!BC$24:BC$39,MATCH(Emissions!$D68,'Activity data'!$D$24:$D$39,0))*INDEX(EF!$H$84:$H$99,MATCH(Emissions!$D68,EF!$D$84:$D$99,0))*INDEX(EF!$H$100:$H$115,MATCH(Emissions!$D68,EF!$D$100:$D$115,0))*INDEX(EF!$H$116:$H$131,MATCH(Emissions!$D68,EF!$D$116:$D$131,0))*kgtoGg</f>
        <v>0</v>
      </c>
      <c r="BD68" s="23">
        <f>INDEX('Activity data'!BD$24:BD$39,MATCH(Emissions!$D68,'Activity data'!$D$24:$D$39,0))*INDEX(EF!$H$84:$H$99,MATCH(Emissions!$D68,EF!$D$84:$D$99,0))*INDEX(EF!$H$100:$H$115,MATCH(Emissions!$D68,EF!$D$100:$D$115,0))*INDEX(EF!$H$116:$H$131,MATCH(Emissions!$D68,EF!$D$116:$D$131,0))*kgtoGg</f>
        <v>0</v>
      </c>
      <c r="BE68" s="23">
        <f>INDEX('Activity data'!BE$24:BE$39,MATCH(Emissions!$D68,'Activity data'!$D$24:$D$39,0))*INDEX(EF!$H$84:$H$99,MATCH(Emissions!$D68,EF!$D$84:$D$99,0))*INDEX(EF!$H$100:$H$115,MATCH(Emissions!$D68,EF!$D$100:$D$115,0))*INDEX(EF!$H$116:$H$131,MATCH(Emissions!$D68,EF!$D$116:$D$131,0))*kgtoGg</f>
        <v>0</v>
      </c>
      <c r="BF68" s="23">
        <f>INDEX('Activity data'!BF$24:BF$39,MATCH(Emissions!$D68,'Activity data'!$D$24:$D$39,0))*INDEX(EF!$H$84:$H$99,MATCH(Emissions!$D68,EF!$D$84:$D$99,0))*INDEX(EF!$H$100:$H$115,MATCH(Emissions!$D68,EF!$D$100:$D$115,0))*INDEX(EF!$H$116:$H$131,MATCH(Emissions!$D68,EF!$D$116:$D$131,0))*kgtoGg</f>
        <v>0</v>
      </c>
      <c r="BG68" s="23">
        <f>INDEX('Activity data'!BG$24:BG$39,MATCH(Emissions!$D68,'Activity data'!$D$24:$D$39,0))*INDEX(EF!$H$84:$H$99,MATCH(Emissions!$D68,EF!$D$84:$D$99,0))*INDEX(EF!$H$100:$H$115,MATCH(Emissions!$D68,EF!$D$100:$D$115,0))*INDEX(EF!$H$116:$H$131,MATCH(Emissions!$D68,EF!$D$116:$D$131,0))*kgtoGg</f>
        <v>0</v>
      </c>
      <c r="BH68" s="23">
        <f>INDEX('Activity data'!BH$24:BH$39,MATCH(Emissions!$D68,'Activity data'!$D$24:$D$39,0))*INDEX(EF!$H$84:$H$99,MATCH(Emissions!$D68,EF!$D$84:$D$99,0))*INDEX(EF!$H$100:$H$115,MATCH(Emissions!$D68,EF!$D$100:$D$115,0))*INDEX(EF!$H$116:$H$131,MATCH(Emissions!$D68,EF!$D$116:$D$131,0))*kgtoGg</f>
        <v>0</v>
      </c>
      <c r="BI68" s="23">
        <f>INDEX('Activity data'!BI$24:BI$39,MATCH(Emissions!$D68,'Activity data'!$D$24:$D$39,0))*INDEX(EF!$H$84:$H$99,MATCH(Emissions!$D68,EF!$D$84:$D$99,0))*INDEX(EF!$H$100:$H$115,MATCH(Emissions!$D68,EF!$D$100:$D$115,0))*INDEX(EF!$H$116:$H$131,MATCH(Emissions!$D68,EF!$D$116:$D$131,0))*kgtoGg</f>
        <v>0</v>
      </c>
      <c r="BJ68" s="23">
        <f>INDEX('Activity data'!BJ$24:BJ$39,MATCH(Emissions!$D68,'Activity data'!$D$24:$D$39,0))*INDEX(EF!$H$84:$H$99,MATCH(Emissions!$D68,EF!$D$84:$D$99,0))*INDEX(EF!$H$100:$H$115,MATCH(Emissions!$D68,EF!$D$100:$D$115,0))*INDEX(EF!$H$116:$H$131,MATCH(Emissions!$D68,EF!$D$116:$D$131,0))*kgtoGg</f>
        <v>0</v>
      </c>
      <c r="BK68" s="23">
        <f>INDEX('Activity data'!BK$24:BK$39,MATCH(Emissions!$D68,'Activity data'!$D$24:$D$39,0))*INDEX(EF!$H$84:$H$99,MATCH(Emissions!$D68,EF!$D$84:$D$99,0))*INDEX(EF!$H$100:$H$115,MATCH(Emissions!$D68,EF!$D$100:$D$115,0))*INDEX(EF!$H$116:$H$131,MATCH(Emissions!$D68,EF!$D$116:$D$131,0))*kgtoGg</f>
        <v>0</v>
      </c>
      <c r="BL68" s="23">
        <f>INDEX('Activity data'!BL$24:BL$39,MATCH(Emissions!$D68,'Activity data'!$D$24:$D$39,0))*INDEX(EF!$H$84:$H$99,MATCH(Emissions!$D68,EF!$D$84:$D$99,0))*INDEX(EF!$H$100:$H$115,MATCH(Emissions!$D68,EF!$D$100:$D$115,0))*INDEX(EF!$H$116:$H$131,MATCH(Emissions!$D68,EF!$D$116:$D$131,0))*kgtoGg</f>
        <v>0</v>
      </c>
      <c r="BM68" s="23">
        <f>INDEX('Activity data'!BM$24:BM$39,MATCH(Emissions!$D68,'Activity data'!$D$24:$D$39,0))*INDEX(EF!$H$84:$H$99,MATCH(Emissions!$D68,EF!$D$84:$D$99,0))*INDEX(EF!$H$100:$H$115,MATCH(Emissions!$D68,EF!$D$100:$D$115,0))*INDEX(EF!$H$116:$H$131,MATCH(Emissions!$D68,EF!$D$116:$D$131,0))*kgtoGg</f>
        <v>0</v>
      </c>
      <c r="BN68" s="23">
        <f>INDEX('Activity data'!BN$24:BN$39,MATCH(Emissions!$D68,'Activity data'!$D$24:$D$39,0))*INDEX(EF!$H$84:$H$99,MATCH(Emissions!$D68,EF!$D$84:$D$99,0))*INDEX(EF!$H$100:$H$115,MATCH(Emissions!$D68,EF!$D$100:$D$115,0))*INDEX(EF!$H$116:$H$131,MATCH(Emissions!$D68,EF!$D$116:$D$131,0))*kgtoGg</f>
        <v>0</v>
      </c>
      <c r="BO68" s="23">
        <f>INDEX('Activity data'!BO$24:BO$39,MATCH(Emissions!$D68,'Activity data'!$D$24:$D$39,0))*INDEX(EF!$H$84:$H$99,MATCH(Emissions!$D68,EF!$D$84:$D$99,0))*INDEX(EF!$H$100:$H$115,MATCH(Emissions!$D68,EF!$D$100:$D$115,0))*INDEX(EF!$H$116:$H$131,MATCH(Emissions!$D68,EF!$D$116:$D$131,0))*kgtoGg</f>
        <v>0</v>
      </c>
      <c r="BP68" s="23">
        <f>INDEX('Activity data'!BP$24:BP$39,MATCH(Emissions!$D68,'Activity data'!$D$24:$D$39,0))*INDEX(EF!$H$84:$H$99,MATCH(Emissions!$D68,EF!$D$84:$D$99,0))*INDEX(EF!$H$100:$H$115,MATCH(Emissions!$D68,EF!$D$100:$D$115,0))*INDEX(EF!$H$116:$H$131,MATCH(Emissions!$D68,EF!$D$116:$D$131,0))*kgtoGg</f>
        <v>0</v>
      </c>
    </row>
    <row r="69" spans="1:68" x14ac:dyDescent="0.25">
      <c r="A69" t="str">
        <f t="shared" si="19"/>
        <v>3C Aggregated and non-CO2 emissions on land</v>
      </c>
      <c r="B69" t="str">
        <f t="shared" si="20"/>
        <v>3C1 Biomass burning (CH4)</v>
      </c>
      <c r="C69" t="str">
        <f>'IPCC Categories'!C64</f>
        <v>3C1f Biomass burning in Other lands</v>
      </c>
      <c r="D69" t="str">
        <f>EF!D99</f>
        <v>Bare ground</v>
      </c>
      <c r="E69" t="s">
        <v>739</v>
      </c>
      <c r="F69" t="str">
        <f t="shared" si="23"/>
        <v>CH4</v>
      </c>
      <c r="G69" t="str">
        <f t="shared" si="24"/>
        <v>Gg CH4</v>
      </c>
      <c r="H69" s="23">
        <f>INDEX('Activity data'!H$24:H$39,MATCH(Emissions!$D69,'Activity data'!$D$24:$D$39,0))*INDEX(EF!$H$84:$H$99,MATCH(Emissions!$D69,EF!$D$84:$D$99,0))*INDEX(EF!$H$100:$H$115,MATCH(Emissions!$D69,EF!$D$100:$D$115,0))*INDEX(EF!$H$116:$H$131,MATCH(Emissions!$D69,EF!$D$116:$D$131,0))*kgtoGg</f>
        <v>0</v>
      </c>
      <c r="I69" s="23">
        <f>INDEX('Activity data'!I$24:I$39,MATCH(Emissions!$D69,'Activity data'!$D$24:$D$39,0))*INDEX(EF!$H$84:$H$99,MATCH(Emissions!$D69,EF!$D$84:$D$99,0))*INDEX(EF!$H$100:$H$115,MATCH(Emissions!$D69,EF!$D$100:$D$115,0))*INDEX(EF!$H$116:$H$131,MATCH(Emissions!$D69,EF!$D$116:$D$131,0))*kgtoGg</f>
        <v>0</v>
      </c>
      <c r="J69" s="23">
        <f>INDEX('Activity data'!J$24:J$39,MATCH(Emissions!$D69,'Activity data'!$D$24:$D$39,0))*INDEX(EF!$H$84:$H$99,MATCH(Emissions!$D69,EF!$D$84:$D$99,0))*INDEX(EF!$H$100:$H$115,MATCH(Emissions!$D69,EF!$D$100:$D$115,0))*INDEX(EF!$H$116:$H$131,MATCH(Emissions!$D69,EF!$D$116:$D$131,0))*kgtoGg</f>
        <v>0</v>
      </c>
      <c r="K69" s="23">
        <f>INDEX('Activity data'!K$24:K$39,MATCH(Emissions!$D69,'Activity data'!$D$24:$D$39,0))*INDEX(EF!$H$84:$H$99,MATCH(Emissions!$D69,EF!$D$84:$D$99,0))*INDEX(EF!$H$100:$H$115,MATCH(Emissions!$D69,EF!$D$100:$D$115,0))*INDEX(EF!$H$116:$H$131,MATCH(Emissions!$D69,EF!$D$116:$D$131,0))*kgtoGg</f>
        <v>0</v>
      </c>
      <c r="L69" s="23">
        <f>INDEX('Activity data'!L$24:L$39,MATCH(Emissions!$D69,'Activity data'!$D$24:$D$39,0))*INDEX(EF!$H$84:$H$99,MATCH(Emissions!$D69,EF!$D$84:$D$99,0))*INDEX(EF!$H$100:$H$115,MATCH(Emissions!$D69,EF!$D$100:$D$115,0))*INDEX(EF!$H$116:$H$131,MATCH(Emissions!$D69,EF!$D$116:$D$131,0))*kgtoGg</f>
        <v>0</v>
      </c>
      <c r="M69" s="23">
        <f>INDEX('Activity data'!M$24:M$39,MATCH(Emissions!$D69,'Activity data'!$D$24:$D$39,0))*INDEX(EF!$H$84:$H$99,MATCH(Emissions!$D69,EF!$D$84:$D$99,0))*INDEX(EF!$H$100:$H$115,MATCH(Emissions!$D69,EF!$D$100:$D$115,0))*INDEX(EF!$H$116:$H$131,MATCH(Emissions!$D69,EF!$D$116:$D$131,0))*kgtoGg</f>
        <v>0</v>
      </c>
      <c r="N69" s="23">
        <f>INDEX('Activity data'!N$24:N$39,MATCH(Emissions!$D69,'Activity data'!$D$24:$D$39,0))*INDEX(EF!$H$84:$H$99,MATCH(Emissions!$D69,EF!$D$84:$D$99,0))*INDEX(EF!$H$100:$H$115,MATCH(Emissions!$D69,EF!$D$100:$D$115,0))*INDEX(EF!$H$116:$H$131,MATCH(Emissions!$D69,EF!$D$116:$D$131,0))*kgtoGg</f>
        <v>0</v>
      </c>
      <c r="O69" s="23">
        <f>INDEX('Activity data'!O$24:O$39,MATCH(Emissions!$D69,'Activity data'!$D$24:$D$39,0))*INDEX(EF!$H$84:$H$99,MATCH(Emissions!$D69,EF!$D$84:$D$99,0))*INDEX(EF!$H$100:$H$115,MATCH(Emissions!$D69,EF!$D$100:$D$115,0))*INDEX(EF!$H$116:$H$131,MATCH(Emissions!$D69,EF!$D$116:$D$131,0))*kgtoGg</f>
        <v>0</v>
      </c>
      <c r="P69" s="23">
        <f>INDEX('Activity data'!P$24:P$39,MATCH(Emissions!$D69,'Activity data'!$D$24:$D$39,0))*INDEX(EF!$H$84:$H$99,MATCH(Emissions!$D69,EF!$D$84:$D$99,0))*INDEX(EF!$H$100:$H$115,MATCH(Emissions!$D69,EF!$D$100:$D$115,0))*INDEX(EF!$H$116:$H$131,MATCH(Emissions!$D69,EF!$D$116:$D$131,0))*kgtoGg</f>
        <v>0</v>
      </c>
      <c r="Q69" s="23">
        <f>INDEX('Activity data'!Q$24:Q$39,MATCH(Emissions!$D69,'Activity data'!$D$24:$D$39,0))*INDEX(EF!$H$84:$H$99,MATCH(Emissions!$D69,EF!$D$84:$D$99,0))*INDEX(EF!$H$100:$H$115,MATCH(Emissions!$D69,EF!$D$100:$D$115,0))*INDEX(EF!$H$116:$H$131,MATCH(Emissions!$D69,EF!$D$116:$D$131,0))*kgtoGg</f>
        <v>0</v>
      </c>
      <c r="R69" s="23">
        <f>INDEX('Activity data'!R$24:R$39,MATCH(Emissions!$D69,'Activity data'!$D$24:$D$39,0))*INDEX(EF!$H$84:$H$99,MATCH(Emissions!$D69,EF!$D$84:$D$99,0))*INDEX(EF!$H$100:$H$115,MATCH(Emissions!$D69,EF!$D$100:$D$115,0))*INDEX(EF!$H$116:$H$131,MATCH(Emissions!$D69,EF!$D$116:$D$131,0))*kgtoGg</f>
        <v>0</v>
      </c>
      <c r="S69" s="23">
        <f>INDEX('Activity data'!S$24:S$39,MATCH(Emissions!$D69,'Activity data'!$D$24:$D$39,0))*INDEX(EF!$H$84:$H$99,MATCH(Emissions!$D69,EF!$D$84:$D$99,0))*INDEX(EF!$H$100:$H$115,MATCH(Emissions!$D69,EF!$D$100:$D$115,0))*INDEX(EF!$H$116:$H$131,MATCH(Emissions!$D69,EF!$D$116:$D$131,0))*kgtoGg</f>
        <v>0</v>
      </c>
      <c r="T69" s="23">
        <f>INDEX('Activity data'!T$24:T$39,MATCH(Emissions!$D69,'Activity data'!$D$24:$D$39,0))*INDEX(EF!$H$84:$H$99,MATCH(Emissions!$D69,EF!$D$84:$D$99,0))*INDEX(EF!$H$100:$H$115,MATCH(Emissions!$D69,EF!$D$100:$D$115,0))*INDEX(EF!$H$116:$H$131,MATCH(Emissions!$D69,EF!$D$116:$D$131,0))*kgtoGg</f>
        <v>0</v>
      </c>
      <c r="U69" s="23">
        <f>INDEX('Activity data'!U$24:U$39,MATCH(Emissions!$D69,'Activity data'!$D$24:$D$39,0))*INDEX(EF!$H$84:$H$99,MATCH(Emissions!$D69,EF!$D$84:$D$99,0))*INDEX(EF!$H$100:$H$115,MATCH(Emissions!$D69,EF!$D$100:$D$115,0))*INDEX(EF!$H$116:$H$131,MATCH(Emissions!$D69,EF!$D$116:$D$131,0))*kgtoGg</f>
        <v>0</v>
      </c>
      <c r="V69" s="23">
        <f>INDEX('Activity data'!V$24:V$39,MATCH(Emissions!$D69,'Activity data'!$D$24:$D$39,0))*INDEX(EF!$H$84:$H$99,MATCH(Emissions!$D69,EF!$D$84:$D$99,0))*INDEX(EF!$H$100:$H$115,MATCH(Emissions!$D69,EF!$D$100:$D$115,0))*INDEX(EF!$H$116:$H$131,MATCH(Emissions!$D69,EF!$D$116:$D$131,0))*kgtoGg</f>
        <v>0</v>
      </c>
      <c r="W69" s="23">
        <f>INDEX('Activity data'!W$24:W$39,MATCH(Emissions!$D69,'Activity data'!$D$24:$D$39,0))*INDEX(EF!$H$84:$H$99,MATCH(Emissions!$D69,EF!$D$84:$D$99,0))*INDEX(EF!$H$100:$H$115,MATCH(Emissions!$D69,EF!$D$100:$D$115,0))*INDEX(EF!$H$116:$H$131,MATCH(Emissions!$D69,EF!$D$116:$D$131,0))*kgtoGg</f>
        <v>0</v>
      </c>
      <c r="X69" s="23">
        <f>INDEX('Activity data'!X$24:X$39,MATCH(Emissions!$D69,'Activity data'!$D$24:$D$39,0))*INDEX(EF!$H$84:$H$99,MATCH(Emissions!$D69,EF!$D$84:$D$99,0))*INDEX(EF!$H$100:$H$115,MATCH(Emissions!$D69,EF!$D$100:$D$115,0))*INDEX(EF!$H$116:$H$131,MATCH(Emissions!$D69,EF!$D$116:$D$131,0))*kgtoGg</f>
        <v>0</v>
      </c>
      <c r="Y69" s="23">
        <f>INDEX('Activity data'!Y$24:Y$39,MATCH(Emissions!$D69,'Activity data'!$D$24:$D$39,0))*INDEX(EF!$H$84:$H$99,MATCH(Emissions!$D69,EF!$D$84:$D$99,0))*INDEX(EF!$H$100:$H$115,MATCH(Emissions!$D69,EF!$D$100:$D$115,0))*INDEX(EF!$H$116:$H$131,MATCH(Emissions!$D69,EF!$D$116:$D$131,0))*kgtoGg</f>
        <v>0</v>
      </c>
      <c r="Z69" s="23">
        <f>INDEX('Activity data'!Z$24:Z$39,MATCH(Emissions!$D69,'Activity data'!$D$24:$D$39,0))*INDEX(EF!$H$84:$H$99,MATCH(Emissions!$D69,EF!$D$84:$D$99,0))*INDEX(EF!$H$100:$H$115,MATCH(Emissions!$D69,EF!$D$100:$D$115,0))*INDEX(EF!$H$116:$H$131,MATCH(Emissions!$D69,EF!$D$116:$D$131,0))*kgtoGg</f>
        <v>0</v>
      </c>
      <c r="AA69" s="23">
        <f>INDEX('Activity data'!AA$24:AA$39,MATCH(Emissions!$D69,'Activity data'!$D$24:$D$39,0))*INDEX(EF!$H$84:$H$99,MATCH(Emissions!$D69,EF!$D$84:$D$99,0))*INDEX(EF!$H$100:$H$115,MATCH(Emissions!$D69,EF!$D$100:$D$115,0))*INDEX(EF!$H$116:$H$131,MATCH(Emissions!$D69,EF!$D$116:$D$131,0))*kgtoGg</f>
        <v>0</v>
      </c>
      <c r="AB69" s="23">
        <f>INDEX('Activity data'!AB$24:AB$39,MATCH(Emissions!$D69,'Activity data'!$D$24:$D$39,0))*INDEX(EF!$H$84:$H$99,MATCH(Emissions!$D69,EF!$D$84:$D$99,0))*INDEX(EF!$H$100:$H$115,MATCH(Emissions!$D69,EF!$D$100:$D$115,0))*INDEX(EF!$H$116:$H$131,MATCH(Emissions!$D69,EF!$D$116:$D$131,0))*kgtoGg</f>
        <v>0</v>
      </c>
      <c r="AC69" s="23">
        <f>INDEX('Activity data'!AC$24:AC$39,MATCH(Emissions!$D69,'Activity data'!$D$24:$D$39,0))*INDEX(EF!$H$84:$H$99,MATCH(Emissions!$D69,EF!$D$84:$D$99,0))*INDEX(EF!$H$100:$H$115,MATCH(Emissions!$D69,EF!$D$100:$D$115,0))*INDEX(EF!$H$116:$H$131,MATCH(Emissions!$D69,EF!$D$116:$D$131,0))*kgtoGg</f>
        <v>0</v>
      </c>
      <c r="AD69" s="23">
        <f>INDEX('Activity data'!AD$24:AD$39,MATCH(Emissions!$D69,'Activity data'!$D$24:$D$39,0))*INDEX(EF!$H$84:$H$99,MATCH(Emissions!$D69,EF!$D$84:$D$99,0))*INDEX(EF!$H$100:$H$115,MATCH(Emissions!$D69,EF!$D$100:$D$115,0))*INDEX(EF!$H$116:$H$131,MATCH(Emissions!$D69,EF!$D$116:$D$131,0))*kgtoGg</f>
        <v>0</v>
      </c>
      <c r="AE69" s="23">
        <f>INDEX('Activity data'!AE$24:AE$39,MATCH(Emissions!$D69,'Activity data'!$D$24:$D$39,0))*INDEX(EF!$H$84:$H$99,MATCH(Emissions!$D69,EF!$D$84:$D$99,0))*INDEX(EF!$H$100:$H$115,MATCH(Emissions!$D69,EF!$D$100:$D$115,0))*INDEX(EF!$H$116:$H$131,MATCH(Emissions!$D69,EF!$D$116:$D$131,0))*kgtoGg</f>
        <v>0</v>
      </c>
      <c r="AF69" s="23">
        <f>INDEX('Activity data'!AF$24:AF$39,MATCH(Emissions!$D69,'Activity data'!$D$24:$D$39,0))*INDEX(EF!$H$84:$H$99,MATCH(Emissions!$D69,EF!$D$84:$D$99,0))*INDEX(EF!$H$100:$H$115,MATCH(Emissions!$D69,EF!$D$100:$D$115,0))*INDEX(EF!$H$116:$H$131,MATCH(Emissions!$D69,EF!$D$116:$D$131,0))*kgtoGg</f>
        <v>0</v>
      </c>
      <c r="AG69" s="23">
        <f>INDEX('Activity data'!AG$24:AG$39,MATCH(Emissions!$D69,'Activity data'!$D$24:$D$39,0))*INDEX(EF!$H$84:$H$99,MATCH(Emissions!$D69,EF!$D$84:$D$99,0))*INDEX(EF!$H$100:$H$115,MATCH(Emissions!$D69,EF!$D$100:$D$115,0))*INDEX(EF!$H$116:$H$131,MATCH(Emissions!$D69,EF!$D$116:$D$131,0))*kgtoGg</f>
        <v>0</v>
      </c>
      <c r="AH69" s="23">
        <f>INDEX('Activity data'!AH$24:AH$39,MATCH(Emissions!$D69,'Activity data'!$D$24:$D$39,0))*INDEX(EF!$H$84:$H$99,MATCH(Emissions!$D69,EF!$D$84:$D$99,0))*INDEX(EF!$H$100:$H$115,MATCH(Emissions!$D69,EF!$D$100:$D$115,0))*INDEX(EF!$H$116:$H$131,MATCH(Emissions!$D69,EF!$D$116:$D$131,0))*kgtoGg</f>
        <v>0</v>
      </c>
      <c r="AI69" s="23">
        <f>INDEX('Activity data'!AI$24:AI$39,MATCH(Emissions!$D69,'Activity data'!$D$24:$D$39,0))*INDEX(EF!$H$84:$H$99,MATCH(Emissions!$D69,EF!$D$84:$D$99,0))*INDEX(EF!$H$100:$H$115,MATCH(Emissions!$D69,EF!$D$100:$D$115,0))*INDEX(EF!$H$116:$H$131,MATCH(Emissions!$D69,EF!$D$116:$D$131,0))*kgtoGg</f>
        <v>0</v>
      </c>
      <c r="AJ69" s="23">
        <f>INDEX('Activity data'!AJ$24:AJ$39,MATCH(Emissions!$D69,'Activity data'!$D$24:$D$39,0))*INDEX(EF!$H$84:$H$99,MATCH(Emissions!$D69,EF!$D$84:$D$99,0))*INDEX(EF!$H$100:$H$115,MATCH(Emissions!$D69,EF!$D$100:$D$115,0))*INDEX(EF!$H$116:$H$131,MATCH(Emissions!$D69,EF!$D$116:$D$131,0))*kgtoGg</f>
        <v>0</v>
      </c>
      <c r="AK69" s="23">
        <f>INDEX('Activity data'!AK$24:AK$39,MATCH(Emissions!$D69,'Activity data'!$D$24:$D$39,0))*INDEX(EF!$H$84:$H$99,MATCH(Emissions!$D69,EF!$D$84:$D$99,0))*INDEX(EF!$H$100:$H$115,MATCH(Emissions!$D69,EF!$D$100:$D$115,0))*INDEX(EF!$H$116:$H$131,MATCH(Emissions!$D69,EF!$D$116:$D$131,0))*kgtoGg</f>
        <v>0</v>
      </c>
      <c r="AL69" s="23">
        <f>INDEX('Activity data'!AL$24:AL$39,MATCH(Emissions!$D69,'Activity data'!$D$24:$D$39,0))*INDEX(EF!$H$84:$H$99,MATCH(Emissions!$D69,EF!$D$84:$D$99,0))*INDEX(EF!$H$100:$H$115,MATCH(Emissions!$D69,EF!$D$100:$D$115,0))*INDEX(EF!$H$116:$H$131,MATCH(Emissions!$D69,EF!$D$116:$D$131,0))*kgtoGg</f>
        <v>0</v>
      </c>
      <c r="AM69" s="23">
        <f>INDEX('Activity data'!AM$24:AM$39,MATCH(Emissions!$D69,'Activity data'!$D$24:$D$39,0))*INDEX(EF!$H$84:$H$99,MATCH(Emissions!$D69,EF!$D$84:$D$99,0))*INDEX(EF!$H$100:$H$115,MATCH(Emissions!$D69,EF!$D$100:$D$115,0))*INDEX(EF!$H$116:$H$131,MATCH(Emissions!$D69,EF!$D$116:$D$131,0))*kgtoGg</f>
        <v>0</v>
      </c>
      <c r="AN69" s="23">
        <f>INDEX('Activity data'!AN$24:AN$39,MATCH(Emissions!$D69,'Activity data'!$D$24:$D$39,0))*INDEX(EF!$H$84:$H$99,MATCH(Emissions!$D69,EF!$D$84:$D$99,0))*INDEX(EF!$H$100:$H$115,MATCH(Emissions!$D69,EF!$D$100:$D$115,0))*INDEX(EF!$H$116:$H$131,MATCH(Emissions!$D69,EF!$D$116:$D$131,0))*kgtoGg</f>
        <v>0</v>
      </c>
      <c r="AO69" s="23">
        <f>INDEX('Activity data'!AO$24:AO$39,MATCH(Emissions!$D69,'Activity data'!$D$24:$D$39,0))*INDEX(EF!$H$84:$H$99,MATCH(Emissions!$D69,EF!$D$84:$D$99,0))*INDEX(EF!$H$100:$H$115,MATCH(Emissions!$D69,EF!$D$100:$D$115,0))*INDEX(EF!$H$116:$H$131,MATCH(Emissions!$D69,EF!$D$116:$D$131,0))*kgtoGg</f>
        <v>0</v>
      </c>
      <c r="AP69" s="23">
        <f>INDEX('Activity data'!AP$24:AP$39,MATCH(Emissions!$D69,'Activity data'!$D$24:$D$39,0))*INDEX(EF!$H$84:$H$99,MATCH(Emissions!$D69,EF!$D$84:$D$99,0))*INDEX(EF!$H$100:$H$115,MATCH(Emissions!$D69,EF!$D$100:$D$115,0))*INDEX(EF!$H$116:$H$131,MATCH(Emissions!$D69,EF!$D$116:$D$131,0))*kgtoGg</f>
        <v>0</v>
      </c>
      <c r="AQ69" s="23">
        <f>INDEX('Activity data'!AQ$24:AQ$39,MATCH(Emissions!$D69,'Activity data'!$D$24:$D$39,0))*INDEX(EF!$H$84:$H$99,MATCH(Emissions!$D69,EF!$D$84:$D$99,0))*INDEX(EF!$H$100:$H$115,MATCH(Emissions!$D69,EF!$D$100:$D$115,0))*INDEX(EF!$H$116:$H$131,MATCH(Emissions!$D69,EF!$D$116:$D$131,0))*kgtoGg</f>
        <v>0</v>
      </c>
      <c r="AR69" s="23">
        <f>INDEX('Activity data'!AR$24:AR$39,MATCH(Emissions!$D69,'Activity data'!$D$24:$D$39,0))*INDEX(EF!$H$84:$H$99,MATCH(Emissions!$D69,EF!$D$84:$D$99,0))*INDEX(EF!$H$100:$H$115,MATCH(Emissions!$D69,EF!$D$100:$D$115,0))*INDEX(EF!$H$116:$H$131,MATCH(Emissions!$D69,EF!$D$116:$D$131,0))*kgtoGg</f>
        <v>0</v>
      </c>
      <c r="AS69" s="23">
        <f>INDEX('Activity data'!AS$24:AS$39,MATCH(Emissions!$D69,'Activity data'!$D$24:$D$39,0))*INDEX(EF!$H$84:$H$99,MATCH(Emissions!$D69,EF!$D$84:$D$99,0))*INDEX(EF!$H$100:$H$115,MATCH(Emissions!$D69,EF!$D$100:$D$115,0))*INDEX(EF!$H$116:$H$131,MATCH(Emissions!$D69,EF!$D$116:$D$131,0))*kgtoGg</f>
        <v>0</v>
      </c>
      <c r="AT69" s="23">
        <f>INDEX('Activity data'!AT$24:AT$39,MATCH(Emissions!$D69,'Activity data'!$D$24:$D$39,0))*INDEX(EF!$H$84:$H$99,MATCH(Emissions!$D69,EF!$D$84:$D$99,0))*INDEX(EF!$H$100:$H$115,MATCH(Emissions!$D69,EF!$D$100:$D$115,0))*INDEX(EF!$H$116:$H$131,MATCH(Emissions!$D69,EF!$D$116:$D$131,0))*kgtoGg</f>
        <v>0</v>
      </c>
      <c r="AU69" s="23">
        <f>INDEX('Activity data'!AU$24:AU$39,MATCH(Emissions!$D69,'Activity data'!$D$24:$D$39,0))*INDEX(EF!$H$84:$H$99,MATCH(Emissions!$D69,EF!$D$84:$D$99,0))*INDEX(EF!$H$100:$H$115,MATCH(Emissions!$D69,EF!$D$100:$D$115,0))*INDEX(EF!$H$116:$H$131,MATCH(Emissions!$D69,EF!$D$116:$D$131,0))*kgtoGg</f>
        <v>0</v>
      </c>
      <c r="AV69" s="23">
        <f>INDEX('Activity data'!AV$24:AV$39,MATCH(Emissions!$D69,'Activity data'!$D$24:$D$39,0))*INDEX(EF!$H$84:$H$99,MATCH(Emissions!$D69,EF!$D$84:$D$99,0))*INDEX(EF!$H$100:$H$115,MATCH(Emissions!$D69,EF!$D$100:$D$115,0))*INDEX(EF!$H$116:$H$131,MATCH(Emissions!$D69,EF!$D$116:$D$131,0))*kgtoGg</f>
        <v>0</v>
      </c>
      <c r="AW69" s="23">
        <f>INDEX('Activity data'!AW$24:AW$39,MATCH(Emissions!$D69,'Activity data'!$D$24:$D$39,0))*INDEX(EF!$H$84:$H$99,MATCH(Emissions!$D69,EF!$D$84:$D$99,0))*INDEX(EF!$H$100:$H$115,MATCH(Emissions!$D69,EF!$D$100:$D$115,0))*INDEX(EF!$H$116:$H$131,MATCH(Emissions!$D69,EF!$D$116:$D$131,0))*kgtoGg</f>
        <v>0</v>
      </c>
      <c r="AX69" s="23">
        <f>INDEX('Activity data'!AX$24:AX$39,MATCH(Emissions!$D69,'Activity data'!$D$24:$D$39,0))*INDEX(EF!$H$84:$H$99,MATCH(Emissions!$D69,EF!$D$84:$D$99,0))*INDEX(EF!$H$100:$H$115,MATCH(Emissions!$D69,EF!$D$100:$D$115,0))*INDEX(EF!$H$116:$H$131,MATCH(Emissions!$D69,EF!$D$116:$D$131,0))*kgtoGg</f>
        <v>0</v>
      </c>
      <c r="AY69" s="23">
        <f>INDEX('Activity data'!AY$24:AY$39,MATCH(Emissions!$D69,'Activity data'!$D$24:$D$39,0))*INDEX(EF!$H$84:$H$99,MATCH(Emissions!$D69,EF!$D$84:$D$99,0))*INDEX(EF!$H$100:$H$115,MATCH(Emissions!$D69,EF!$D$100:$D$115,0))*INDEX(EF!$H$116:$H$131,MATCH(Emissions!$D69,EF!$D$116:$D$131,0))*kgtoGg</f>
        <v>0</v>
      </c>
      <c r="AZ69" s="23">
        <f>INDEX('Activity data'!AZ$24:AZ$39,MATCH(Emissions!$D69,'Activity data'!$D$24:$D$39,0))*INDEX(EF!$H$84:$H$99,MATCH(Emissions!$D69,EF!$D$84:$D$99,0))*INDEX(EF!$H$100:$H$115,MATCH(Emissions!$D69,EF!$D$100:$D$115,0))*INDEX(EF!$H$116:$H$131,MATCH(Emissions!$D69,EF!$D$116:$D$131,0))*kgtoGg</f>
        <v>0</v>
      </c>
      <c r="BA69" s="23">
        <f>INDEX('Activity data'!BA$24:BA$39,MATCH(Emissions!$D69,'Activity data'!$D$24:$D$39,0))*INDEX(EF!$H$84:$H$99,MATCH(Emissions!$D69,EF!$D$84:$D$99,0))*INDEX(EF!$H$100:$H$115,MATCH(Emissions!$D69,EF!$D$100:$D$115,0))*INDEX(EF!$H$116:$H$131,MATCH(Emissions!$D69,EF!$D$116:$D$131,0))*kgtoGg</f>
        <v>0</v>
      </c>
      <c r="BB69" s="23">
        <f>INDEX('Activity data'!BB$24:BB$39,MATCH(Emissions!$D69,'Activity data'!$D$24:$D$39,0))*INDEX(EF!$H$84:$H$99,MATCH(Emissions!$D69,EF!$D$84:$D$99,0))*INDEX(EF!$H$100:$H$115,MATCH(Emissions!$D69,EF!$D$100:$D$115,0))*INDEX(EF!$H$116:$H$131,MATCH(Emissions!$D69,EF!$D$116:$D$131,0))*kgtoGg</f>
        <v>0</v>
      </c>
      <c r="BC69" s="23">
        <f>INDEX('Activity data'!BC$24:BC$39,MATCH(Emissions!$D69,'Activity data'!$D$24:$D$39,0))*INDEX(EF!$H$84:$H$99,MATCH(Emissions!$D69,EF!$D$84:$D$99,0))*INDEX(EF!$H$100:$H$115,MATCH(Emissions!$D69,EF!$D$100:$D$115,0))*INDEX(EF!$H$116:$H$131,MATCH(Emissions!$D69,EF!$D$116:$D$131,0))*kgtoGg</f>
        <v>0</v>
      </c>
      <c r="BD69" s="23">
        <f>INDEX('Activity data'!BD$24:BD$39,MATCH(Emissions!$D69,'Activity data'!$D$24:$D$39,0))*INDEX(EF!$H$84:$H$99,MATCH(Emissions!$D69,EF!$D$84:$D$99,0))*INDEX(EF!$H$100:$H$115,MATCH(Emissions!$D69,EF!$D$100:$D$115,0))*INDEX(EF!$H$116:$H$131,MATCH(Emissions!$D69,EF!$D$116:$D$131,0))*kgtoGg</f>
        <v>0</v>
      </c>
      <c r="BE69" s="23">
        <f>INDEX('Activity data'!BE$24:BE$39,MATCH(Emissions!$D69,'Activity data'!$D$24:$D$39,0))*INDEX(EF!$H$84:$H$99,MATCH(Emissions!$D69,EF!$D$84:$D$99,0))*INDEX(EF!$H$100:$H$115,MATCH(Emissions!$D69,EF!$D$100:$D$115,0))*INDEX(EF!$H$116:$H$131,MATCH(Emissions!$D69,EF!$D$116:$D$131,0))*kgtoGg</f>
        <v>0</v>
      </c>
      <c r="BF69" s="23">
        <f>INDEX('Activity data'!BF$24:BF$39,MATCH(Emissions!$D69,'Activity data'!$D$24:$D$39,0))*INDEX(EF!$H$84:$H$99,MATCH(Emissions!$D69,EF!$D$84:$D$99,0))*INDEX(EF!$H$100:$H$115,MATCH(Emissions!$D69,EF!$D$100:$D$115,0))*INDEX(EF!$H$116:$H$131,MATCH(Emissions!$D69,EF!$D$116:$D$131,0))*kgtoGg</f>
        <v>0</v>
      </c>
      <c r="BG69" s="23">
        <f>INDEX('Activity data'!BG$24:BG$39,MATCH(Emissions!$D69,'Activity data'!$D$24:$D$39,0))*INDEX(EF!$H$84:$H$99,MATCH(Emissions!$D69,EF!$D$84:$D$99,0))*INDEX(EF!$H$100:$H$115,MATCH(Emissions!$D69,EF!$D$100:$D$115,0))*INDEX(EF!$H$116:$H$131,MATCH(Emissions!$D69,EF!$D$116:$D$131,0))*kgtoGg</f>
        <v>0</v>
      </c>
      <c r="BH69" s="23">
        <f>INDEX('Activity data'!BH$24:BH$39,MATCH(Emissions!$D69,'Activity data'!$D$24:$D$39,0))*INDEX(EF!$H$84:$H$99,MATCH(Emissions!$D69,EF!$D$84:$D$99,0))*INDEX(EF!$H$100:$H$115,MATCH(Emissions!$D69,EF!$D$100:$D$115,0))*INDEX(EF!$H$116:$H$131,MATCH(Emissions!$D69,EF!$D$116:$D$131,0))*kgtoGg</f>
        <v>0</v>
      </c>
      <c r="BI69" s="23">
        <f>INDEX('Activity data'!BI$24:BI$39,MATCH(Emissions!$D69,'Activity data'!$D$24:$D$39,0))*INDEX(EF!$H$84:$H$99,MATCH(Emissions!$D69,EF!$D$84:$D$99,0))*INDEX(EF!$H$100:$H$115,MATCH(Emissions!$D69,EF!$D$100:$D$115,0))*INDEX(EF!$H$116:$H$131,MATCH(Emissions!$D69,EF!$D$116:$D$131,0))*kgtoGg</f>
        <v>0</v>
      </c>
      <c r="BJ69" s="23">
        <f>INDEX('Activity data'!BJ$24:BJ$39,MATCH(Emissions!$D69,'Activity data'!$D$24:$D$39,0))*INDEX(EF!$H$84:$H$99,MATCH(Emissions!$D69,EF!$D$84:$D$99,0))*INDEX(EF!$H$100:$H$115,MATCH(Emissions!$D69,EF!$D$100:$D$115,0))*INDEX(EF!$H$116:$H$131,MATCH(Emissions!$D69,EF!$D$116:$D$131,0))*kgtoGg</f>
        <v>0</v>
      </c>
      <c r="BK69" s="23">
        <f>INDEX('Activity data'!BK$24:BK$39,MATCH(Emissions!$D69,'Activity data'!$D$24:$D$39,0))*INDEX(EF!$H$84:$H$99,MATCH(Emissions!$D69,EF!$D$84:$D$99,0))*INDEX(EF!$H$100:$H$115,MATCH(Emissions!$D69,EF!$D$100:$D$115,0))*INDEX(EF!$H$116:$H$131,MATCH(Emissions!$D69,EF!$D$116:$D$131,0))*kgtoGg</f>
        <v>0</v>
      </c>
      <c r="BL69" s="23">
        <f>INDEX('Activity data'!BL$24:BL$39,MATCH(Emissions!$D69,'Activity data'!$D$24:$D$39,0))*INDEX(EF!$H$84:$H$99,MATCH(Emissions!$D69,EF!$D$84:$D$99,0))*INDEX(EF!$H$100:$H$115,MATCH(Emissions!$D69,EF!$D$100:$D$115,0))*INDEX(EF!$H$116:$H$131,MATCH(Emissions!$D69,EF!$D$116:$D$131,0))*kgtoGg</f>
        <v>0</v>
      </c>
      <c r="BM69" s="23">
        <f>INDEX('Activity data'!BM$24:BM$39,MATCH(Emissions!$D69,'Activity data'!$D$24:$D$39,0))*INDEX(EF!$H$84:$H$99,MATCH(Emissions!$D69,EF!$D$84:$D$99,0))*INDEX(EF!$H$100:$H$115,MATCH(Emissions!$D69,EF!$D$100:$D$115,0))*INDEX(EF!$H$116:$H$131,MATCH(Emissions!$D69,EF!$D$116:$D$131,0))*kgtoGg</f>
        <v>0</v>
      </c>
      <c r="BN69" s="23">
        <f>INDEX('Activity data'!BN$24:BN$39,MATCH(Emissions!$D69,'Activity data'!$D$24:$D$39,0))*INDEX(EF!$H$84:$H$99,MATCH(Emissions!$D69,EF!$D$84:$D$99,0))*INDEX(EF!$H$100:$H$115,MATCH(Emissions!$D69,EF!$D$100:$D$115,0))*INDEX(EF!$H$116:$H$131,MATCH(Emissions!$D69,EF!$D$116:$D$131,0))*kgtoGg</f>
        <v>0</v>
      </c>
      <c r="BO69" s="23">
        <f>INDEX('Activity data'!BO$24:BO$39,MATCH(Emissions!$D69,'Activity data'!$D$24:$D$39,0))*INDEX(EF!$H$84:$H$99,MATCH(Emissions!$D69,EF!$D$84:$D$99,0))*INDEX(EF!$H$100:$H$115,MATCH(Emissions!$D69,EF!$D$100:$D$115,0))*INDEX(EF!$H$116:$H$131,MATCH(Emissions!$D69,EF!$D$116:$D$131,0))*kgtoGg</f>
        <v>0</v>
      </c>
      <c r="BP69" s="23">
        <f>INDEX('Activity data'!BP$24:BP$39,MATCH(Emissions!$D69,'Activity data'!$D$24:$D$39,0))*INDEX(EF!$H$84:$H$99,MATCH(Emissions!$D69,EF!$D$84:$D$99,0))*INDEX(EF!$H$100:$H$115,MATCH(Emissions!$D69,EF!$D$100:$D$115,0))*INDEX(EF!$H$116:$H$131,MATCH(Emissions!$D69,EF!$D$116:$D$131,0))*kgtoGg</f>
        <v>0</v>
      </c>
    </row>
    <row r="70" spans="1:68" x14ac:dyDescent="0.25">
      <c r="A70" t="str">
        <f t="shared" si="19"/>
        <v>3C Aggregated and non-CO2 emissions on land</v>
      </c>
      <c r="B70" t="str">
        <f>'IPCC Categories'!B65</f>
        <v>3C1 Biomass burning (N2O)</v>
      </c>
      <c r="C70" t="str">
        <f>C54</f>
        <v>3C1a Biomass burning in forest land</v>
      </c>
      <c r="D70" t="str">
        <f>EF!D100</f>
        <v>Indigenous forests</v>
      </c>
      <c r="E70" t="s">
        <v>724</v>
      </c>
      <c r="F70" t="s">
        <v>143</v>
      </c>
      <c r="G70" t="s">
        <v>291</v>
      </c>
      <c r="H70" s="23">
        <f>INDEX('Activity data'!H$24:H$39,MATCH(Emissions!$D70,'Activity data'!$D$24:$D$39,0))*INDEX(EF!$H$84:$H$99,MATCH(Emissions!$D70,EF!$D$84:$D$99,0))*INDEX(EF!$H$100:$H$115,MATCH(Emissions!$D70,EF!$D$100:$D$115,0))*INDEX(EF!$H$132:$H$147,MATCH(Emissions!$D70,EF!$D$132:$D$147,0))*kgtoGg</f>
        <v>7.1698949255307107E-2</v>
      </c>
      <c r="I70" s="23">
        <f>INDEX('Activity data'!I$24:I$39,MATCH(Emissions!$D70,'Activity data'!$D$24:$D$39,0))*INDEX(EF!$H$84:$H$99,MATCH(Emissions!$D70,EF!$D$84:$D$99,0))*INDEX(EF!$H$100:$H$115,MATCH(Emissions!$D70,EF!$D$100:$D$115,0))*INDEX(EF!$H$132:$H$147,MATCH(Emissions!$D70,EF!$D$132:$D$147,0))*kgtoGg</f>
        <v>7.1698949255307107E-2</v>
      </c>
      <c r="J70" s="23">
        <f>INDEX('Activity data'!J$24:J$39,MATCH(Emissions!$D70,'Activity data'!$D$24:$D$39,0))*INDEX(EF!$H$84:$H$99,MATCH(Emissions!$D70,EF!$D$84:$D$99,0))*INDEX(EF!$H$100:$H$115,MATCH(Emissions!$D70,EF!$D$100:$D$115,0))*INDEX(EF!$H$132:$H$147,MATCH(Emissions!$D70,EF!$D$132:$D$147,0))*kgtoGg</f>
        <v>7.1698949255307107E-2</v>
      </c>
      <c r="K70" s="23">
        <f>INDEX('Activity data'!K$24:K$39,MATCH(Emissions!$D70,'Activity data'!$D$24:$D$39,0))*INDEX(EF!$H$84:$H$99,MATCH(Emissions!$D70,EF!$D$84:$D$99,0))*INDEX(EF!$H$100:$H$115,MATCH(Emissions!$D70,EF!$D$100:$D$115,0))*INDEX(EF!$H$132:$H$147,MATCH(Emissions!$D70,EF!$D$132:$D$147,0))*kgtoGg</f>
        <v>7.1698949255307107E-2</v>
      </c>
      <c r="L70" s="23">
        <f>INDEX('Activity data'!L$24:L$39,MATCH(Emissions!$D70,'Activity data'!$D$24:$D$39,0))*INDEX(EF!$H$84:$H$99,MATCH(Emissions!$D70,EF!$D$84:$D$99,0))*INDEX(EF!$H$100:$H$115,MATCH(Emissions!$D70,EF!$D$100:$D$115,0))*INDEX(EF!$H$132:$H$147,MATCH(Emissions!$D70,EF!$D$132:$D$147,0))*kgtoGg</f>
        <v>7.1698949255307107E-2</v>
      </c>
      <c r="M70" s="23">
        <f>INDEX('Activity data'!M$24:M$39,MATCH(Emissions!$D70,'Activity data'!$D$24:$D$39,0))*INDEX(EF!$H$84:$H$99,MATCH(Emissions!$D70,EF!$D$84:$D$99,0))*INDEX(EF!$H$100:$H$115,MATCH(Emissions!$D70,EF!$D$100:$D$115,0))*INDEX(EF!$H$132:$H$147,MATCH(Emissions!$D70,EF!$D$132:$D$147,0))*kgtoGg</f>
        <v>7.1698949255307107E-2</v>
      </c>
      <c r="N70" s="23">
        <f>INDEX('Activity data'!N$24:N$39,MATCH(Emissions!$D70,'Activity data'!$D$24:$D$39,0))*INDEX(EF!$H$84:$H$99,MATCH(Emissions!$D70,EF!$D$84:$D$99,0))*INDEX(EF!$H$100:$H$115,MATCH(Emissions!$D70,EF!$D$100:$D$115,0))*INDEX(EF!$H$132:$H$147,MATCH(Emissions!$D70,EF!$D$132:$D$147,0))*kgtoGg</f>
        <v>7.1698949255307107E-2</v>
      </c>
      <c r="O70" s="23">
        <f>INDEX('Activity data'!O$24:O$39,MATCH(Emissions!$D70,'Activity data'!$D$24:$D$39,0))*INDEX(EF!$H$84:$H$99,MATCH(Emissions!$D70,EF!$D$84:$D$99,0))*INDEX(EF!$H$100:$H$115,MATCH(Emissions!$D70,EF!$D$100:$D$115,0))*INDEX(EF!$H$132:$H$147,MATCH(Emissions!$D70,EF!$D$132:$D$147,0))*kgtoGg</f>
        <v>7.1698949255307107E-2</v>
      </c>
      <c r="P70" s="23">
        <f>INDEX('Activity data'!P$24:P$39,MATCH(Emissions!$D70,'Activity data'!$D$24:$D$39,0))*INDEX(EF!$H$84:$H$99,MATCH(Emissions!$D70,EF!$D$84:$D$99,0))*INDEX(EF!$H$100:$H$115,MATCH(Emissions!$D70,EF!$D$100:$D$115,0))*INDEX(EF!$H$132:$H$147,MATCH(Emissions!$D70,EF!$D$132:$D$147,0))*kgtoGg</f>
        <v>7.1698949255307107E-2</v>
      </c>
      <c r="Q70" s="23">
        <f>INDEX('Activity data'!Q$24:Q$39,MATCH(Emissions!$D70,'Activity data'!$D$24:$D$39,0))*INDEX(EF!$H$84:$H$99,MATCH(Emissions!$D70,EF!$D$84:$D$99,0))*INDEX(EF!$H$100:$H$115,MATCH(Emissions!$D70,EF!$D$100:$D$115,0))*INDEX(EF!$H$132:$H$147,MATCH(Emissions!$D70,EF!$D$132:$D$147,0))*kgtoGg</f>
        <v>7.1698949255307107E-2</v>
      </c>
      <c r="R70" s="23">
        <f>INDEX('Activity data'!R$24:R$39,MATCH(Emissions!$D70,'Activity data'!$D$24:$D$39,0))*INDEX(EF!$H$84:$H$99,MATCH(Emissions!$D70,EF!$D$84:$D$99,0))*INDEX(EF!$H$100:$H$115,MATCH(Emissions!$D70,EF!$D$100:$D$115,0))*INDEX(EF!$H$132:$H$147,MATCH(Emissions!$D70,EF!$D$132:$D$147,0))*kgtoGg</f>
        <v>6.6163543298883465E-2</v>
      </c>
      <c r="S70" s="23">
        <f>INDEX('Activity data'!S$24:S$39,MATCH(Emissions!$D70,'Activity data'!$D$24:$D$39,0))*INDEX(EF!$H$84:$H$99,MATCH(Emissions!$D70,EF!$D$84:$D$99,0))*INDEX(EF!$H$100:$H$115,MATCH(Emissions!$D70,EF!$D$100:$D$115,0))*INDEX(EF!$H$132:$H$147,MATCH(Emissions!$D70,EF!$D$132:$D$147,0))*kgtoGg</f>
        <v>7.3647032038254498E-2</v>
      </c>
      <c r="T70" s="23">
        <f>INDEX('Activity data'!T$24:T$39,MATCH(Emissions!$D70,'Activity data'!$D$24:$D$39,0))*INDEX(EF!$H$84:$H$99,MATCH(Emissions!$D70,EF!$D$84:$D$99,0))*INDEX(EF!$H$100:$H$115,MATCH(Emissions!$D70,EF!$D$100:$D$115,0))*INDEX(EF!$H$132:$H$147,MATCH(Emissions!$D70,EF!$D$132:$D$147,0))*kgtoGg</f>
        <v>6.7351398654339173E-2</v>
      </c>
      <c r="U70" s="23">
        <f>INDEX('Activity data'!U$24:U$39,MATCH(Emissions!$D70,'Activity data'!$D$24:$D$39,0))*INDEX(EF!$H$84:$H$99,MATCH(Emissions!$D70,EF!$D$84:$D$99,0))*INDEX(EF!$H$100:$H$115,MATCH(Emissions!$D70,EF!$D$100:$D$115,0))*INDEX(EF!$H$132:$H$147,MATCH(Emissions!$D70,EF!$D$132:$D$147,0))*kgtoGg</f>
        <v>8.4931657915083808E-2</v>
      </c>
      <c r="V70" s="23">
        <f>INDEX('Activity data'!V$24:V$39,MATCH(Emissions!$D70,'Activity data'!$D$24:$D$39,0))*INDEX(EF!$H$84:$H$99,MATCH(Emissions!$D70,EF!$D$84:$D$99,0))*INDEX(EF!$H$100:$H$115,MATCH(Emissions!$D70,EF!$D$100:$D$115,0))*INDEX(EF!$H$132:$H$147,MATCH(Emissions!$D70,EF!$D$132:$D$147,0))*kgtoGg</f>
        <v>6.6401114369974604E-2</v>
      </c>
      <c r="W70" s="23">
        <f>INDEX('Activity data'!W$24:W$39,MATCH(Emissions!$D70,'Activity data'!$D$24:$D$39,0))*INDEX(EF!$H$84:$H$99,MATCH(Emissions!$D70,EF!$D$84:$D$99,0))*INDEX(EF!$H$100:$H$115,MATCH(Emissions!$D70,EF!$D$100:$D$115,0))*INDEX(EF!$H$132:$H$147,MATCH(Emissions!$D70,EF!$D$132:$D$147,0))*kgtoGg</f>
        <v>8.7307368625995224E-2</v>
      </c>
      <c r="X70" s="23">
        <f>INDEX('Activity data'!X$24:X$39,MATCH(Emissions!$D70,'Activity data'!$D$24:$D$39,0))*INDEX(EF!$H$84:$H$99,MATCH(Emissions!$D70,EF!$D$84:$D$99,0))*INDEX(EF!$H$100:$H$115,MATCH(Emissions!$D70,EF!$D$100:$D$115,0))*INDEX(EF!$H$132:$H$147,MATCH(Emissions!$D70,EF!$D$132:$D$147,0))*kgtoGg</f>
        <v>7.7923311317895039E-2</v>
      </c>
      <c r="Y70" s="23">
        <f>INDEX('Activity data'!Y$24:Y$39,MATCH(Emissions!$D70,'Activity data'!$D$24:$D$39,0))*INDEX(EF!$H$84:$H$99,MATCH(Emissions!$D70,EF!$D$84:$D$99,0))*INDEX(EF!$H$100:$H$115,MATCH(Emissions!$D70,EF!$D$100:$D$115,0))*INDEX(EF!$H$132:$H$147,MATCH(Emissions!$D70,EF!$D$132:$D$147,0))*kgtoGg</f>
        <v>0.10191798949810055</v>
      </c>
      <c r="Z70" s="23">
        <f>INDEX('Activity data'!Z$24:Z$39,MATCH(Emissions!$D70,'Activity data'!$D$24:$D$39,0))*INDEX(EF!$H$84:$H$99,MATCH(Emissions!$D70,EF!$D$84:$D$99,0))*INDEX(EF!$H$100:$H$115,MATCH(Emissions!$D70,EF!$D$100:$D$115,0))*INDEX(EF!$H$132:$H$147,MATCH(Emissions!$D70,EF!$D$132:$D$147,0))*kgtoGg</f>
        <v>8.5288014521720509E-2</v>
      </c>
      <c r="AA70" s="23">
        <f>INDEX('Activity data'!AA$24:AA$39,MATCH(Emissions!$D70,'Activity data'!$D$24:$D$39,0))*INDEX(EF!$H$84:$H$99,MATCH(Emissions!$D70,EF!$D$84:$D$99,0))*INDEX(EF!$H$100:$H$115,MATCH(Emissions!$D70,EF!$D$100:$D$115,0))*INDEX(EF!$H$132:$H$147,MATCH(Emissions!$D70,EF!$D$132:$D$147,0))*kgtoGg</f>
        <v>8.4100159166264801E-2</v>
      </c>
      <c r="AB70" s="23">
        <f>INDEX('Activity data'!AB$24:AB$39,MATCH(Emissions!$D70,'Activity data'!$D$24:$D$39,0))*INDEX(EF!$H$84:$H$99,MATCH(Emissions!$D70,EF!$D$84:$D$99,0))*INDEX(EF!$H$100:$H$115,MATCH(Emissions!$D70,EF!$D$100:$D$115,0))*INDEX(EF!$H$132:$H$147,MATCH(Emissions!$D70,EF!$D$132:$D$147,0))*kgtoGg</f>
        <v>6.8956842239999996E-2</v>
      </c>
      <c r="AC70" s="23">
        <f>INDEX('Activity data'!AC$24:AC$39,MATCH(Emissions!$D70,'Activity data'!$D$24:$D$39,0))*INDEX(EF!$H$84:$H$99,MATCH(Emissions!$D70,EF!$D$84:$D$99,0))*INDEX(EF!$H$100:$H$115,MATCH(Emissions!$D70,EF!$D$100:$D$115,0))*INDEX(EF!$H$132:$H$147,MATCH(Emissions!$D70,EF!$D$132:$D$147,0))*kgtoGg</f>
        <v>5.1697708920000009E-2</v>
      </c>
      <c r="AD70" s="23">
        <f>INDEX('Activity data'!AD$24:AD$39,MATCH(Emissions!$D70,'Activity data'!$D$24:$D$39,0))*INDEX(EF!$H$84:$H$99,MATCH(Emissions!$D70,EF!$D$84:$D$99,0))*INDEX(EF!$H$100:$H$115,MATCH(Emissions!$D70,EF!$D$100:$D$115,0))*INDEX(EF!$H$132:$H$147,MATCH(Emissions!$D70,EF!$D$132:$D$147,0))*kgtoGg</f>
        <v>7.5906642240000002E-2</v>
      </c>
      <c r="AE70" s="23">
        <f>INDEX('Activity data'!AE$24:AE$39,MATCH(Emissions!$D70,'Activity data'!$D$24:$D$39,0))*INDEX(EF!$H$84:$H$99,MATCH(Emissions!$D70,EF!$D$84:$D$99,0))*INDEX(EF!$H$100:$H$115,MATCH(Emissions!$D70,EF!$D$100:$D$115,0))*INDEX(EF!$H$132:$H$147,MATCH(Emissions!$D70,EF!$D$132:$D$147,0))*kgtoGg</f>
        <v>7.4176142040000004E-2</v>
      </c>
      <c r="AF70" s="23">
        <f>INDEX('Activity data'!AF$24:AF$39,MATCH(Emissions!$D70,'Activity data'!$D$24:$D$39,0))*INDEX(EF!$H$84:$H$99,MATCH(Emissions!$D70,EF!$D$84:$D$99,0))*INDEX(EF!$H$100:$H$115,MATCH(Emissions!$D70,EF!$D$100:$D$115,0))*INDEX(EF!$H$132:$H$147,MATCH(Emissions!$D70,EF!$D$132:$D$147,0))*kgtoGg</f>
        <v>6.5613988440000007E-2</v>
      </c>
      <c r="AG70" s="23">
        <f>INDEX('Activity data'!AG$24:AG$39,MATCH(Emissions!$D70,'Activity data'!$D$24:$D$39,0))*INDEX(EF!$H$84:$H$99,MATCH(Emissions!$D70,EF!$D$84:$D$99,0))*INDEX(EF!$H$100:$H$115,MATCH(Emissions!$D70,EF!$D$100:$D$115,0))*INDEX(EF!$H$132:$H$147,MATCH(Emissions!$D70,EF!$D$132:$D$147,0))*kgtoGg</f>
        <v>4.8590221680000004E-2</v>
      </c>
      <c r="AH70" s="23">
        <f>INDEX('Activity data'!AH$24:AH$39,MATCH(Emissions!$D70,'Activity data'!$D$24:$D$39,0))*INDEX(EF!$H$84:$H$99,MATCH(Emissions!$D70,EF!$D$84:$D$99,0))*INDEX(EF!$H$100:$H$115,MATCH(Emissions!$D70,EF!$D$100:$D$115,0))*INDEX(EF!$H$132:$H$147,MATCH(Emissions!$D70,EF!$D$132:$D$147,0))*kgtoGg</f>
        <v>3.9485520359999998E-2</v>
      </c>
      <c r="AI70" s="23">
        <f>INDEX('Activity data'!AI$24:AI$39,MATCH(Emissions!$D70,'Activity data'!$D$24:$D$39,0))*INDEX(EF!$H$84:$H$99,MATCH(Emissions!$D70,EF!$D$84:$D$99,0))*INDEX(EF!$H$100:$H$115,MATCH(Emissions!$D70,EF!$D$100:$D$115,0))*INDEX(EF!$H$132:$H$147,MATCH(Emissions!$D70,EF!$D$132:$D$147,0))*kgtoGg</f>
        <v>3.945030804E-2</v>
      </c>
      <c r="AJ70" s="23">
        <f>INDEX('Activity data'!AJ$24:AJ$39,MATCH(Emissions!$D70,'Activity data'!$D$24:$D$39,0))*INDEX(EF!$H$84:$H$99,MATCH(Emissions!$D70,EF!$D$84:$D$99,0))*INDEX(EF!$H$100:$H$115,MATCH(Emissions!$D70,EF!$D$100:$D$115,0))*INDEX(EF!$H$132:$H$147,MATCH(Emissions!$D70,EF!$D$132:$D$147,0))*kgtoGg</f>
        <v>6.4956957443776858E-2</v>
      </c>
      <c r="AK70" s="23">
        <f>INDEX('Activity data'!AK$24:AK$39,MATCH(Emissions!$D70,'Activity data'!$D$24:$D$39,0))*INDEX(EF!$H$84:$H$99,MATCH(Emissions!$D70,EF!$D$84:$D$99,0))*INDEX(EF!$H$100:$H$115,MATCH(Emissions!$D70,EF!$D$100:$D$115,0))*INDEX(EF!$H$132:$H$147,MATCH(Emissions!$D70,EF!$D$132:$D$147,0))*kgtoGg</f>
        <v>6.4917380538589378E-2</v>
      </c>
      <c r="AL70" s="23">
        <f>INDEX('Activity data'!AL$24:AL$39,MATCH(Emissions!$D70,'Activity data'!$D$24:$D$39,0))*INDEX(EF!$H$84:$H$99,MATCH(Emissions!$D70,EF!$D$84:$D$99,0))*INDEX(EF!$H$100:$H$115,MATCH(Emissions!$D70,EF!$D$100:$D$115,0))*INDEX(EF!$H$132:$H$147,MATCH(Emissions!$D70,EF!$D$132:$D$147,0))*kgtoGg</f>
        <v>6.4877803633401884E-2</v>
      </c>
      <c r="AM70" s="23">
        <f>INDEX('Activity data'!AM$24:AM$39,MATCH(Emissions!$D70,'Activity data'!$D$24:$D$39,0))*INDEX(EF!$H$84:$H$99,MATCH(Emissions!$D70,EF!$D$84:$D$99,0))*INDEX(EF!$H$100:$H$115,MATCH(Emissions!$D70,EF!$D$100:$D$115,0))*INDEX(EF!$H$132:$H$147,MATCH(Emissions!$D70,EF!$D$132:$D$147,0))*kgtoGg</f>
        <v>6.4838226728214404E-2</v>
      </c>
      <c r="AN70" s="23">
        <f>INDEX('Activity data'!AN$24:AN$39,MATCH(Emissions!$D70,'Activity data'!$D$24:$D$39,0))*INDEX(EF!$H$84:$H$99,MATCH(Emissions!$D70,EF!$D$84:$D$99,0))*INDEX(EF!$H$100:$H$115,MATCH(Emissions!$D70,EF!$D$100:$D$115,0))*INDEX(EF!$H$132:$H$147,MATCH(Emissions!$D70,EF!$D$132:$D$147,0))*kgtoGg</f>
        <v>6.4798649823026924E-2</v>
      </c>
      <c r="AO70" s="23">
        <f>INDEX('Activity data'!AO$24:AO$39,MATCH(Emissions!$D70,'Activity data'!$D$24:$D$39,0))*INDEX(EF!$H$84:$H$99,MATCH(Emissions!$D70,EF!$D$84:$D$99,0))*INDEX(EF!$H$100:$H$115,MATCH(Emissions!$D70,EF!$D$100:$D$115,0))*INDEX(EF!$H$132:$H$147,MATCH(Emissions!$D70,EF!$D$132:$D$147,0))*kgtoGg</f>
        <v>6.4759072917839416E-2</v>
      </c>
      <c r="AP70" s="23">
        <f>INDEX('Activity data'!AP$24:AP$39,MATCH(Emissions!$D70,'Activity data'!$D$24:$D$39,0))*INDEX(EF!$H$84:$H$99,MATCH(Emissions!$D70,EF!$D$84:$D$99,0))*INDEX(EF!$H$100:$H$115,MATCH(Emissions!$D70,EF!$D$100:$D$115,0))*INDEX(EF!$H$132:$H$147,MATCH(Emissions!$D70,EF!$D$132:$D$147,0))*kgtoGg</f>
        <v>6.4719496012651936E-2</v>
      </c>
      <c r="AQ70" s="23">
        <f>INDEX('Activity data'!AQ$24:AQ$39,MATCH(Emissions!$D70,'Activity data'!$D$24:$D$39,0))*INDEX(EF!$H$84:$H$99,MATCH(Emissions!$D70,EF!$D$84:$D$99,0))*INDEX(EF!$H$100:$H$115,MATCH(Emissions!$D70,EF!$D$100:$D$115,0))*INDEX(EF!$H$132:$H$147,MATCH(Emissions!$D70,EF!$D$132:$D$147,0))*kgtoGg</f>
        <v>6.4679919107464456E-2</v>
      </c>
      <c r="AR70" s="23">
        <f>INDEX('Activity data'!AR$24:AR$39,MATCH(Emissions!$D70,'Activity data'!$D$24:$D$39,0))*INDEX(EF!$H$84:$H$99,MATCH(Emissions!$D70,EF!$D$84:$D$99,0))*INDEX(EF!$H$100:$H$115,MATCH(Emissions!$D70,EF!$D$100:$D$115,0))*INDEX(EF!$H$132:$H$147,MATCH(Emissions!$D70,EF!$D$132:$D$147,0))*kgtoGg</f>
        <v>6.4640342202276949E-2</v>
      </c>
      <c r="AS70" s="23">
        <f>INDEX('Activity data'!AS$24:AS$39,MATCH(Emissions!$D70,'Activity data'!$D$24:$D$39,0))*INDEX(EF!$H$84:$H$99,MATCH(Emissions!$D70,EF!$D$84:$D$99,0))*INDEX(EF!$H$100:$H$115,MATCH(Emissions!$D70,EF!$D$100:$D$115,0))*INDEX(EF!$H$132:$H$147,MATCH(Emissions!$D70,EF!$D$132:$D$147,0))*kgtoGg</f>
        <v>6.4600765297089455E-2</v>
      </c>
      <c r="AT70" s="23">
        <f>INDEX('Activity data'!AT$24:AT$39,MATCH(Emissions!$D70,'Activity data'!$D$24:$D$39,0))*INDEX(EF!$H$84:$H$99,MATCH(Emissions!$D70,EF!$D$84:$D$99,0))*INDEX(EF!$H$100:$H$115,MATCH(Emissions!$D70,EF!$D$100:$D$115,0))*INDEX(EF!$H$132:$H$147,MATCH(Emissions!$D70,EF!$D$132:$D$147,0))*kgtoGg</f>
        <v>6.4561188391901975E-2</v>
      </c>
      <c r="AU70" s="23">
        <f>INDEX('Activity data'!AU$24:AU$39,MATCH(Emissions!$D70,'Activity data'!$D$24:$D$39,0))*INDEX(EF!$H$84:$H$99,MATCH(Emissions!$D70,EF!$D$84:$D$99,0))*INDEX(EF!$H$100:$H$115,MATCH(Emissions!$D70,EF!$D$100:$D$115,0))*INDEX(EF!$H$132:$H$147,MATCH(Emissions!$D70,EF!$D$132:$D$147,0))*kgtoGg</f>
        <v>6.4521611486714481E-2</v>
      </c>
      <c r="AV70" s="23">
        <f>INDEX('Activity data'!AV$24:AV$39,MATCH(Emissions!$D70,'Activity data'!$D$24:$D$39,0))*INDEX(EF!$H$84:$H$99,MATCH(Emissions!$D70,EF!$D$84:$D$99,0))*INDEX(EF!$H$100:$H$115,MATCH(Emissions!$D70,EF!$D$100:$D$115,0))*INDEX(EF!$H$132:$H$147,MATCH(Emissions!$D70,EF!$D$132:$D$147,0))*kgtoGg</f>
        <v>6.4482034581527001E-2</v>
      </c>
      <c r="AW70" s="23">
        <f>INDEX('Activity data'!AW$24:AW$39,MATCH(Emissions!$D70,'Activity data'!$D$24:$D$39,0))*INDEX(EF!$H$84:$H$99,MATCH(Emissions!$D70,EF!$D$84:$D$99,0))*INDEX(EF!$H$100:$H$115,MATCH(Emissions!$D70,EF!$D$100:$D$115,0))*INDEX(EF!$H$132:$H$147,MATCH(Emissions!$D70,EF!$D$132:$D$147,0))*kgtoGg</f>
        <v>6.4442457676339507E-2</v>
      </c>
      <c r="AX70" s="23">
        <f>INDEX('Activity data'!AX$24:AX$39,MATCH(Emissions!$D70,'Activity data'!$D$24:$D$39,0))*INDEX(EF!$H$84:$H$99,MATCH(Emissions!$D70,EF!$D$84:$D$99,0))*INDEX(EF!$H$100:$H$115,MATCH(Emissions!$D70,EF!$D$100:$D$115,0))*INDEX(EF!$H$132:$H$147,MATCH(Emissions!$D70,EF!$D$132:$D$147,0))*kgtoGg</f>
        <v>6.4402880771152013E-2</v>
      </c>
      <c r="AY70" s="23">
        <f>INDEX('Activity data'!AY$24:AY$39,MATCH(Emissions!$D70,'Activity data'!$D$24:$D$39,0))*INDEX(EF!$H$84:$H$99,MATCH(Emissions!$D70,EF!$D$84:$D$99,0))*INDEX(EF!$H$100:$H$115,MATCH(Emissions!$D70,EF!$D$100:$D$115,0))*INDEX(EF!$H$132:$H$147,MATCH(Emissions!$D70,EF!$D$132:$D$147,0))*kgtoGg</f>
        <v>6.4363303865964533E-2</v>
      </c>
      <c r="AZ70" s="23">
        <f>INDEX('Activity data'!AZ$24:AZ$39,MATCH(Emissions!$D70,'Activity data'!$D$24:$D$39,0))*INDEX(EF!$H$84:$H$99,MATCH(Emissions!$D70,EF!$D$84:$D$99,0))*INDEX(EF!$H$100:$H$115,MATCH(Emissions!$D70,EF!$D$100:$D$115,0))*INDEX(EF!$H$132:$H$147,MATCH(Emissions!$D70,EF!$D$132:$D$147,0))*kgtoGg</f>
        <v>6.4323726960777053E-2</v>
      </c>
      <c r="BA70" s="23">
        <f>INDEX('Activity data'!BA$24:BA$39,MATCH(Emissions!$D70,'Activity data'!$D$24:$D$39,0))*INDEX(EF!$H$84:$H$99,MATCH(Emissions!$D70,EF!$D$84:$D$99,0))*INDEX(EF!$H$100:$H$115,MATCH(Emissions!$D70,EF!$D$100:$D$115,0))*INDEX(EF!$H$132:$H$147,MATCH(Emissions!$D70,EF!$D$132:$D$147,0))*kgtoGg</f>
        <v>6.4284150055589545E-2</v>
      </c>
      <c r="BB70" s="23">
        <f>INDEX('Activity data'!BB$24:BB$39,MATCH(Emissions!$D70,'Activity data'!$D$24:$D$39,0))*INDEX(EF!$H$84:$H$99,MATCH(Emissions!$D70,EF!$D$84:$D$99,0))*INDEX(EF!$H$100:$H$115,MATCH(Emissions!$D70,EF!$D$100:$D$115,0))*INDEX(EF!$H$132:$H$147,MATCH(Emissions!$D70,EF!$D$132:$D$147,0))*kgtoGg</f>
        <v>6.4244573150402065E-2</v>
      </c>
      <c r="BC70" s="23">
        <f>INDEX('Activity data'!BC$24:BC$39,MATCH(Emissions!$D70,'Activity data'!$D$24:$D$39,0))*INDEX(EF!$H$84:$H$99,MATCH(Emissions!$D70,EF!$D$84:$D$99,0))*INDEX(EF!$H$100:$H$115,MATCH(Emissions!$D70,EF!$D$100:$D$115,0))*INDEX(EF!$H$132:$H$147,MATCH(Emissions!$D70,EF!$D$132:$D$147,0))*kgtoGg</f>
        <v>6.4204996245214571E-2</v>
      </c>
      <c r="BD70" s="23">
        <f>INDEX('Activity data'!BD$24:BD$39,MATCH(Emissions!$D70,'Activity data'!$D$24:$D$39,0))*INDEX(EF!$H$84:$H$99,MATCH(Emissions!$D70,EF!$D$84:$D$99,0))*INDEX(EF!$H$100:$H$115,MATCH(Emissions!$D70,EF!$D$100:$D$115,0))*INDEX(EF!$H$132:$H$147,MATCH(Emissions!$D70,EF!$D$132:$D$147,0))*kgtoGg</f>
        <v>6.4165419340027091E-2</v>
      </c>
      <c r="BE70" s="23">
        <f>INDEX('Activity data'!BE$24:BE$39,MATCH(Emissions!$D70,'Activity data'!$D$24:$D$39,0))*INDEX(EF!$H$84:$H$99,MATCH(Emissions!$D70,EF!$D$84:$D$99,0))*INDEX(EF!$H$100:$H$115,MATCH(Emissions!$D70,EF!$D$100:$D$115,0))*INDEX(EF!$H$132:$H$147,MATCH(Emissions!$D70,EF!$D$132:$D$147,0))*kgtoGg</f>
        <v>6.4125842434839611E-2</v>
      </c>
      <c r="BF70" s="23">
        <f>INDEX('Activity data'!BF$24:BF$39,MATCH(Emissions!$D70,'Activity data'!$D$24:$D$39,0))*INDEX(EF!$H$84:$H$99,MATCH(Emissions!$D70,EF!$D$84:$D$99,0))*INDEX(EF!$H$100:$H$115,MATCH(Emissions!$D70,EF!$D$100:$D$115,0))*INDEX(EF!$H$132:$H$147,MATCH(Emissions!$D70,EF!$D$132:$D$147,0))*kgtoGg</f>
        <v>6.4086265529652103E-2</v>
      </c>
      <c r="BG70" s="23">
        <f>INDEX('Activity data'!BG$24:BG$39,MATCH(Emissions!$D70,'Activity data'!$D$24:$D$39,0))*INDEX(EF!$H$84:$H$99,MATCH(Emissions!$D70,EF!$D$84:$D$99,0))*INDEX(EF!$H$100:$H$115,MATCH(Emissions!$D70,EF!$D$100:$D$115,0))*INDEX(EF!$H$132:$H$147,MATCH(Emissions!$D70,EF!$D$132:$D$147,0))*kgtoGg</f>
        <v>6.4046688624464623E-2</v>
      </c>
      <c r="BH70" s="23">
        <f>INDEX('Activity data'!BH$24:BH$39,MATCH(Emissions!$D70,'Activity data'!$D$24:$D$39,0))*INDEX(EF!$H$84:$H$99,MATCH(Emissions!$D70,EF!$D$84:$D$99,0))*INDEX(EF!$H$100:$H$115,MATCH(Emissions!$D70,EF!$D$100:$D$115,0))*INDEX(EF!$H$132:$H$147,MATCH(Emissions!$D70,EF!$D$132:$D$147,0))*kgtoGg</f>
        <v>6.4007111719277143E-2</v>
      </c>
      <c r="BI70" s="23">
        <f>INDEX('Activity data'!BI$24:BI$39,MATCH(Emissions!$D70,'Activity data'!$D$24:$D$39,0))*INDEX(EF!$H$84:$H$99,MATCH(Emissions!$D70,EF!$D$84:$D$99,0))*INDEX(EF!$H$100:$H$115,MATCH(Emissions!$D70,EF!$D$100:$D$115,0))*INDEX(EF!$H$132:$H$147,MATCH(Emissions!$D70,EF!$D$132:$D$147,0))*kgtoGg</f>
        <v>6.3967534814089649E-2</v>
      </c>
      <c r="BJ70" s="23">
        <f>INDEX('Activity data'!BJ$24:BJ$39,MATCH(Emissions!$D70,'Activity data'!$D$24:$D$39,0))*INDEX(EF!$H$84:$H$99,MATCH(Emissions!$D70,EF!$D$84:$D$99,0))*INDEX(EF!$H$100:$H$115,MATCH(Emissions!$D70,EF!$D$100:$D$115,0))*INDEX(EF!$H$132:$H$147,MATCH(Emissions!$D70,EF!$D$132:$D$147,0))*kgtoGg</f>
        <v>6.3927957908902155E-2</v>
      </c>
      <c r="BK70" s="23">
        <f>INDEX('Activity data'!BK$24:BK$39,MATCH(Emissions!$D70,'Activity data'!$D$24:$D$39,0))*INDEX(EF!$H$84:$H$99,MATCH(Emissions!$D70,EF!$D$84:$D$99,0))*INDEX(EF!$H$100:$H$115,MATCH(Emissions!$D70,EF!$D$100:$D$115,0))*INDEX(EF!$H$132:$H$147,MATCH(Emissions!$D70,EF!$D$132:$D$147,0))*kgtoGg</f>
        <v>6.3888381003714675E-2</v>
      </c>
      <c r="BL70" s="23">
        <f>INDEX('Activity data'!BL$24:BL$39,MATCH(Emissions!$D70,'Activity data'!$D$24:$D$39,0))*INDEX(EF!$H$84:$H$99,MATCH(Emissions!$D70,EF!$D$84:$D$99,0))*INDEX(EF!$H$100:$H$115,MATCH(Emissions!$D70,EF!$D$100:$D$115,0))*INDEX(EF!$H$132:$H$147,MATCH(Emissions!$D70,EF!$D$132:$D$147,0))*kgtoGg</f>
        <v>6.3848804098527182E-2</v>
      </c>
      <c r="BM70" s="23">
        <f>INDEX('Activity data'!BM$24:BM$39,MATCH(Emissions!$D70,'Activity data'!$D$24:$D$39,0))*INDEX(EF!$H$84:$H$99,MATCH(Emissions!$D70,EF!$D$84:$D$99,0))*INDEX(EF!$H$100:$H$115,MATCH(Emissions!$D70,EF!$D$100:$D$115,0))*INDEX(EF!$H$132:$H$147,MATCH(Emissions!$D70,EF!$D$132:$D$147,0))*kgtoGg</f>
        <v>6.3809227193339688E-2</v>
      </c>
      <c r="BN70" s="23">
        <f>INDEX('Activity data'!BN$24:BN$39,MATCH(Emissions!$D70,'Activity data'!$D$24:$D$39,0))*INDEX(EF!$H$84:$H$99,MATCH(Emissions!$D70,EF!$D$84:$D$99,0))*INDEX(EF!$H$100:$H$115,MATCH(Emissions!$D70,EF!$D$100:$D$115,0))*INDEX(EF!$H$132:$H$147,MATCH(Emissions!$D70,EF!$D$132:$D$147,0))*kgtoGg</f>
        <v>6.3769650288152208E-2</v>
      </c>
      <c r="BO70" s="23">
        <f>INDEX('Activity data'!BO$24:BO$39,MATCH(Emissions!$D70,'Activity data'!$D$24:$D$39,0))*INDEX(EF!$H$84:$H$99,MATCH(Emissions!$D70,EF!$D$84:$D$99,0))*INDEX(EF!$H$100:$H$115,MATCH(Emissions!$D70,EF!$D$100:$D$115,0))*INDEX(EF!$H$132:$H$147,MATCH(Emissions!$D70,EF!$D$132:$D$147,0))*kgtoGg</f>
        <v>6.37300733829647E-2</v>
      </c>
      <c r="BP70" s="23">
        <f>INDEX('Activity data'!BP$24:BP$39,MATCH(Emissions!$D70,'Activity data'!$D$24:$D$39,0))*INDEX(EF!$H$84:$H$99,MATCH(Emissions!$D70,EF!$D$84:$D$99,0))*INDEX(EF!$H$100:$H$115,MATCH(Emissions!$D70,EF!$D$100:$D$115,0))*INDEX(EF!$H$132:$H$147,MATCH(Emissions!$D70,EF!$D$132:$D$147,0))*kgtoGg</f>
        <v>6.369049647777722E-2</v>
      </c>
    </row>
    <row r="71" spans="1:68" x14ac:dyDescent="0.25">
      <c r="A71" t="str">
        <f t="shared" si="19"/>
        <v>3C Aggregated and non-CO2 emissions on land</v>
      </c>
      <c r="B71" t="str">
        <f>B70</f>
        <v>3C1 Biomass burning (N2O)</v>
      </c>
      <c r="C71" t="str">
        <f t="shared" ref="C71:C85" si="25">C55</f>
        <v>3C1a Biomass burning in forest land</v>
      </c>
      <c r="D71" t="str">
        <f>EF!D101</f>
        <v>Thickets</v>
      </c>
      <c r="E71" t="s">
        <v>726</v>
      </c>
      <c r="F71" t="str">
        <f>F70</f>
        <v>N2O</v>
      </c>
      <c r="G71" t="str">
        <f>G70</f>
        <v>Gg N2O</v>
      </c>
      <c r="H71" s="23">
        <f>INDEX('Activity data'!H$24:H$39,MATCH(Emissions!$D71,'Activity data'!$D$24:$D$39,0))*INDEX(EF!$H$84:$H$99,MATCH(Emissions!$D71,EF!$D$84:$D$99,0))*INDEX(EF!$H$100:$H$115,MATCH(Emissions!$D71,EF!$D$100:$D$115,0))*INDEX(EF!$H$132:$H$147,MATCH(Emissions!$D71,EF!$D$132:$D$147,0))*kgtoGg</f>
        <v>0.1386787051643949</v>
      </c>
      <c r="I71" s="23">
        <f>INDEX('Activity data'!I$24:I$39,MATCH(Emissions!$D71,'Activity data'!$D$24:$D$39,0))*INDEX(EF!$H$84:$H$99,MATCH(Emissions!$D71,EF!$D$84:$D$99,0))*INDEX(EF!$H$100:$H$115,MATCH(Emissions!$D71,EF!$D$100:$D$115,0))*INDEX(EF!$H$132:$H$147,MATCH(Emissions!$D71,EF!$D$132:$D$147,0))*kgtoGg</f>
        <v>0.1386787051643949</v>
      </c>
      <c r="J71" s="23">
        <f>INDEX('Activity data'!J$24:J$39,MATCH(Emissions!$D71,'Activity data'!$D$24:$D$39,0))*INDEX(EF!$H$84:$H$99,MATCH(Emissions!$D71,EF!$D$84:$D$99,0))*INDEX(EF!$H$100:$H$115,MATCH(Emissions!$D71,EF!$D$100:$D$115,0))*INDEX(EF!$H$132:$H$147,MATCH(Emissions!$D71,EF!$D$132:$D$147,0))*kgtoGg</f>
        <v>0.1386787051643949</v>
      </c>
      <c r="K71" s="23">
        <f>INDEX('Activity data'!K$24:K$39,MATCH(Emissions!$D71,'Activity data'!$D$24:$D$39,0))*INDEX(EF!$H$84:$H$99,MATCH(Emissions!$D71,EF!$D$84:$D$99,0))*INDEX(EF!$H$100:$H$115,MATCH(Emissions!$D71,EF!$D$100:$D$115,0))*INDEX(EF!$H$132:$H$147,MATCH(Emissions!$D71,EF!$D$132:$D$147,0))*kgtoGg</f>
        <v>0.1386787051643949</v>
      </c>
      <c r="L71" s="23">
        <f>INDEX('Activity data'!L$24:L$39,MATCH(Emissions!$D71,'Activity data'!$D$24:$D$39,0))*INDEX(EF!$H$84:$H$99,MATCH(Emissions!$D71,EF!$D$84:$D$99,0))*INDEX(EF!$H$100:$H$115,MATCH(Emissions!$D71,EF!$D$100:$D$115,0))*INDEX(EF!$H$132:$H$147,MATCH(Emissions!$D71,EF!$D$132:$D$147,0))*kgtoGg</f>
        <v>0.1386787051643949</v>
      </c>
      <c r="M71" s="23">
        <f>INDEX('Activity data'!M$24:M$39,MATCH(Emissions!$D71,'Activity data'!$D$24:$D$39,0))*INDEX(EF!$H$84:$H$99,MATCH(Emissions!$D71,EF!$D$84:$D$99,0))*INDEX(EF!$H$100:$H$115,MATCH(Emissions!$D71,EF!$D$100:$D$115,0))*INDEX(EF!$H$132:$H$147,MATCH(Emissions!$D71,EF!$D$132:$D$147,0))*kgtoGg</f>
        <v>0.1386787051643949</v>
      </c>
      <c r="N71" s="23">
        <f>INDEX('Activity data'!N$24:N$39,MATCH(Emissions!$D71,'Activity data'!$D$24:$D$39,0))*INDEX(EF!$H$84:$H$99,MATCH(Emissions!$D71,EF!$D$84:$D$99,0))*INDEX(EF!$H$100:$H$115,MATCH(Emissions!$D71,EF!$D$100:$D$115,0))*INDEX(EF!$H$132:$H$147,MATCH(Emissions!$D71,EF!$D$132:$D$147,0))*kgtoGg</f>
        <v>0.1386787051643949</v>
      </c>
      <c r="O71" s="23">
        <f>INDEX('Activity data'!O$24:O$39,MATCH(Emissions!$D71,'Activity data'!$D$24:$D$39,0))*INDEX(EF!$H$84:$H$99,MATCH(Emissions!$D71,EF!$D$84:$D$99,0))*INDEX(EF!$H$100:$H$115,MATCH(Emissions!$D71,EF!$D$100:$D$115,0))*INDEX(EF!$H$132:$H$147,MATCH(Emissions!$D71,EF!$D$132:$D$147,0))*kgtoGg</f>
        <v>0.1386787051643949</v>
      </c>
      <c r="P71" s="23">
        <f>INDEX('Activity data'!P$24:P$39,MATCH(Emissions!$D71,'Activity data'!$D$24:$D$39,0))*INDEX(EF!$H$84:$H$99,MATCH(Emissions!$D71,EF!$D$84:$D$99,0))*INDEX(EF!$H$100:$H$115,MATCH(Emissions!$D71,EF!$D$100:$D$115,0))*INDEX(EF!$H$132:$H$147,MATCH(Emissions!$D71,EF!$D$132:$D$147,0))*kgtoGg</f>
        <v>0.1386787051643949</v>
      </c>
      <c r="Q71" s="23">
        <f>INDEX('Activity data'!Q$24:Q$39,MATCH(Emissions!$D71,'Activity data'!$D$24:$D$39,0))*INDEX(EF!$H$84:$H$99,MATCH(Emissions!$D71,EF!$D$84:$D$99,0))*INDEX(EF!$H$100:$H$115,MATCH(Emissions!$D71,EF!$D$100:$D$115,0))*INDEX(EF!$H$132:$H$147,MATCH(Emissions!$D71,EF!$D$132:$D$147,0))*kgtoGg</f>
        <v>0.1386787051643949</v>
      </c>
      <c r="R71" s="23">
        <f>INDEX('Activity data'!R$24:R$39,MATCH(Emissions!$D71,'Activity data'!$D$24:$D$39,0))*INDEX(EF!$H$84:$H$99,MATCH(Emissions!$D71,EF!$D$84:$D$99,0))*INDEX(EF!$H$100:$H$115,MATCH(Emissions!$D71,EF!$D$100:$D$115,0))*INDEX(EF!$H$132:$H$147,MATCH(Emissions!$D71,EF!$D$132:$D$147,0))*kgtoGg</f>
        <v>0.14239374078639105</v>
      </c>
      <c r="S71" s="23">
        <f>INDEX('Activity data'!S$24:S$39,MATCH(Emissions!$D71,'Activity data'!$D$24:$D$39,0))*INDEX(EF!$H$84:$H$99,MATCH(Emissions!$D71,EF!$D$84:$D$99,0))*INDEX(EF!$H$100:$H$115,MATCH(Emissions!$D71,EF!$D$100:$D$115,0))*INDEX(EF!$H$132:$H$147,MATCH(Emissions!$D71,EF!$D$132:$D$147,0))*kgtoGg</f>
        <v>0.18074095126601653</v>
      </c>
      <c r="T71" s="23">
        <f>INDEX('Activity data'!T$24:T$39,MATCH(Emissions!$D71,'Activity data'!$D$24:$D$39,0))*INDEX(EF!$H$84:$H$99,MATCH(Emissions!$D71,EF!$D$84:$D$99,0))*INDEX(EF!$H$100:$H$115,MATCH(Emissions!$D71,EF!$D$100:$D$115,0))*INDEX(EF!$H$132:$H$147,MATCH(Emissions!$D71,EF!$D$132:$D$147,0))*kgtoGg</f>
        <v>0.16683350476872413</v>
      </c>
      <c r="U71" s="23">
        <f>INDEX('Activity data'!U$24:U$39,MATCH(Emissions!$D71,'Activity data'!$D$24:$D$39,0))*INDEX(EF!$H$84:$H$99,MATCH(Emissions!$D71,EF!$D$84:$D$99,0))*INDEX(EF!$H$100:$H$115,MATCH(Emissions!$D71,EF!$D$100:$D$115,0))*INDEX(EF!$H$132:$H$147,MATCH(Emissions!$D71,EF!$D$132:$D$147,0))*kgtoGg</f>
        <v>0.10026447084622828</v>
      </c>
      <c r="V71" s="23">
        <f>INDEX('Activity data'!V$24:V$39,MATCH(Emissions!$D71,'Activity data'!$D$24:$D$39,0))*INDEX(EF!$H$84:$H$99,MATCH(Emissions!$D71,EF!$D$84:$D$99,0))*INDEX(EF!$H$100:$H$115,MATCH(Emissions!$D71,EF!$D$100:$D$115,0))*INDEX(EF!$H$132:$H$147,MATCH(Emissions!$D71,EF!$D$132:$D$147,0))*kgtoGg</f>
        <v>0.10316085815461448</v>
      </c>
      <c r="W71" s="23">
        <f>INDEX('Activity data'!W$24:W$39,MATCH(Emissions!$D71,'Activity data'!$D$24:$D$39,0))*INDEX(EF!$H$84:$H$99,MATCH(Emissions!$D71,EF!$D$84:$D$99,0))*INDEX(EF!$H$100:$H$115,MATCH(Emissions!$D71,EF!$D$100:$D$115,0))*INDEX(EF!$H$132:$H$147,MATCH(Emissions!$D71,EF!$D$132:$D$147,0))*kgtoGg</f>
        <v>0.17717432557221868</v>
      </c>
      <c r="X71" s="23">
        <f>INDEX('Activity data'!X$24:X$39,MATCH(Emissions!$D71,'Activity data'!$D$24:$D$39,0))*INDEX(EF!$H$84:$H$99,MATCH(Emissions!$D71,EF!$D$84:$D$99,0))*INDEX(EF!$H$100:$H$115,MATCH(Emissions!$D71,EF!$D$100:$D$115,0))*INDEX(EF!$H$132:$H$147,MATCH(Emissions!$D71,EF!$D$132:$D$147,0))*kgtoGg</f>
        <v>0.14152402669103542</v>
      </c>
      <c r="Y71" s="23">
        <f>INDEX('Activity data'!Y$24:Y$39,MATCH(Emissions!$D71,'Activity data'!$D$24:$D$39,0))*INDEX(EF!$H$84:$H$99,MATCH(Emissions!$D71,EF!$D$84:$D$99,0))*INDEX(EF!$H$100:$H$115,MATCH(Emissions!$D71,EF!$D$100:$D$115,0))*INDEX(EF!$H$132:$H$147,MATCH(Emissions!$D71,EF!$D$132:$D$147,0))*kgtoGg</f>
        <v>0.16523769908917249</v>
      </c>
      <c r="Z71" s="23">
        <f>INDEX('Activity data'!Z$24:Z$39,MATCH(Emissions!$D71,'Activity data'!$D$24:$D$39,0))*INDEX(EF!$H$84:$H$99,MATCH(Emissions!$D71,EF!$D$84:$D$99,0))*INDEX(EF!$H$100:$H$115,MATCH(Emissions!$D71,EF!$D$100:$D$115,0))*INDEX(EF!$H$132:$H$147,MATCH(Emissions!$D71,EF!$D$132:$D$147,0))*kgtoGg</f>
        <v>0.18179418301452055</v>
      </c>
      <c r="AA71" s="23">
        <f>INDEX('Activity data'!AA$24:AA$39,MATCH(Emissions!$D71,'Activity data'!$D$24:$D$39,0))*INDEX(EF!$H$84:$H$99,MATCH(Emissions!$D71,EF!$D$84:$D$99,0))*INDEX(EF!$H$100:$H$115,MATCH(Emissions!$D71,EF!$D$100:$D$115,0))*INDEX(EF!$H$132:$H$147,MATCH(Emissions!$D71,EF!$D$132:$D$147,0))*kgtoGg</f>
        <v>0.13219654249405621</v>
      </c>
      <c r="AB71" s="23">
        <f>INDEX('Activity data'!AB$24:AB$39,MATCH(Emissions!$D71,'Activity data'!$D$24:$D$39,0))*INDEX(EF!$H$84:$H$99,MATCH(Emissions!$D71,EF!$D$84:$D$99,0))*INDEX(EF!$H$100:$H$115,MATCH(Emissions!$D71,EF!$D$100:$D$115,0))*INDEX(EF!$H$132:$H$147,MATCH(Emissions!$D71,EF!$D$132:$D$147,0))*kgtoGg</f>
        <v>0.16154291134799995</v>
      </c>
      <c r="AC71" s="23">
        <f>INDEX('Activity data'!AC$24:AC$39,MATCH(Emissions!$D71,'Activity data'!$D$24:$D$39,0))*INDEX(EF!$H$84:$H$99,MATCH(Emissions!$D71,EF!$D$84:$D$99,0))*INDEX(EF!$H$100:$H$115,MATCH(Emissions!$D71,EF!$D$100:$D$115,0))*INDEX(EF!$H$132:$H$147,MATCH(Emissions!$D71,EF!$D$132:$D$147,0))*kgtoGg</f>
        <v>0.12862987137000001</v>
      </c>
      <c r="AD71" s="23">
        <f>INDEX('Activity data'!AD$24:AD$39,MATCH(Emissions!$D71,'Activity data'!$D$24:$D$39,0))*INDEX(EF!$H$84:$H$99,MATCH(Emissions!$D71,EF!$D$84:$D$99,0))*INDEX(EF!$H$100:$H$115,MATCH(Emissions!$D71,EF!$D$100:$D$115,0))*INDEX(EF!$H$132:$H$147,MATCH(Emissions!$D71,EF!$D$132:$D$147,0))*kgtoGg</f>
        <v>0.16500461140799999</v>
      </c>
      <c r="AE71" s="23">
        <f>INDEX('Activity data'!AE$24:AE$39,MATCH(Emissions!$D71,'Activity data'!$D$24:$D$39,0))*INDEX(EF!$H$84:$H$99,MATCH(Emissions!$D71,EF!$D$84:$D$99,0))*INDEX(EF!$H$100:$H$115,MATCH(Emissions!$D71,EF!$D$100:$D$115,0))*INDEX(EF!$H$132:$H$147,MATCH(Emissions!$D71,EF!$D$132:$D$147,0))*kgtoGg</f>
        <v>0.13323001418999997</v>
      </c>
      <c r="AF71" s="23">
        <f>INDEX('Activity data'!AF$24:AF$39,MATCH(Emissions!$D71,'Activity data'!$D$24:$D$39,0))*INDEX(EF!$H$84:$H$99,MATCH(Emissions!$D71,EF!$D$84:$D$99,0))*INDEX(EF!$H$100:$H$115,MATCH(Emissions!$D71,EF!$D$100:$D$115,0))*INDEX(EF!$H$132:$H$147,MATCH(Emissions!$D71,EF!$D$132:$D$147,0))*kgtoGg</f>
        <v>0.16845591671999999</v>
      </c>
      <c r="AG71" s="23">
        <f>INDEX('Activity data'!AG$24:AG$39,MATCH(Emissions!$D71,'Activity data'!$D$24:$D$39,0))*INDEX(EF!$H$84:$H$99,MATCH(Emissions!$D71,EF!$D$84:$D$99,0))*INDEX(EF!$H$100:$H$115,MATCH(Emissions!$D71,EF!$D$100:$D$115,0))*INDEX(EF!$H$132:$H$147,MATCH(Emissions!$D71,EF!$D$132:$D$147,0))*kgtoGg</f>
        <v>9.1831498668E-2</v>
      </c>
      <c r="AH71" s="23">
        <f>INDEX('Activity data'!AH$24:AH$39,MATCH(Emissions!$D71,'Activity data'!$D$24:$D$39,0))*INDEX(EF!$H$84:$H$99,MATCH(Emissions!$D71,EF!$D$84:$D$99,0))*INDEX(EF!$H$100:$H$115,MATCH(Emissions!$D71,EF!$D$100:$D$115,0))*INDEX(EF!$H$132:$H$147,MATCH(Emissions!$D71,EF!$D$132:$D$147,0))*kgtoGg</f>
        <v>5.5308898007999992E-2</v>
      </c>
      <c r="AI71" s="23">
        <f>INDEX('Activity data'!AI$24:AI$39,MATCH(Emissions!$D71,'Activity data'!$D$24:$D$39,0))*INDEX(EF!$H$84:$H$99,MATCH(Emissions!$D71,EF!$D$84:$D$99,0))*INDEX(EF!$H$100:$H$115,MATCH(Emissions!$D71,EF!$D$100:$D$115,0))*INDEX(EF!$H$132:$H$147,MATCH(Emissions!$D71,EF!$D$132:$D$147,0))*kgtoGg</f>
        <v>4.8892132925999997E-2</v>
      </c>
      <c r="AJ71" s="23">
        <f>INDEX('Activity data'!AJ$24:AJ$39,MATCH(Emissions!$D71,'Activity data'!$D$24:$D$39,0))*INDEX(EF!$H$84:$H$99,MATCH(Emissions!$D71,EF!$D$84:$D$99,0))*INDEX(EF!$H$100:$H$115,MATCH(Emissions!$D71,EF!$D$100:$D$115,0))*INDEX(EF!$H$132:$H$147,MATCH(Emissions!$D71,EF!$D$132:$D$147,0))*kgtoGg</f>
        <v>6.055337924312245E-2</v>
      </c>
      <c r="AK71" s="23">
        <f>INDEX('Activity data'!AK$24:AK$39,MATCH(Emissions!$D71,'Activity data'!$D$24:$D$39,0))*INDEX(EF!$H$84:$H$99,MATCH(Emissions!$D71,EF!$D$84:$D$99,0))*INDEX(EF!$H$100:$H$115,MATCH(Emissions!$D71,EF!$D$100:$D$115,0))*INDEX(EF!$H$132:$H$147,MATCH(Emissions!$D71,EF!$D$132:$D$147,0))*kgtoGg</f>
        <v>5.9268049111181574E-2</v>
      </c>
      <c r="AL71" s="23">
        <f>INDEX('Activity data'!AL$24:AL$39,MATCH(Emissions!$D71,'Activity data'!$D$24:$D$39,0))*INDEX(EF!$H$84:$H$99,MATCH(Emissions!$D71,EF!$D$84:$D$99,0))*INDEX(EF!$H$100:$H$115,MATCH(Emissions!$D71,EF!$D$100:$D$115,0))*INDEX(EF!$H$132:$H$147,MATCH(Emissions!$D71,EF!$D$132:$D$147,0))*kgtoGg</f>
        <v>5.7982718979240719E-2</v>
      </c>
      <c r="AM71" s="23">
        <f>INDEX('Activity data'!AM$24:AM$39,MATCH(Emissions!$D71,'Activity data'!$D$24:$D$39,0))*INDEX(EF!$H$84:$H$99,MATCH(Emissions!$D71,EF!$D$84:$D$99,0))*INDEX(EF!$H$100:$H$115,MATCH(Emissions!$D71,EF!$D$100:$D$115,0))*INDEX(EF!$H$132:$H$147,MATCH(Emissions!$D71,EF!$D$132:$D$147,0))*kgtoGg</f>
        <v>5.6697388847299864E-2</v>
      </c>
      <c r="AN71" s="23">
        <f>INDEX('Activity data'!AN$24:AN$39,MATCH(Emissions!$D71,'Activity data'!$D$24:$D$39,0))*INDEX(EF!$H$84:$H$99,MATCH(Emissions!$D71,EF!$D$84:$D$99,0))*INDEX(EF!$H$100:$H$115,MATCH(Emissions!$D71,EF!$D$100:$D$115,0))*INDEX(EF!$H$132:$H$147,MATCH(Emissions!$D71,EF!$D$132:$D$147,0))*kgtoGg</f>
        <v>5.5412058715359001E-2</v>
      </c>
      <c r="AO71" s="23">
        <f>INDEX('Activity data'!AO$24:AO$39,MATCH(Emissions!$D71,'Activity data'!$D$24:$D$39,0))*INDEX(EF!$H$84:$H$99,MATCH(Emissions!$D71,EF!$D$84:$D$99,0))*INDEX(EF!$H$100:$H$115,MATCH(Emissions!$D71,EF!$D$100:$D$115,0))*INDEX(EF!$H$132:$H$147,MATCH(Emissions!$D71,EF!$D$132:$D$147,0))*kgtoGg</f>
        <v>5.4126728583418139E-2</v>
      </c>
      <c r="AP71" s="23">
        <f>INDEX('Activity data'!AP$24:AP$39,MATCH(Emissions!$D71,'Activity data'!$D$24:$D$39,0))*INDEX(EF!$H$84:$H$99,MATCH(Emissions!$D71,EF!$D$84:$D$99,0))*INDEX(EF!$H$100:$H$115,MATCH(Emissions!$D71,EF!$D$100:$D$115,0))*INDEX(EF!$H$132:$H$147,MATCH(Emissions!$D71,EF!$D$132:$D$147,0))*kgtoGg</f>
        <v>5.2841398451477277E-2</v>
      </c>
      <c r="AQ71" s="23">
        <f>INDEX('Activity data'!AQ$24:AQ$39,MATCH(Emissions!$D71,'Activity data'!$D$24:$D$39,0))*INDEX(EF!$H$84:$H$99,MATCH(Emissions!$D71,EF!$D$84:$D$99,0))*INDEX(EF!$H$100:$H$115,MATCH(Emissions!$D71,EF!$D$100:$D$115,0))*INDEX(EF!$H$132:$H$147,MATCH(Emissions!$D71,EF!$D$132:$D$147,0))*kgtoGg</f>
        <v>5.1556068319536415E-2</v>
      </c>
      <c r="AR71" s="23">
        <f>INDEX('Activity data'!AR$24:AR$39,MATCH(Emissions!$D71,'Activity data'!$D$24:$D$39,0))*INDEX(EF!$H$84:$H$99,MATCH(Emissions!$D71,EF!$D$84:$D$99,0))*INDEX(EF!$H$100:$H$115,MATCH(Emissions!$D71,EF!$D$100:$D$115,0))*INDEX(EF!$H$132:$H$147,MATCH(Emissions!$D71,EF!$D$132:$D$147,0))*kgtoGg</f>
        <v>5.0270738187595566E-2</v>
      </c>
      <c r="AS71" s="23">
        <f>INDEX('Activity data'!AS$24:AS$39,MATCH(Emissions!$D71,'Activity data'!$D$24:$D$39,0))*INDEX(EF!$H$84:$H$99,MATCH(Emissions!$D71,EF!$D$84:$D$99,0))*INDEX(EF!$H$100:$H$115,MATCH(Emissions!$D71,EF!$D$100:$D$115,0))*INDEX(EF!$H$132:$H$147,MATCH(Emissions!$D71,EF!$D$132:$D$147,0))*kgtoGg</f>
        <v>4.898540805565469E-2</v>
      </c>
      <c r="AT71" s="23">
        <f>INDEX('Activity data'!AT$24:AT$39,MATCH(Emissions!$D71,'Activity data'!$D$24:$D$39,0))*INDEX(EF!$H$84:$H$99,MATCH(Emissions!$D71,EF!$D$84:$D$99,0))*INDEX(EF!$H$100:$H$115,MATCH(Emissions!$D71,EF!$D$100:$D$115,0))*INDEX(EF!$H$132:$H$147,MATCH(Emissions!$D71,EF!$D$132:$D$147,0))*kgtoGg</f>
        <v>4.7700077923713842E-2</v>
      </c>
      <c r="AU71" s="23">
        <f>INDEX('Activity data'!AU$24:AU$39,MATCH(Emissions!$D71,'Activity data'!$D$24:$D$39,0))*INDEX(EF!$H$84:$H$99,MATCH(Emissions!$D71,EF!$D$84:$D$99,0))*INDEX(EF!$H$100:$H$115,MATCH(Emissions!$D71,EF!$D$100:$D$115,0))*INDEX(EF!$H$132:$H$147,MATCH(Emissions!$D71,EF!$D$132:$D$147,0))*kgtoGg</f>
        <v>4.6414747791772973E-2</v>
      </c>
      <c r="AV71" s="23">
        <f>INDEX('Activity data'!AV$24:AV$39,MATCH(Emissions!$D71,'Activity data'!$D$24:$D$39,0))*INDEX(EF!$H$84:$H$99,MATCH(Emissions!$D71,EF!$D$84:$D$99,0))*INDEX(EF!$H$100:$H$115,MATCH(Emissions!$D71,EF!$D$100:$D$115,0))*INDEX(EF!$H$132:$H$147,MATCH(Emissions!$D71,EF!$D$132:$D$147,0))*kgtoGg</f>
        <v>4.5129417659832111E-2</v>
      </c>
      <c r="AW71" s="23">
        <f>INDEX('Activity data'!AW$24:AW$39,MATCH(Emissions!$D71,'Activity data'!$D$24:$D$39,0))*INDEX(EF!$H$84:$H$99,MATCH(Emissions!$D71,EF!$D$84:$D$99,0))*INDEX(EF!$H$100:$H$115,MATCH(Emissions!$D71,EF!$D$100:$D$115,0))*INDEX(EF!$H$132:$H$147,MATCH(Emissions!$D71,EF!$D$132:$D$147,0))*kgtoGg</f>
        <v>4.3844087527891255E-2</v>
      </c>
      <c r="AX71" s="23">
        <f>INDEX('Activity data'!AX$24:AX$39,MATCH(Emissions!$D71,'Activity data'!$D$24:$D$39,0))*INDEX(EF!$H$84:$H$99,MATCH(Emissions!$D71,EF!$D$84:$D$99,0))*INDEX(EF!$H$100:$H$115,MATCH(Emissions!$D71,EF!$D$100:$D$115,0))*INDEX(EF!$H$132:$H$147,MATCH(Emissions!$D71,EF!$D$132:$D$147,0))*kgtoGg</f>
        <v>4.25587573959504E-2</v>
      </c>
      <c r="AY71" s="23">
        <f>INDEX('Activity data'!AY$24:AY$39,MATCH(Emissions!$D71,'Activity data'!$D$24:$D$39,0))*INDEX(EF!$H$84:$H$99,MATCH(Emissions!$D71,EF!$D$84:$D$99,0))*INDEX(EF!$H$100:$H$115,MATCH(Emissions!$D71,EF!$D$100:$D$115,0))*INDEX(EF!$H$132:$H$147,MATCH(Emissions!$D71,EF!$D$132:$D$147,0))*kgtoGg</f>
        <v>4.1273427264009538E-2</v>
      </c>
      <c r="AZ71" s="23">
        <f>INDEX('Activity data'!AZ$24:AZ$39,MATCH(Emissions!$D71,'Activity data'!$D$24:$D$39,0))*INDEX(EF!$H$84:$H$99,MATCH(Emissions!$D71,EF!$D$84:$D$99,0))*INDEX(EF!$H$100:$H$115,MATCH(Emissions!$D71,EF!$D$100:$D$115,0))*INDEX(EF!$H$132:$H$147,MATCH(Emissions!$D71,EF!$D$132:$D$147,0))*kgtoGg</f>
        <v>3.9988097132068669E-2</v>
      </c>
      <c r="BA71" s="23">
        <f>INDEX('Activity data'!BA$24:BA$39,MATCH(Emissions!$D71,'Activity data'!$D$24:$D$39,0))*INDEX(EF!$H$84:$H$99,MATCH(Emissions!$D71,EF!$D$84:$D$99,0))*INDEX(EF!$H$100:$H$115,MATCH(Emissions!$D71,EF!$D$100:$D$115,0))*INDEX(EF!$H$132:$H$147,MATCH(Emissions!$D71,EF!$D$132:$D$147,0))*kgtoGg</f>
        <v>3.8702767000127807E-2</v>
      </c>
      <c r="BB71" s="23">
        <f>INDEX('Activity data'!BB$24:BB$39,MATCH(Emissions!$D71,'Activity data'!$D$24:$D$39,0))*INDEX(EF!$H$84:$H$99,MATCH(Emissions!$D71,EF!$D$84:$D$99,0))*INDEX(EF!$H$100:$H$115,MATCH(Emissions!$D71,EF!$D$100:$D$115,0))*INDEX(EF!$H$132:$H$147,MATCH(Emissions!$D71,EF!$D$132:$D$147,0))*kgtoGg</f>
        <v>3.7417436868186951E-2</v>
      </c>
      <c r="BC71" s="23">
        <f>INDEX('Activity data'!BC$24:BC$39,MATCH(Emissions!$D71,'Activity data'!$D$24:$D$39,0))*INDEX(EF!$H$84:$H$99,MATCH(Emissions!$D71,EF!$D$84:$D$99,0))*INDEX(EF!$H$100:$H$115,MATCH(Emissions!$D71,EF!$D$100:$D$115,0))*INDEX(EF!$H$132:$H$147,MATCH(Emissions!$D71,EF!$D$132:$D$147,0))*kgtoGg</f>
        <v>3.6132106736246089E-2</v>
      </c>
      <c r="BD71" s="23">
        <f>INDEX('Activity data'!BD$24:BD$39,MATCH(Emissions!$D71,'Activity data'!$D$24:$D$39,0))*INDEX(EF!$H$84:$H$99,MATCH(Emissions!$D71,EF!$D$84:$D$99,0))*INDEX(EF!$H$100:$H$115,MATCH(Emissions!$D71,EF!$D$100:$D$115,0))*INDEX(EF!$H$132:$H$147,MATCH(Emissions!$D71,EF!$D$132:$D$147,0))*kgtoGg</f>
        <v>3.4846776604305241E-2</v>
      </c>
      <c r="BE71" s="23">
        <f>INDEX('Activity data'!BE$24:BE$39,MATCH(Emissions!$D71,'Activity data'!$D$24:$D$39,0))*INDEX(EF!$H$84:$H$99,MATCH(Emissions!$D71,EF!$D$84:$D$99,0))*INDEX(EF!$H$100:$H$115,MATCH(Emissions!$D71,EF!$D$100:$D$115,0))*INDEX(EF!$H$132:$H$147,MATCH(Emissions!$D71,EF!$D$132:$D$147,0))*kgtoGg</f>
        <v>3.3561446472364372E-2</v>
      </c>
      <c r="BF71" s="23">
        <f>INDEX('Activity data'!BF$24:BF$39,MATCH(Emissions!$D71,'Activity data'!$D$24:$D$39,0))*INDEX(EF!$H$84:$H$99,MATCH(Emissions!$D71,EF!$D$84:$D$99,0))*INDEX(EF!$H$100:$H$115,MATCH(Emissions!$D71,EF!$D$100:$D$115,0))*INDEX(EF!$H$132:$H$147,MATCH(Emissions!$D71,EF!$D$132:$D$147,0))*kgtoGg</f>
        <v>3.2276116340423509E-2</v>
      </c>
      <c r="BG71" s="23">
        <f>INDEX('Activity data'!BG$24:BG$39,MATCH(Emissions!$D71,'Activity data'!$D$24:$D$39,0))*INDEX(EF!$H$84:$H$99,MATCH(Emissions!$D71,EF!$D$84:$D$99,0))*INDEX(EF!$H$100:$H$115,MATCH(Emissions!$D71,EF!$D$100:$D$115,0))*INDEX(EF!$H$132:$H$147,MATCH(Emissions!$D71,EF!$D$132:$D$147,0))*kgtoGg</f>
        <v>3.0990786208482647E-2</v>
      </c>
      <c r="BH71" s="23">
        <f>INDEX('Activity data'!BH$24:BH$39,MATCH(Emissions!$D71,'Activity data'!$D$24:$D$39,0))*INDEX(EF!$H$84:$H$99,MATCH(Emissions!$D71,EF!$D$84:$D$99,0))*INDEX(EF!$H$100:$H$115,MATCH(Emissions!$D71,EF!$D$100:$D$115,0))*INDEX(EF!$H$132:$H$147,MATCH(Emissions!$D71,EF!$D$132:$D$147,0))*kgtoGg</f>
        <v>2.9705456076541788E-2</v>
      </c>
      <c r="BI71" s="23">
        <f>INDEX('Activity data'!BI$24:BI$39,MATCH(Emissions!$D71,'Activity data'!$D$24:$D$39,0))*INDEX(EF!$H$84:$H$99,MATCH(Emissions!$D71,EF!$D$84:$D$99,0))*INDEX(EF!$H$100:$H$115,MATCH(Emissions!$D71,EF!$D$100:$D$115,0))*INDEX(EF!$H$132:$H$147,MATCH(Emissions!$D71,EF!$D$132:$D$147,0))*kgtoGg</f>
        <v>2.8420125944600926E-2</v>
      </c>
      <c r="BJ71" s="23">
        <f>INDEX('Activity data'!BJ$24:BJ$39,MATCH(Emissions!$D71,'Activity data'!$D$24:$D$39,0))*INDEX(EF!$H$84:$H$99,MATCH(Emissions!$D71,EF!$D$84:$D$99,0))*INDEX(EF!$H$100:$H$115,MATCH(Emissions!$D71,EF!$D$100:$D$115,0))*INDEX(EF!$H$132:$H$147,MATCH(Emissions!$D71,EF!$D$132:$D$147,0))*kgtoGg</f>
        <v>2.7134795812660071E-2</v>
      </c>
      <c r="BK71" s="23">
        <f>INDEX('Activity data'!BK$24:BK$39,MATCH(Emissions!$D71,'Activity data'!$D$24:$D$39,0))*INDEX(EF!$H$84:$H$99,MATCH(Emissions!$D71,EF!$D$84:$D$99,0))*INDEX(EF!$H$100:$H$115,MATCH(Emissions!$D71,EF!$D$100:$D$115,0))*INDEX(EF!$H$132:$H$147,MATCH(Emissions!$D71,EF!$D$132:$D$147,0))*kgtoGg</f>
        <v>2.5849465680719205E-2</v>
      </c>
      <c r="BL71" s="23">
        <f>INDEX('Activity data'!BL$24:BL$39,MATCH(Emissions!$D71,'Activity data'!$D$24:$D$39,0))*INDEX(EF!$H$84:$H$99,MATCH(Emissions!$D71,EF!$D$84:$D$99,0))*INDEX(EF!$H$100:$H$115,MATCH(Emissions!$D71,EF!$D$100:$D$115,0))*INDEX(EF!$H$132:$H$147,MATCH(Emissions!$D71,EF!$D$132:$D$147,0))*kgtoGg</f>
        <v>2.4564135548778347E-2</v>
      </c>
      <c r="BM71" s="23">
        <f>INDEX('Activity data'!BM$24:BM$39,MATCH(Emissions!$D71,'Activity data'!$D$24:$D$39,0))*INDEX(EF!$H$84:$H$99,MATCH(Emissions!$D71,EF!$D$84:$D$99,0))*INDEX(EF!$H$100:$H$115,MATCH(Emissions!$D71,EF!$D$100:$D$115,0))*INDEX(EF!$H$132:$H$147,MATCH(Emissions!$D71,EF!$D$132:$D$147,0))*kgtoGg</f>
        <v>2.3278805416837484E-2</v>
      </c>
      <c r="BN71" s="23">
        <f>INDEX('Activity data'!BN$24:BN$39,MATCH(Emissions!$D71,'Activity data'!$D$24:$D$39,0))*INDEX(EF!$H$84:$H$99,MATCH(Emissions!$D71,EF!$D$84:$D$99,0))*INDEX(EF!$H$100:$H$115,MATCH(Emissions!$D71,EF!$D$100:$D$115,0))*INDEX(EF!$H$132:$H$147,MATCH(Emissions!$D71,EF!$D$132:$D$147,0))*kgtoGg</f>
        <v>2.1993475284896619E-2</v>
      </c>
      <c r="BO71" s="23">
        <f>INDEX('Activity data'!BO$24:BO$39,MATCH(Emissions!$D71,'Activity data'!$D$24:$D$39,0))*INDEX(EF!$H$84:$H$99,MATCH(Emissions!$D71,EF!$D$84:$D$99,0))*INDEX(EF!$H$100:$H$115,MATCH(Emissions!$D71,EF!$D$100:$D$115,0))*INDEX(EF!$H$132:$H$147,MATCH(Emissions!$D71,EF!$D$132:$D$147,0))*kgtoGg</f>
        <v>2.0708145152955756E-2</v>
      </c>
      <c r="BP71" s="23">
        <f>INDEX('Activity data'!BP$24:BP$39,MATCH(Emissions!$D71,'Activity data'!$D$24:$D$39,0))*INDEX(EF!$H$84:$H$99,MATCH(Emissions!$D71,EF!$D$84:$D$99,0))*INDEX(EF!$H$100:$H$115,MATCH(Emissions!$D71,EF!$D$100:$D$115,0))*INDEX(EF!$H$132:$H$147,MATCH(Emissions!$D71,EF!$D$132:$D$147,0))*kgtoGg</f>
        <v>1.9422815021014891E-2</v>
      </c>
    </row>
    <row r="72" spans="1:68" x14ac:dyDescent="0.25">
      <c r="A72" t="str">
        <f t="shared" si="19"/>
        <v>3C Aggregated and non-CO2 emissions on land</v>
      </c>
      <c r="B72" t="str">
        <f t="shared" ref="B72:B85" si="26">B71</f>
        <v>3C1 Biomass burning (N2O)</v>
      </c>
      <c r="C72" t="str">
        <f t="shared" si="25"/>
        <v>3C1a Biomass burning in forest land</v>
      </c>
      <c r="D72" t="str">
        <f>EF!D102</f>
        <v>Woodlands</v>
      </c>
      <c r="E72" t="s">
        <v>727</v>
      </c>
      <c r="F72" t="str">
        <f t="shared" ref="F72:F85" si="27">F71</f>
        <v>N2O</v>
      </c>
      <c r="G72" t="str">
        <f t="shared" ref="G72:G85" si="28">G71</f>
        <v>Gg N2O</v>
      </c>
      <c r="H72" s="23">
        <f>INDEX('Activity data'!H$24:H$39,MATCH(Emissions!$D72,'Activity data'!$D$24:$D$39,0))*INDEX(EF!$H$84:$H$99,MATCH(Emissions!$D72,EF!$D$84:$D$99,0))*INDEX(EF!$H$100:$H$115,MATCH(Emissions!$D72,EF!$D$100:$D$115,0))*INDEX(EF!$H$132:$H$147,MATCH(Emissions!$D72,EF!$D$132:$D$147,0))*kgtoGg</f>
        <v>0.51615689922073593</v>
      </c>
      <c r="I72" s="23">
        <f>INDEX('Activity data'!I$24:I$39,MATCH(Emissions!$D72,'Activity data'!$D$24:$D$39,0))*INDEX(EF!$H$84:$H$99,MATCH(Emissions!$D72,EF!$D$84:$D$99,0))*INDEX(EF!$H$100:$H$115,MATCH(Emissions!$D72,EF!$D$100:$D$115,0))*INDEX(EF!$H$132:$H$147,MATCH(Emissions!$D72,EF!$D$132:$D$147,0))*kgtoGg</f>
        <v>0.51615689922073593</v>
      </c>
      <c r="J72" s="23">
        <f>INDEX('Activity data'!J$24:J$39,MATCH(Emissions!$D72,'Activity data'!$D$24:$D$39,0))*INDEX(EF!$H$84:$H$99,MATCH(Emissions!$D72,EF!$D$84:$D$99,0))*INDEX(EF!$H$100:$H$115,MATCH(Emissions!$D72,EF!$D$100:$D$115,0))*INDEX(EF!$H$132:$H$147,MATCH(Emissions!$D72,EF!$D$132:$D$147,0))*kgtoGg</f>
        <v>0.51615689922073593</v>
      </c>
      <c r="K72" s="23">
        <f>INDEX('Activity data'!K$24:K$39,MATCH(Emissions!$D72,'Activity data'!$D$24:$D$39,0))*INDEX(EF!$H$84:$H$99,MATCH(Emissions!$D72,EF!$D$84:$D$99,0))*INDEX(EF!$H$100:$H$115,MATCH(Emissions!$D72,EF!$D$100:$D$115,0))*INDEX(EF!$H$132:$H$147,MATCH(Emissions!$D72,EF!$D$132:$D$147,0))*kgtoGg</f>
        <v>0.51615689922073593</v>
      </c>
      <c r="L72" s="23">
        <f>INDEX('Activity data'!L$24:L$39,MATCH(Emissions!$D72,'Activity data'!$D$24:$D$39,0))*INDEX(EF!$H$84:$H$99,MATCH(Emissions!$D72,EF!$D$84:$D$99,0))*INDEX(EF!$H$100:$H$115,MATCH(Emissions!$D72,EF!$D$100:$D$115,0))*INDEX(EF!$H$132:$H$147,MATCH(Emissions!$D72,EF!$D$132:$D$147,0))*kgtoGg</f>
        <v>0.51615689922073593</v>
      </c>
      <c r="M72" s="23">
        <f>INDEX('Activity data'!M$24:M$39,MATCH(Emissions!$D72,'Activity data'!$D$24:$D$39,0))*INDEX(EF!$H$84:$H$99,MATCH(Emissions!$D72,EF!$D$84:$D$99,0))*INDEX(EF!$H$100:$H$115,MATCH(Emissions!$D72,EF!$D$100:$D$115,0))*INDEX(EF!$H$132:$H$147,MATCH(Emissions!$D72,EF!$D$132:$D$147,0))*kgtoGg</f>
        <v>0.51615689922073593</v>
      </c>
      <c r="N72" s="23">
        <f>INDEX('Activity data'!N$24:N$39,MATCH(Emissions!$D72,'Activity data'!$D$24:$D$39,0))*INDEX(EF!$H$84:$H$99,MATCH(Emissions!$D72,EF!$D$84:$D$99,0))*INDEX(EF!$H$100:$H$115,MATCH(Emissions!$D72,EF!$D$100:$D$115,0))*INDEX(EF!$H$132:$H$147,MATCH(Emissions!$D72,EF!$D$132:$D$147,0))*kgtoGg</f>
        <v>0.51615689922073593</v>
      </c>
      <c r="O72" s="23">
        <f>INDEX('Activity data'!O$24:O$39,MATCH(Emissions!$D72,'Activity data'!$D$24:$D$39,0))*INDEX(EF!$H$84:$H$99,MATCH(Emissions!$D72,EF!$D$84:$D$99,0))*INDEX(EF!$H$100:$H$115,MATCH(Emissions!$D72,EF!$D$100:$D$115,0))*INDEX(EF!$H$132:$H$147,MATCH(Emissions!$D72,EF!$D$132:$D$147,0))*kgtoGg</f>
        <v>0.51615689922073593</v>
      </c>
      <c r="P72" s="23">
        <f>INDEX('Activity data'!P$24:P$39,MATCH(Emissions!$D72,'Activity data'!$D$24:$D$39,0))*INDEX(EF!$H$84:$H$99,MATCH(Emissions!$D72,EF!$D$84:$D$99,0))*INDEX(EF!$H$100:$H$115,MATCH(Emissions!$D72,EF!$D$100:$D$115,0))*INDEX(EF!$H$132:$H$147,MATCH(Emissions!$D72,EF!$D$132:$D$147,0))*kgtoGg</f>
        <v>0.51615689922073593</v>
      </c>
      <c r="Q72" s="23">
        <f>INDEX('Activity data'!Q$24:Q$39,MATCH(Emissions!$D72,'Activity data'!$D$24:$D$39,0))*INDEX(EF!$H$84:$H$99,MATCH(Emissions!$D72,EF!$D$84:$D$99,0))*INDEX(EF!$H$100:$H$115,MATCH(Emissions!$D72,EF!$D$100:$D$115,0))*INDEX(EF!$H$132:$H$147,MATCH(Emissions!$D72,EF!$D$132:$D$147,0))*kgtoGg</f>
        <v>0.51615689922073593</v>
      </c>
      <c r="R72" s="23">
        <f>INDEX('Activity data'!R$24:R$39,MATCH(Emissions!$D72,'Activity data'!$D$24:$D$39,0))*INDEX(EF!$H$84:$H$99,MATCH(Emissions!$D72,EF!$D$84:$D$99,0))*INDEX(EF!$H$100:$H$115,MATCH(Emissions!$D72,EF!$D$100:$D$115,0))*INDEX(EF!$H$132:$H$147,MATCH(Emissions!$D72,EF!$D$132:$D$147,0))*kgtoGg</f>
        <v>0.5405338840784204</v>
      </c>
      <c r="S72" s="23">
        <f>INDEX('Activity data'!S$24:S$39,MATCH(Emissions!$D72,'Activity data'!$D$24:$D$39,0))*INDEX(EF!$H$84:$H$99,MATCH(Emissions!$D72,EF!$D$84:$D$99,0))*INDEX(EF!$H$100:$H$115,MATCH(Emissions!$D72,EF!$D$100:$D$115,0))*INDEX(EF!$H$132:$H$147,MATCH(Emissions!$D72,EF!$D$132:$D$147,0))*kgtoGg</f>
        <v>0.77734472774207219</v>
      </c>
      <c r="T72" s="23">
        <f>INDEX('Activity data'!T$24:T$39,MATCH(Emissions!$D72,'Activity data'!$D$24:$D$39,0))*INDEX(EF!$H$84:$H$99,MATCH(Emissions!$D72,EF!$D$84:$D$99,0))*INDEX(EF!$H$100:$H$115,MATCH(Emissions!$D72,EF!$D$100:$D$115,0))*INDEX(EF!$H$132:$H$147,MATCH(Emissions!$D72,EF!$D$132:$D$147,0))*kgtoGg</f>
        <v>0.60115227491539969</v>
      </c>
      <c r="U72" s="23">
        <f>INDEX('Activity data'!U$24:U$39,MATCH(Emissions!$D72,'Activity data'!$D$24:$D$39,0))*INDEX(EF!$H$84:$H$99,MATCH(Emissions!$D72,EF!$D$84:$D$99,0))*INDEX(EF!$H$100:$H$115,MATCH(Emissions!$D72,EF!$D$100:$D$115,0))*INDEX(EF!$H$132:$H$147,MATCH(Emissions!$D72,EF!$D$132:$D$147,0))*kgtoGg</f>
        <v>0.23051703774951418</v>
      </c>
      <c r="V72" s="23">
        <f>INDEX('Activity data'!V$24:V$39,MATCH(Emissions!$D72,'Activity data'!$D$24:$D$39,0))*INDEX(EF!$H$84:$H$99,MATCH(Emissions!$D72,EF!$D$84:$D$99,0))*INDEX(EF!$H$100:$H$115,MATCH(Emissions!$D72,EF!$D$100:$D$115,0))*INDEX(EF!$H$132:$H$147,MATCH(Emissions!$D72,EF!$D$132:$D$147,0))*kgtoGg</f>
        <v>0.43123657161827345</v>
      </c>
      <c r="W72" s="23">
        <f>INDEX('Activity data'!W$24:W$39,MATCH(Emissions!$D72,'Activity data'!$D$24:$D$39,0))*INDEX(EF!$H$84:$H$99,MATCH(Emissions!$D72,EF!$D$84:$D$99,0))*INDEX(EF!$H$100:$H$115,MATCH(Emissions!$D72,EF!$D$100:$D$115,0))*INDEX(EF!$H$132:$H$147,MATCH(Emissions!$D72,EF!$D$132:$D$147,0))*kgtoGg</f>
        <v>0.72810294542739629</v>
      </c>
      <c r="X72" s="23">
        <f>INDEX('Activity data'!X$24:X$39,MATCH(Emissions!$D72,'Activity data'!$D$24:$D$39,0))*INDEX(EF!$H$84:$H$99,MATCH(Emissions!$D72,EF!$D$84:$D$99,0))*INDEX(EF!$H$100:$H$115,MATCH(Emissions!$D72,EF!$D$100:$D$115,0))*INDEX(EF!$H$132:$H$147,MATCH(Emissions!$D72,EF!$D$132:$D$147,0))*kgtoGg</f>
        <v>0.63168320333357431</v>
      </c>
      <c r="Y72" s="23">
        <f>INDEX('Activity data'!Y$24:Y$39,MATCH(Emissions!$D72,'Activity data'!$D$24:$D$39,0))*INDEX(EF!$H$84:$H$99,MATCH(Emissions!$D72,EF!$D$84:$D$99,0))*INDEX(EF!$H$100:$H$115,MATCH(Emissions!$D72,EF!$D$100:$D$115,0))*INDEX(EF!$H$132:$H$147,MATCH(Emissions!$D72,EF!$D$132:$D$147,0))*kgtoGg</f>
        <v>0.3634715556375987</v>
      </c>
      <c r="Z72" s="23">
        <f>INDEX('Activity data'!Z$24:Z$39,MATCH(Emissions!$D72,'Activity data'!$D$24:$D$39,0))*INDEX(EF!$H$84:$H$99,MATCH(Emissions!$D72,EF!$D$84:$D$99,0))*INDEX(EF!$H$100:$H$115,MATCH(Emissions!$D72,EF!$D$100:$D$115,0))*INDEX(EF!$H$132:$H$147,MATCH(Emissions!$D72,EF!$D$132:$D$147,0))*kgtoGg</f>
        <v>0.65636379183698135</v>
      </c>
      <c r="AA72" s="23">
        <f>INDEX('Activity data'!AA$24:AA$39,MATCH(Emissions!$D72,'Activity data'!$D$24:$D$39,0))*INDEX(EF!$H$84:$H$99,MATCH(Emissions!$D72,EF!$D$84:$D$99,0))*INDEX(EF!$H$100:$H$115,MATCH(Emissions!$D72,EF!$D$100:$D$115,0))*INDEX(EF!$H$132:$H$147,MATCH(Emissions!$D72,EF!$D$132:$D$147,0))*kgtoGg</f>
        <v>0.43249874407801925</v>
      </c>
      <c r="AB72" s="23">
        <f>INDEX('Activity data'!AB$24:AB$39,MATCH(Emissions!$D72,'Activity data'!$D$24:$D$39,0))*INDEX(EF!$H$84:$H$99,MATCH(Emissions!$D72,EF!$D$84:$D$99,0))*INDEX(EF!$H$100:$H$115,MATCH(Emissions!$D72,EF!$D$100:$D$115,0))*INDEX(EF!$H$132:$H$147,MATCH(Emissions!$D72,EF!$D$132:$D$147,0))*kgtoGg</f>
        <v>0.60930467136000011</v>
      </c>
      <c r="AC72" s="23">
        <f>INDEX('Activity data'!AC$24:AC$39,MATCH(Emissions!$D72,'Activity data'!$D$24:$D$39,0))*INDEX(EF!$H$84:$H$99,MATCH(Emissions!$D72,EF!$D$84:$D$99,0))*INDEX(EF!$H$100:$H$115,MATCH(Emissions!$D72,EF!$D$100:$D$115,0))*INDEX(EF!$H$132:$H$147,MATCH(Emissions!$D72,EF!$D$132:$D$147,0))*kgtoGg</f>
        <v>0.55754395804799994</v>
      </c>
      <c r="AD72" s="23">
        <f>INDEX('Activity data'!AD$24:AD$39,MATCH(Emissions!$D72,'Activity data'!$D$24:$D$39,0))*INDEX(EF!$H$84:$H$99,MATCH(Emissions!$D72,EF!$D$84:$D$99,0))*INDEX(EF!$H$100:$H$115,MATCH(Emissions!$D72,EF!$D$100:$D$115,0))*INDEX(EF!$H$132:$H$147,MATCH(Emissions!$D72,EF!$D$132:$D$147,0))*kgtoGg</f>
        <v>0.44938932191999997</v>
      </c>
      <c r="AE72" s="23">
        <f>INDEX('Activity data'!AE$24:AE$39,MATCH(Emissions!$D72,'Activity data'!$D$24:$D$39,0))*INDEX(EF!$H$84:$H$99,MATCH(Emissions!$D72,EF!$D$84:$D$99,0))*INDEX(EF!$H$100:$H$115,MATCH(Emissions!$D72,EF!$D$100:$D$115,0))*INDEX(EF!$H$132:$H$147,MATCH(Emissions!$D72,EF!$D$132:$D$147,0))*kgtoGg</f>
        <v>0.35054142076799999</v>
      </c>
      <c r="AF72" s="23">
        <f>INDEX('Activity data'!AF$24:AF$39,MATCH(Emissions!$D72,'Activity data'!$D$24:$D$39,0))*INDEX(EF!$H$84:$H$99,MATCH(Emissions!$D72,EF!$D$84:$D$99,0))*INDEX(EF!$H$100:$H$115,MATCH(Emissions!$D72,EF!$D$100:$D$115,0))*INDEX(EF!$H$132:$H$147,MATCH(Emissions!$D72,EF!$D$132:$D$147,0))*kgtoGg</f>
        <v>0.535676603616</v>
      </c>
      <c r="AG72" s="23">
        <f>INDEX('Activity data'!AG$24:AG$39,MATCH(Emissions!$D72,'Activity data'!$D$24:$D$39,0))*INDEX(EF!$H$84:$H$99,MATCH(Emissions!$D72,EF!$D$84:$D$99,0))*INDEX(EF!$H$100:$H$115,MATCH(Emissions!$D72,EF!$D$100:$D$115,0))*INDEX(EF!$H$132:$H$147,MATCH(Emissions!$D72,EF!$D$132:$D$147,0))*kgtoGg</f>
        <v>0.35486068464000009</v>
      </c>
      <c r="AH72" s="23">
        <f>INDEX('Activity data'!AH$24:AH$39,MATCH(Emissions!$D72,'Activity data'!$D$24:$D$39,0))*INDEX(EF!$H$84:$H$99,MATCH(Emissions!$D72,EF!$D$84:$D$99,0))*INDEX(EF!$H$100:$H$115,MATCH(Emissions!$D72,EF!$D$100:$D$115,0))*INDEX(EF!$H$132:$H$147,MATCH(Emissions!$D72,EF!$D$132:$D$147,0))*kgtoGg</f>
        <v>9.4697219232000016E-2</v>
      </c>
      <c r="AI72" s="23">
        <f>INDEX('Activity data'!AI$24:AI$39,MATCH(Emissions!$D72,'Activity data'!$D$24:$D$39,0))*INDEX(EF!$H$84:$H$99,MATCH(Emissions!$D72,EF!$D$84:$D$99,0))*INDEX(EF!$H$100:$H$115,MATCH(Emissions!$D72,EF!$D$100:$D$115,0))*INDEX(EF!$H$132:$H$147,MATCH(Emissions!$D72,EF!$D$132:$D$147,0))*kgtoGg</f>
        <v>8.7446199456000004E-2</v>
      </c>
      <c r="AJ72" s="23">
        <f>INDEX('Activity data'!AJ$24:AJ$39,MATCH(Emissions!$D72,'Activity data'!$D$24:$D$39,0))*INDEX(EF!$H$84:$H$99,MATCH(Emissions!$D72,EF!$D$84:$D$99,0))*INDEX(EF!$H$100:$H$115,MATCH(Emissions!$D72,EF!$D$100:$D$115,0))*INDEX(EF!$H$132:$H$147,MATCH(Emissions!$D72,EF!$D$132:$D$147,0))*kgtoGg</f>
        <v>0.58870485613009726</v>
      </c>
      <c r="AK72" s="23">
        <f>INDEX('Activity data'!AK$24:AK$39,MATCH(Emissions!$D72,'Activity data'!$D$24:$D$39,0))*INDEX(EF!$H$84:$H$99,MATCH(Emissions!$D72,EF!$D$84:$D$99,0))*INDEX(EF!$H$100:$H$115,MATCH(Emissions!$D72,EF!$D$100:$D$115,0))*INDEX(EF!$H$132:$H$147,MATCH(Emissions!$D72,EF!$D$132:$D$147,0))*kgtoGg</f>
        <v>0.59133084856605023</v>
      </c>
      <c r="AL72" s="23">
        <f>INDEX('Activity data'!AL$24:AL$39,MATCH(Emissions!$D72,'Activity data'!$D$24:$D$39,0))*INDEX(EF!$H$84:$H$99,MATCH(Emissions!$D72,EF!$D$84:$D$99,0))*INDEX(EF!$H$100:$H$115,MATCH(Emissions!$D72,EF!$D$100:$D$115,0))*INDEX(EF!$H$132:$H$147,MATCH(Emissions!$D72,EF!$D$132:$D$147,0))*kgtoGg</f>
        <v>0.59395684100200341</v>
      </c>
      <c r="AM72" s="23">
        <f>INDEX('Activity data'!AM$24:AM$39,MATCH(Emissions!$D72,'Activity data'!$D$24:$D$39,0))*INDEX(EF!$H$84:$H$99,MATCH(Emissions!$D72,EF!$D$84:$D$99,0))*INDEX(EF!$H$100:$H$115,MATCH(Emissions!$D72,EF!$D$100:$D$115,0))*INDEX(EF!$H$132:$H$147,MATCH(Emissions!$D72,EF!$D$132:$D$147,0))*kgtoGg</f>
        <v>0.59658283343795659</v>
      </c>
      <c r="AN72" s="23">
        <f>INDEX('Activity data'!AN$24:AN$39,MATCH(Emissions!$D72,'Activity data'!$D$24:$D$39,0))*INDEX(EF!$H$84:$H$99,MATCH(Emissions!$D72,EF!$D$84:$D$99,0))*INDEX(EF!$H$100:$H$115,MATCH(Emissions!$D72,EF!$D$100:$D$115,0))*INDEX(EF!$H$132:$H$147,MATCH(Emissions!$D72,EF!$D$132:$D$147,0))*kgtoGg</f>
        <v>0.59920882587390978</v>
      </c>
      <c r="AO72" s="23">
        <f>INDEX('Activity data'!AO$24:AO$39,MATCH(Emissions!$D72,'Activity data'!$D$24:$D$39,0))*INDEX(EF!$H$84:$H$99,MATCH(Emissions!$D72,EF!$D$84:$D$99,0))*INDEX(EF!$H$100:$H$115,MATCH(Emissions!$D72,EF!$D$100:$D$115,0))*INDEX(EF!$H$132:$H$147,MATCH(Emissions!$D72,EF!$D$132:$D$147,0))*kgtoGg</f>
        <v>0.60183481830986296</v>
      </c>
      <c r="AP72" s="23">
        <f>INDEX('Activity data'!AP$24:AP$39,MATCH(Emissions!$D72,'Activity data'!$D$24:$D$39,0))*INDEX(EF!$H$84:$H$99,MATCH(Emissions!$D72,EF!$D$84:$D$99,0))*INDEX(EF!$H$100:$H$115,MATCH(Emissions!$D72,EF!$D$100:$D$115,0))*INDEX(EF!$H$132:$H$147,MATCH(Emissions!$D72,EF!$D$132:$D$147,0))*kgtoGg</f>
        <v>0.60446081074581615</v>
      </c>
      <c r="AQ72" s="23">
        <f>INDEX('Activity data'!AQ$24:AQ$39,MATCH(Emissions!$D72,'Activity data'!$D$24:$D$39,0))*INDEX(EF!$H$84:$H$99,MATCH(Emissions!$D72,EF!$D$84:$D$99,0))*INDEX(EF!$H$100:$H$115,MATCH(Emissions!$D72,EF!$D$100:$D$115,0))*INDEX(EF!$H$132:$H$147,MATCH(Emissions!$D72,EF!$D$132:$D$147,0))*kgtoGg</f>
        <v>0.60708680318176933</v>
      </c>
      <c r="AR72" s="23">
        <f>INDEX('Activity data'!AR$24:AR$39,MATCH(Emissions!$D72,'Activity data'!$D$24:$D$39,0))*INDEX(EF!$H$84:$H$99,MATCH(Emissions!$D72,EF!$D$84:$D$99,0))*INDEX(EF!$H$100:$H$115,MATCH(Emissions!$D72,EF!$D$100:$D$115,0))*INDEX(EF!$H$132:$H$147,MATCH(Emissions!$D72,EF!$D$132:$D$147,0))*kgtoGg</f>
        <v>0.6097127956177224</v>
      </c>
      <c r="AS72" s="23">
        <f>INDEX('Activity data'!AS$24:AS$39,MATCH(Emissions!$D72,'Activity data'!$D$24:$D$39,0))*INDEX(EF!$H$84:$H$99,MATCH(Emissions!$D72,EF!$D$84:$D$99,0))*INDEX(EF!$H$100:$H$115,MATCH(Emissions!$D72,EF!$D$100:$D$115,0))*INDEX(EF!$H$132:$H$147,MATCH(Emissions!$D72,EF!$D$132:$D$147,0))*kgtoGg</f>
        <v>0.6123387880536757</v>
      </c>
      <c r="AT72" s="23">
        <f>INDEX('Activity data'!AT$24:AT$39,MATCH(Emissions!$D72,'Activity data'!$D$24:$D$39,0))*INDEX(EF!$H$84:$H$99,MATCH(Emissions!$D72,EF!$D$84:$D$99,0))*INDEX(EF!$H$100:$H$115,MATCH(Emissions!$D72,EF!$D$100:$D$115,0))*INDEX(EF!$H$132:$H$147,MATCH(Emissions!$D72,EF!$D$132:$D$147,0))*kgtoGg</f>
        <v>0.61496478048962877</v>
      </c>
      <c r="AU72" s="23">
        <f>INDEX('Activity data'!AU$24:AU$39,MATCH(Emissions!$D72,'Activity data'!$D$24:$D$39,0))*INDEX(EF!$H$84:$H$99,MATCH(Emissions!$D72,EF!$D$84:$D$99,0))*INDEX(EF!$H$100:$H$115,MATCH(Emissions!$D72,EF!$D$100:$D$115,0))*INDEX(EF!$H$132:$H$147,MATCH(Emissions!$D72,EF!$D$132:$D$147,0))*kgtoGg</f>
        <v>0.61759077292558195</v>
      </c>
      <c r="AV72" s="23">
        <f>INDEX('Activity data'!AV$24:AV$39,MATCH(Emissions!$D72,'Activity data'!$D$24:$D$39,0))*INDEX(EF!$H$84:$H$99,MATCH(Emissions!$D72,EF!$D$84:$D$99,0))*INDEX(EF!$H$100:$H$115,MATCH(Emissions!$D72,EF!$D$100:$D$115,0))*INDEX(EF!$H$132:$H$147,MATCH(Emissions!$D72,EF!$D$132:$D$147,0))*kgtoGg</f>
        <v>0.62021676536153514</v>
      </c>
      <c r="AW72" s="23">
        <f>INDEX('Activity data'!AW$24:AW$39,MATCH(Emissions!$D72,'Activity data'!$D$24:$D$39,0))*INDEX(EF!$H$84:$H$99,MATCH(Emissions!$D72,EF!$D$84:$D$99,0))*INDEX(EF!$H$100:$H$115,MATCH(Emissions!$D72,EF!$D$100:$D$115,0))*INDEX(EF!$H$132:$H$147,MATCH(Emissions!$D72,EF!$D$132:$D$147,0))*kgtoGg</f>
        <v>0.62284275779748832</v>
      </c>
      <c r="AX72" s="23">
        <f>INDEX('Activity data'!AX$24:AX$39,MATCH(Emissions!$D72,'Activity data'!$D$24:$D$39,0))*INDEX(EF!$H$84:$H$99,MATCH(Emissions!$D72,EF!$D$84:$D$99,0))*INDEX(EF!$H$100:$H$115,MATCH(Emissions!$D72,EF!$D$100:$D$115,0))*INDEX(EF!$H$132:$H$147,MATCH(Emissions!$D72,EF!$D$132:$D$147,0))*kgtoGg</f>
        <v>0.62546875023344162</v>
      </c>
      <c r="AY72" s="23">
        <f>INDEX('Activity data'!AY$24:AY$39,MATCH(Emissions!$D72,'Activity data'!$D$24:$D$39,0))*INDEX(EF!$H$84:$H$99,MATCH(Emissions!$D72,EF!$D$84:$D$99,0))*INDEX(EF!$H$100:$H$115,MATCH(Emissions!$D72,EF!$D$100:$D$115,0))*INDEX(EF!$H$132:$H$147,MATCH(Emissions!$D72,EF!$D$132:$D$147,0))*kgtoGg</f>
        <v>0.62809474266939458</v>
      </c>
      <c r="AZ72" s="23">
        <f>INDEX('Activity data'!AZ$24:AZ$39,MATCH(Emissions!$D72,'Activity data'!$D$24:$D$39,0))*INDEX(EF!$H$84:$H$99,MATCH(Emissions!$D72,EF!$D$84:$D$99,0))*INDEX(EF!$H$100:$H$115,MATCH(Emissions!$D72,EF!$D$100:$D$115,0))*INDEX(EF!$H$132:$H$147,MATCH(Emissions!$D72,EF!$D$132:$D$147,0))*kgtoGg</f>
        <v>0.63072073510534776</v>
      </c>
      <c r="BA72" s="23">
        <f>INDEX('Activity data'!BA$24:BA$39,MATCH(Emissions!$D72,'Activity data'!$D$24:$D$39,0))*INDEX(EF!$H$84:$H$99,MATCH(Emissions!$D72,EF!$D$84:$D$99,0))*INDEX(EF!$H$100:$H$115,MATCH(Emissions!$D72,EF!$D$100:$D$115,0))*INDEX(EF!$H$132:$H$147,MATCH(Emissions!$D72,EF!$D$132:$D$147,0))*kgtoGg</f>
        <v>0.63334672754130106</v>
      </c>
      <c r="BB72" s="23">
        <f>INDEX('Activity data'!BB$24:BB$39,MATCH(Emissions!$D72,'Activity data'!$D$24:$D$39,0))*INDEX(EF!$H$84:$H$99,MATCH(Emissions!$D72,EF!$D$84:$D$99,0))*INDEX(EF!$H$100:$H$115,MATCH(Emissions!$D72,EF!$D$100:$D$115,0))*INDEX(EF!$H$132:$H$147,MATCH(Emissions!$D72,EF!$D$132:$D$147,0))*kgtoGg</f>
        <v>0.63597271997725413</v>
      </c>
      <c r="BC72" s="23">
        <f>INDEX('Activity data'!BC$24:BC$39,MATCH(Emissions!$D72,'Activity data'!$D$24:$D$39,0))*INDEX(EF!$H$84:$H$99,MATCH(Emissions!$D72,EF!$D$84:$D$99,0))*INDEX(EF!$H$100:$H$115,MATCH(Emissions!$D72,EF!$D$100:$D$115,0))*INDEX(EF!$H$132:$H$147,MATCH(Emissions!$D72,EF!$D$132:$D$147,0))*kgtoGg</f>
        <v>0.63859871241320731</v>
      </c>
      <c r="BD72" s="23">
        <f>INDEX('Activity data'!BD$24:BD$39,MATCH(Emissions!$D72,'Activity data'!$D$24:$D$39,0))*INDEX(EF!$H$84:$H$99,MATCH(Emissions!$D72,EF!$D$84:$D$99,0))*INDEX(EF!$H$100:$H$115,MATCH(Emissions!$D72,EF!$D$100:$D$115,0))*INDEX(EF!$H$132:$H$147,MATCH(Emissions!$D72,EF!$D$132:$D$147,0))*kgtoGg</f>
        <v>0.6412247048491605</v>
      </c>
      <c r="BE72" s="23">
        <f>INDEX('Activity data'!BE$24:BE$39,MATCH(Emissions!$D72,'Activity data'!$D$24:$D$39,0))*INDEX(EF!$H$84:$H$99,MATCH(Emissions!$D72,EF!$D$84:$D$99,0))*INDEX(EF!$H$100:$H$115,MATCH(Emissions!$D72,EF!$D$100:$D$115,0))*INDEX(EF!$H$132:$H$147,MATCH(Emissions!$D72,EF!$D$132:$D$147,0))*kgtoGg</f>
        <v>0.64385069728511368</v>
      </c>
      <c r="BF72" s="23">
        <f>INDEX('Activity data'!BF$24:BF$39,MATCH(Emissions!$D72,'Activity data'!$D$24:$D$39,0))*INDEX(EF!$H$84:$H$99,MATCH(Emissions!$D72,EF!$D$84:$D$99,0))*INDEX(EF!$H$100:$H$115,MATCH(Emissions!$D72,EF!$D$100:$D$115,0))*INDEX(EF!$H$132:$H$147,MATCH(Emissions!$D72,EF!$D$132:$D$147,0))*kgtoGg</f>
        <v>0.64647668972106687</v>
      </c>
      <c r="BG72" s="23">
        <f>INDEX('Activity data'!BG$24:BG$39,MATCH(Emissions!$D72,'Activity data'!$D$24:$D$39,0))*INDEX(EF!$H$84:$H$99,MATCH(Emissions!$D72,EF!$D$84:$D$99,0))*INDEX(EF!$H$100:$H$115,MATCH(Emissions!$D72,EF!$D$100:$D$115,0))*INDEX(EF!$H$132:$H$147,MATCH(Emissions!$D72,EF!$D$132:$D$147,0))*kgtoGg</f>
        <v>0.64910268215701994</v>
      </c>
      <c r="BH72" s="23">
        <f>INDEX('Activity data'!BH$24:BH$39,MATCH(Emissions!$D72,'Activity data'!$D$24:$D$39,0))*INDEX(EF!$H$84:$H$99,MATCH(Emissions!$D72,EF!$D$84:$D$99,0))*INDEX(EF!$H$100:$H$115,MATCH(Emissions!$D72,EF!$D$100:$D$115,0))*INDEX(EF!$H$132:$H$147,MATCH(Emissions!$D72,EF!$D$132:$D$147,0))*kgtoGg</f>
        <v>0.65172867459297301</v>
      </c>
      <c r="BI72" s="23">
        <f>INDEX('Activity data'!BI$24:BI$39,MATCH(Emissions!$D72,'Activity data'!$D$24:$D$39,0))*INDEX(EF!$H$84:$H$99,MATCH(Emissions!$D72,EF!$D$84:$D$99,0))*INDEX(EF!$H$100:$H$115,MATCH(Emissions!$D72,EF!$D$100:$D$115,0))*INDEX(EF!$H$132:$H$147,MATCH(Emissions!$D72,EF!$D$132:$D$147,0))*kgtoGg</f>
        <v>0.65435466702892631</v>
      </c>
      <c r="BJ72" s="23">
        <f>INDEX('Activity data'!BJ$24:BJ$39,MATCH(Emissions!$D72,'Activity data'!$D$24:$D$39,0))*INDEX(EF!$H$84:$H$99,MATCH(Emissions!$D72,EF!$D$84:$D$99,0))*INDEX(EF!$H$100:$H$115,MATCH(Emissions!$D72,EF!$D$100:$D$115,0))*INDEX(EF!$H$132:$H$147,MATCH(Emissions!$D72,EF!$D$132:$D$147,0))*kgtoGg</f>
        <v>0.65698065946487938</v>
      </c>
      <c r="BK72" s="23">
        <f>INDEX('Activity data'!BK$24:BK$39,MATCH(Emissions!$D72,'Activity data'!$D$24:$D$39,0))*INDEX(EF!$H$84:$H$99,MATCH(Emissions!$D72,EF!$D$84:$D$99,0))*INDEX(EF!$H$100:$H$115,MATCH(Emissions!$D72,EF!$D$100:$D$115,0))*INDEX(EF!$H$132:$H$147,MATCH(Emissions!$D72,EF!$D$132:$D$147,0))*kgtoGg</f>
        <v>0.65960665190083267</v>
      </c>
      <c r="BL72" s="23">
        <f>INDEX('Activity data'!BL$24:BL$39,MATCH(Emissions!$D72,'Activity data'!$D$24:$D$39,0))*INDEX(EF!$H$84:$H$99,MATCH(Emissions!$D72,EF!$D$84:$D$99,0))*INDEX(EF!$H$100:$H$115,MATCH(Emissions!$D72,EF!$D$100:$D$115,0))*INDEX(EF!$H$132:$H$147,MATCH(Emissions!$D72,EF!$D$132:$D$147,0))*kgtoGg</f>
        <v>0.66223264433678575</v>
      </c>
      <c r="BM72" s="23">
        <f>INDEX('Activity data'!BM$24:BM$39,MATCH(Emissions!$D72,'Activity data'!$D$24:$D$39,0))*INDEX(EF!$H$84:$H$99,MATCH(Emissions!$D72,EF!$D$84:$D$99,0))*INDEX(EF!$H$100:$H$115,MATCH(Emissions!$D72,EF!$D$100:$D$115,0))*INDEX(EF!$H$132:$H$147,MATCH(Emissions!$D72,EF!$D$132:$D$147,0))*kgtoGg</f>
        <v>0.66485863677273882</v>
      </c>
      <c r="BN72" s="23">
        <f>INDEX('Activity data'!BN$24:BN$39,MATCH(Emissions!$D72,'Activity data'!$D$24:$D$39,0))*INDEX(EF!$H$84:$H$99,MATCH(Emissions!$D72,EF!$D$84:$D$99,0))*INDEX(EF!$H$100:$H$115,MATCH(Emissions!$D72,EF!$D$100:$D$115,0))*INDEX(EF!$H$132:$H$147,MATCH(Emissions!$D72,EF!$D$132:$D$147,0))*kgtoGg</f>
        <v>0.66748462920869223</v>
      </c>
      <c r="BO72" s="23">
        <f>INDEX('Activity data'!BO$24:BO$39,MATCH(Emissions!$D72,'Activity data'!$D$24:$D$39,0))*INDEX(EF!$H$84:$H$99,MATCH(Emissions!$D72,EF!$D$84:$D$99,0))*INDEX(EF!$H$100:$H$115,MATCH(Emissions!$D72,EF!$D$100:$D$115,0))*INDEX(EF!$H$132:$H$147,MATCH(Emissions!$D72,EF!$D$132:$D$147,0))*kgtoGg</f>
        <v>0.67011062164464519</v>
      </c>
      <c r="BP72" s="23">
        <f>INDEX('Activity data'!BP$24:BP$39,MATCH(Emissions!$D72,'Activity data'!$D$24:$D$39,0))*INDEX(EF!$H$84:$H$99,MATCH(Emissions!$D72,EF!$D$84:$D$99,0))*INDEX(EF!$H$100:$H$115,MATCH(Emissions!$D72,EF!$D$100:$D$115,0))*INDEX(EF!$H$132:$H$147,MATCH(Emissions!$D72,EF!$D$132:$D$147,0))*kgtoGg</f>
        <v>0.67273661408059848</v>
      </c>
    </row>
    <row r="73" spans="1:68" x14ac:dyDescent="0.25">
      <c r="A73" t="str">
        <f t="shared" si="19"/>
        <v>3C Aggregated and non-CO2 emissions on land</v>
      </c>
      <c r="B73" t="str">
        <f t="shared" si="26"/>
        <v>3C1 Biomass burning (N2O)</v>
      </c>
      <c r="C73" t="str">
        <f t="shared" si="25"/>
        <v>3C1a Biomass burning in forest land</v>
      </c>
      <c r="D73" t="str">
        <f>EF!D103</f>
        <v>Plantations</v>
      </c>
      <c r="E73" t="s">
        <v>728</v>
      </c>
      <c r="F73" t="str">
        <f t="shared" si="27"/>
        <v>N2O</v>
      </c>
      <c r="G73" t="str">
        <f t="shared" si="28"/>
        <v>Gg N2O</v>
      </c>
      <c r="H73" s="23">
        <f>INDEX('Activity data'!H$24:H$39,MATCH(Emissions!$D73,'Activity data'!$D$24:$D$39,0))*INDEX(EF!$H$84:$H$99,MATCH(Emissions!$D73,EF!$D$84:$D$99,0))*INDEX(EF!$H$100:$H$115,MATCH(Emissions!$D73,EF!$D$100:$D$115,0))*INDEX(EF!$H$132:$H$147,MATCH(Emissions!$D73,EF!$D$132:$D$147,0))*kgtoGg</f>
        <v>0.41734182049814844</v>
      </c>
      <c r="I73" s="23">
        <f>INDEX('Activity data'!I$24:I$39,MATCH(Emissions!$D73,'Activity data'!$D$24:$D$39,0))*INDEX(EF!$H$84:$H$99,MATCH(Emissions!$D73,EF!$D$84:$D$99,0))*INDEX(EF!$H$100:$H$115,MATCH(Emissions!$D73,EF!$D$100:$D$115,0))*INDEX(EF!$H$132:$H$147,MATCH(Emissions!$D73,EF!$D$132:$D$147,0))*kgtoGg</f>
        <v>0.41734182049814844</v>
      </c>
      <c r="J73" s="23">
        <f>INDEX('Activity data'!J$24:J$39,MATCH(Emissions!$D73,'Activity data'!$D$24:$D$39,0))*INDEX(EF!$H$84:$H$99,MATCH(Emissions!$D73,EF!$D$84:$D$99,0))*INDEX(EF!$H$100:$H$115,MATCH(Emissions!$D73,EF!$D$100:$D$115,0))*INDEX(EF!$H$132:$H$147,MATCH(Emissions!$D73,EF!$D$132:$D$147,0))*kgtoGg</f>
        <v>0.41734182049814844</v>
      </c>
      <c r="K73" s="23">
        <f>INDEX('Activity data'!K$24:K$39,MATCH(Emissions!$D73,'Activity data'!$D$24:$D$39,0))*INDEX(EF!$H$84:$H$99,MATCH(Emissions!$D73,EF!$D$84:$D$99,0))*INDEX(EF!$H$100:$H$115,MATCH(Emissions!$D73,EF!$D$100:$D$115,0))*INDEX(EF!$H$132:$H$147,MATCH(Emissions!$D73,EF!$D$132:$D$147,0))*kgtoGg</f>
        <v>0.41734182049814844</v>
      </c>
      <c r="L73" s="23">
        <f>INDEX('Activity data'!L$24:L$39,MATCH(Emissions!$D73,'Activity data'!$D$24:$D$39,0))*INDEX(EF!$H$84:$H$99,MATCH(Emissions!$D73,EF!$D$84:$D$99,0))*INDEX(EF!$H$100:$H$115,MATCH(Emissions!$D73,EF!$D$100:$D$115,0))*INDEX(EF!$H$132:$H$147,MATCH(Emissions!$D73,EF!$D$132:$D$147,0))*kgtoGg</f>
        <v>0.41734182049814844</v>
      </c>
      <c r="M73" s="23">
        <f>INDEX('Activity data'!M$24:M$39,MATCH(Emissions!$D73,'Activity data'!$D$24:$D$39,0))*INDEX(EF!$H$84:$H$99,MATCH(Emissions!$D73,EF!$D$84:$D$99,0))*INDEX(EF!$H$100:$H$115,MATCH(Emissions!$D73,EF!$D$100:$D$115,0))*INDEX(EF!$H$132:$H$147,MATCH(Emissions!$D73,EF!$D$132:$D$147,0))*kgtoGg</f>
        <v>0.41734182049814844</v>
      </c>
      <c r="N73" s="23">
        <f>INDEX('Activity data'!N$24:N$39,MATCH(Emissions!$D73,'Activity data'!$D$24:$D$39,0))*INDEX(EF!$H$84:$H$99,MATCH(Emissions!$D73,EF!$D$84:$D$99,0))*INDEX(EF!$H$100:$H$115,MATCH(Emissions!$D73,EF!$D$100:$D$115,0))*INDEX(EF!$H$132:$H$147,MATCH(Emissions!$D73,EF!$D$132:$D$147,0))*kgtoGg</f>
        <v>0.41734182049814844</v>
      </c>
      <c r="O73" s="23">
        <f>INDEX('Activity data'!O$24:O$39,MATCH(Emissions!$D73,'Activity data'!$D$24:$D$39,0))*INDEX(EF!$H$84:$H$99,MATCH(Emissions!$D73,EF!$D$84:$D$99,0))*INDEX(EF!$H$100:$H$115,MATCH(Emissions!$D73,EF!$D$100:$D$115,0))*INDEX(EF!$H$132:$H$147,MATCH(Emissions!$D73,EF!$D$132:$D$147,0))*kgtoGg</f>
        <v>0.41734182049814844</v>
      </c>
      <c r="P73" s="23">
        <f>INDEX('Activity data'!P$24:P$39,MATCH(Emissions!$D73,'Activity data'!$D$24:$D$39,0))*INDEX(EF!$H$84:$H$99,MATCH(Emissions!$D73,EF!$D$84:$D$99,0))*INDEX(EF!$H$100:$H$115,MATCH(Emissions!$D73,EF!$D$100:$D$115,0))*INDEX(EF!$H$132:$H$147,MATCH(Emissions!$D73,EF!$D$132:$D$147,0))*kgtoGg</f>
        <v>0.41734182049814844</v>
      </c>
      <c r="Q73" s="23">
        <f>INDEX('Activity data'!Q$24:Q$39,MATCH(Emissions!$D73,'Activity data'!$D$24:$D$39,0))*INDEX(EF!$H$84:$H$99,MATCH(Emissions!$D73,EF!$D$84:$D$99,0))*INDEX(EF!$H$100:$H$115,MATCH(Emissions!$D73,EF!$D$100:$D$115,0))*INDEX(EF!$H$132:$H$147,MATCH(Emissions!$D73,EF!$D$132:$D$147,0))*kgtoGg</f>
        <v>0.41734182049814844</v>
      </c>
      <c r="R73" s="23">
        <f>INDEX('Activity data'!R$24:R$39,MATCH(Emissions!$D73,'Activity data'!$D$24:$D$39,0))*INDEX(EF!$H$84:$H$99,MATCH(Emissions!$D73,EF!$D$84:$D$99,0))*INDEX(EF!$H$100:$H$115,MATCH(Emissions!$D73,EF!$D$100:$D$115,0))*INDEX(EF!$H$132:$H$147,MATCH(Emissions!$D73,EF!$D$132:$D$147,0))*kgtoGg</f>
        <v>0.38057445764127906</v>
      </c>
      <c r="S73" s="23">
        <f>INDEX('Activity data'!S$24:S$39,MATCH(Emissions!$D73,'Activity data'!$D$24:$D$39,0))*INDEX(EF!$H$84:$H$99,MATCH(Emissions!$D73,EF!$D$84:$D$99,0))*INDEX(EF!$H$100:$H$115,MATCH(Emissions!$D73,EF!$D$100:$D$115,0))*INDEX(EF!$H$132:$H$147,MATCH(Emissions!$D73,EF!$D$132:$D$147,0))*kgtoGg</f>
        <v>0.46846135569826935</v>
      </c>
      <c r="T73" s="23">
        <f>INDEX('Activity data'!T$24:T$39,MATCH(Emissions!$D73,'Activity data'!$D$24:$D$39,0))*INDEX(EF!$H$84:$H$99,MATCH(Emissions!$D73,EF!$D$84:$D$99,0))*INDEX(EF!$H$100:$H$115,MATCH(Emissions!$D73,EF!$D$100:$D$115,0))*INDEX(EF!$H$132:$H$147,MATCH(Emissions!$D73,EF!$D$132:$D$147,0))*kgtoGg</f>
        <v>0.41826906758774046</v>
      </c>
      <c r="U73" s="23">
        <f>INDEX('Activity data'!U$24:U$39,MATCH(Emissions!$D73,'Activity data'!$D$24:$D$39,0))*INDEX(EF!$H$84:$H$99,MATCH(Emissions!$D73,EF!$D$84:$D$99,0))*INDEX(EF!$H$100:$H$115,MATCH(Emissions!$D73,EF!$D$100:$D$115,0))*INDEX(EF!$H$132:$H$147,MATCH(Emissions!$D73,EF!$D$132:$D$147,0))*kgtoGg</f>
        <v>0.48559526931029728</v>
      </c>
      <c r="V73" s="23">
        <f>INDEX('Activity data'!V$24:V$39,MATCH(Emissions!$D73,'Activity data'!$D$24:$D$39,0))*INDEX(EF!$H$84:$H$99,MATCH(Emissions!$D73,EF!$D$84:$D$99,0))*INDEX(EF!$H$100:$H$115,MATCH(Emissions!$D73,EF!$D$100:$D$115,0))*INDEX(EF!$H$132:$H$147,MATCH(Emissions!$D73,EF!$D$132:$D$147,0))*kgtoGg</f>
        <v>0.33380895225315582</v>
      </c>
      <c r="W73" s="23">
        <f>INDEX('Activity data'!W$24:W$39,MATCH(Emissions!$D73,'Activity data'!$D$24:$D$39,0))*INDEX(EF!$H$84:$H$99,MATCH(Emissions!$D73,EF!$D$84:$D$99,0))*INDEX(EF!$H$100:$H$115,MATCH(Emissions!$D73,EF!$D$100:$D$115,0))*INDEX(EF!$H$132:$H$147,MATCH(Emissions!$D73,EF!$D$132:$D$147,0))*kgtoGg</f>
        <v>0.48922362748696191</v>
      </c>
      <c r="X73" s="23">
        <f>INDEX('Activity data'!X$24:X$39,MATCH(Emissions!$D73,'Activity data'!$D$24:$D$39,0))*INDEX(EF!$H$84:$H$99,MATCH(Emissions!$D73,EF!$D$84:$D$99,0))*INDEX(EF!$H$100:$H$115,MATCH(Emissions!$D73,EF!$D$100:$D$115,0))*INDEX(EF!$H$132:$H$147,MATCH(Emissions!$D73,EF!$D$132:$D$147,0))*kgtoGg</f>
        <v>0.38238863672961138</v>
      </c>
      <c r="Y73" s="23">
        <f>INDEX('Activity data'!Y$24:Y$39,MATCH(Emissions!$D73,'Activity data'!$D$24:$D$39,0))*INDEX(EF!$H$84:$H$99,MATCH(Emissions!$D73,EF!$D$84:$D$99,0))*INDEX(EF!$H$100:$H$115,MATCH(Emissions!$D73,EF!$D$100:$D$115,0))*INDEX(EF!$H$132:$H$147,MATCH(Emissions!$D73,EF!$D$132:$D$147,0))*kgtoGg</f>
        <v>0.71196450444332493</v>
      </c>
      <c r="Z73" s="23">
        <f>INDEX('Activity data'!Z$24:Z$39,MATCH(Emissions!$D73,'Activity data'!$D$24:$D$39,0))*INDEX(EF!$H$84:$H$99,MATCH(Emissions!$D73,EF!$D$84:$D$99,0))*INDEX(EF!$H$100:$H$115,MATCH(Emissions!$D73,EF!$D$100:$D$115,0))*INDEX(EF!$H$132:$H$147,MATCH(Emissions!$D73,EF!$D$132:$D$147,0))*kgtoGg</f>
        <v>0.45999518661938493</v>
      </c>
      <c r="AA73" s="23">
        <f>INDEX('Activity data'!AA$24:AA$39,MATCH(Emissions!$D73,'Activity data'!$D$24:$D$39,0))*INDEX(EF!$H$84:$H$99,MATCH(Emissions!$D73,EF!$D$84:$D$99,0))*INDEX(EF!$H$100:$H$115,MATCH(Emissions!$D73,EF!$D$100:$D$115,0))*INDEX(EF!$H$132:$H$147,MATCH(Emissions!$D73,EF!$D$132:$D$147,0))*kgtoGg</f>
        <v>0.39186268307979161</v>
      </c>
      <c r="AB73" s="23">
        <f>INDEX('Activity data'!AB$24:AB$39,MATCH(Emissions!$D73,'Activity data'!$D$24:$D$39,0))*INDEX(EF!$H$84:$H$99,MATCH(Emissions!$D73,EF!$D$84:$D$99,0))*INDEX(EF!$H$100:$H$115,MATCH(Emissions!$D73,EF!$D$100:$D$115,0))*INDEX(EF!$H$132:$H$147,MATCH(Emissions!$D73,EF!$D$132:$D$147,0))*kgtoGg</f>
        <v>0.33076409184</v>
      </c>
      <c r="AC73" s="23">
        <f>INDEX('Activity data'!AC$24:AC$39,MATCH(Emissions!$D73,'Activity data'!$D$24:$D$39,0))*INDEX(EF!$H$84:$H$99,MATCH(Emissions!$D73,EF!$D$84:$D$99,0))*INDEX(EF!$H$100:$H$115,MATCH(Emissions!$D73,EF!$D$100:$D$115,0))*INDEX(EF!$H$132:$H$147,MATCH(Emissions!$D73,EF!$D$132:$D$147,0))*kgtoGg</f>
        <v>0.37630311264000005</v>
      </c>
      <c r="AD73" s="23">
        <f>INDEX('Activity data'!AD$24:AD$39,MATCH(Emissions!$D73,'Activity data'!$D$24:$D$39,0))*INDEX(EF!$H$84:$H$99,MATCH(Emissions!$D73,EF!$D$84:$D$99,0))*INDEX(EF!$H$100:$H$115,MATCH(Emissions!$D73,EF!$D$100:$D$115,0))*INDEX(EF!$H$132:$H$147,MATCH(Emissions!$D73,EF!$D$132:$D$147,0))*kgtoGg</f>
        <v>0.35663925023999993</v>
      </c>
      <c r="AE73" s="23">
        <f>INDEX('Activity data'!AE$24:AE$39,MATCH(Emissions!$D73,'Activity data'!$D$24:$D$39,0))*INDEX(EF!$H$84:$H$99,MATCH(Emissions!$D73,EF!$D$84:$D$99,0))*INDEX(EF!$H$100:$H$115,MATCH(Emissions!$D73,EF!$D$100:$D$115,0))*INDEX(EF!$H$132:$H$147,MATCH(Emissions!$D73,EF!$D$132:$D$147,0))*kgtoGg</f>
        <v>0.32645785536000005</v>
      </c>
      <c r="AF73" s="23">
        <f>INDEX('Activity data'!AF$24:AF$39,MATCH(Emissions!$D73,'Activity data'!$D$24:$D$39,0))*INDEX(EF!$H$84:$H$99,MATCH(Emissions!$D73,EF!$D$84:$D$99,0))*INDEX(EF!$H$100:$H$115,MATCH(Emissions!$D73,EF!$D$100:$D$115,0))*INDEX(EF!$H$132:$H$147,MATCH(Emissions!$D73,EF!$D$132:$D$147,0))*kgtoGg</f>
        <v>0.52054670304000006</v>
      </c>
      <c r="AG73" s="23">
        <f>INDEX('Activity data'!AG$24:AG$39,MATCH(Emissions!$D73,'Activity data'!$D$24:$D$39,0))*INDEX(EF!$H$84:$H$99,MATCH(Emissions!$D73,EF!$D$84:$D$99,0))*INDEX(EF!$H$100:$H$115,MATCH(Emissions!$D73,EF!$D$100:$D$115,0))*INDEX(EF!$H$132:$H$147,MATCH(Emissions!$D73,EF!$D$132:$D$147,0))*kgtoGg</f>
        <v>0.38722634496000008</v>
      </c>
      <c r="AH73" s="23">
        <f>INDEX('Activity data'!AH$24:AH$39,MATCH(Emissions!$D73,'Activity data'!$D$24:$D$39,0))*INDEX(EF!$H$84:$H$99,MATCH(Emissions!$D73,EF!$D$84:$D$99,0))*INDEX(EF!$H$100:$H$115,MATCH(Emissions!$D73,EF!$D$100:$D$115,0))*INDEX(EF!$H$132:$H$147,MATCH(Emissions!$D73,EF!$D$132:$D$147,0))*kgtoGg</f>
        <v>0.24800525567999998</v>
      </c>
      <c r="AI73" s="23">
        <f>INDEX('Activity data'!AI$24:AI$39,MATCH(Emissions!$D73,'Activity data'!$D$24:$D$39,0))*INDEX(EF!$H$84:$H$99,MATCH(Emissions!$D73,EF!$D$84:$D$99,0))*INDEX(EF!$H$100:$H$115,MATCH(Emissions!$D73,EF!$D$100:$D$115,0))*INDEX(EF!$H$132:$H$147,MATCH(Emissions!$D73,EF!$D$132:$D$147,0))*kgtoGg</f>
        <v>0.24074590176000002</v>
      </c>
      <c r="AJ73" s="23">
        <f>INDEX('Activity data'!AJ$24:AJ$39,MATCH(Emissions!$D73,'Activity data'!$D$24:$D$39,0))*INDEX(EF!$H$84:$H$99,MATCH(Emissions!$D73,EF!$D$84:$D$99,0))*INDEX(EF!$H$100:$H$115,MATCH(Emissions!$D73,EF!$D$100:$D$115,0))*INDEX(EF!$H$132:$H$147,MATCH(Emissions!$D73,EF!$D$132:$D$147,0))*kgtoGg</f>
        <v>0.24608717055985807</v>
      </c>
      <c r="AK73" s="23">
        <f>INDEX('Activity data'!AK$24:AK$39,MATCH(Emissions!$D73,'Activity data'!$D$24:$D$39,0))*INDEX(EF!$H$84:$H$99,MATCH(Emissions!$D73,EF!$D$84:$D$99,0))*INDEX(EF!$H$100:$H$115,MATCH(Emissions!$D73,EF!$D$100:$D$115,0))*INDEX(EF!$H$132:$H$147,MATCH(Emissions!$D73,EF!$D$132:$D$147,0))*kgtoGg</f>
        <v>0.24746608815431886</v>
      </c>
      <c r="AL73" s="23">
        <f>INDEX('Activity data'!AL$24:AL$39,MATCH(Emissions!$D73,'Activity data'!$D$24:$D$39,0))*INDEX(EF!$H$84:$H$99,MATCH(Emissions!$D73,EF!$D$84:$D$99,0))*INDEX(EF!$H$100:$H$115,MATCH(Emissions!$D73,EF!$D$100:$D$115,0))*INDEX(EF!$H$132:$H$147,MATCH(Emissions!$D73,EF!$D$132:$D$147,0))*kgtoGg</f>
        <v>0.24884500574877969</v>
      </c>
      <c r="AM73" s="23">
        <f>INDEX('Activity data'!AM$24:AM$39,MATCH(Emissions!$D73,'Activity data'!$D$24:$D$39,0))*INDEX(EF!$H$84:$H$99,MATCH(Emissions!$D73,EF!$D$84:$D$99,0))*INDEX(EF!$H$100:$H$115,MATCH(Emissions!$D73,EF!$D$100:$D$115,0))*INDEX(EF!$H$132:$H$147,MATCH(Emissions!$D73,EF!$D$132:$D$147,0))*kgtoGg</f>
        <v>0.25022392334324045</v>
      </c>
      <c r="AN73" s="23">
        <f>INDEX('Activity data'!AN$24:AN$39,MATCH(Emissions!$D73,'Activity data'!$D$24:$D$39,0))*INDEX(EF!$H$84:$H$99,MATCH(Emissions!$D73,EF!$D$84:$D$99,0))*INDEX(EF!$H$100:$H$115,MATCH(Emissions!$D73,EF!$D$100:$D$115,0))*INDEX(EF!$H$132:$H$147,MATCH(Emissions!$D73,EF!$D$132:$D$147,0))*kgtoGg</f>
        <v>0.2516028409377013</v>
      </c>
      <c r="AO73" s="23">
        <f>INDEX('Activity data'!AO$24:AO$39,MATCH(Emissions!$D73,'Activity data'!$D$24:$D$39,0))*INDEX(EF!$H$84:$H$99,MATCH(Emissions!$D73,EF!$D$84:$D$99,0))*INDEX(EF!$H$100:$H$115,MATCH(Emissions!$D73,EF!$D$100:$D$115,0))*INDEX(EF!$H$132:$H$147,MATCH(Emissions!$D73,EF!$D$132:$D$147,0))*kgtoGg</f>
        <v>0.25298175853216209</v>
      </c>
      <c r="AP73" s="23">
        <f>INDEX('Activity data'!AP$24:AP$39,MATCH(Emissions!$D73,'Activity data'!$D$24:$D$39,0))*INDEX(EF!$H$84:$H$99,MATCH(Emissions!$D73,EF!$D$84:$D$99,0))*INDEX(EF!$H$100:$H$115,MATCH(Emissions!$D73,EF!$D$100:$D$115,0))*INDEX(EF!$H$132:$H$147,MATCH(Emissions!$D73,EF!$D$132:$D$147,0))*kgtoGg</f>
        <v>0.25436067612662289</v>
      </c>
      <c r="AQ73" s="23">
        <f>INDEX('Activity data'!AQ$24:AQ$39,MATCH(Emissions!$D73,'Activity data'!$D$24:$D$39,0))*INDEX(EF!$H$84:$H$99,MATCH(Emissions!$D73,EF!$D$84:$D$99,0))*INDEX(EF!$H$100:$H$115,MATCH(Emissions!$D73,EF!$D$100:$D$115,0))*INDEX(EF!$H$132:$H$147,MATCH(Emissions!$D73,EF!$D$132:$D$147,0))*kgtoGg</f>
        <v>0.25573959372108368</v>
      </c>
      <c r="AR73" s="23">
        <f>INDEX('Activity data'!AR$24:AR$39,MATCH(Emissions!$D73,'Activity data'!$D$24:$D$39,0))*INDEX(EF!$H$84:$H$99,MATCH(Emissions!$D73,EF!$D$84:$D$99,0))*INDEX(EF!$H$100:$H$115,MATCH(Emissions!$D73,EF!$D$100:$D$115,0))*INDEX(EF!$H$132:$H$147,MATCH(Emissions!$D73,EF!$D$132:$D$147,0))*kgtoGg</f>
        <v>0.25711851131554447</v>
      </c>
      <c r="AS73" s="23">
        <f>INDEX('Activity data'!AS$24:AS$39,MATCH(Emissions!$D73,'Activity data'!$D$24:$D$39,0))*INDEX(EF!$H$84:$H$99,MATCH(Emissions!$D73,EF!$D$84:$D$99,0))*INDEX(EF!$H$100:$H$115,MATCH(Emissions!$D73,EF!$D$100:$D$115,0))*INDEX(EF!$H$132:$H$147,MATCH(Emissions!$D73,EF!$D$132:$D$147,0))*kgtoGg</f>
        <v>0.25849742891000527</v>
      </c>
      <c r="AT73" s="23">
        <f>INDEX('Activity data'!AT$24:AT$39,MATCH(Emissions!$D73,'Activity data'!$D$24:$D$39,0))*INDEX(EF!$H$84:$H$99,MATCH(Emissions!$D73,EF!$D$84:$D$99,0))*INDEX(EF!$H$100:$H$115,MATCH(Emissions!$D73,EF!$D$100:$D$115,0))*INDEX(EF!$H$132:$H$147,MATCH(Emissions!$D73,EF!$D$132:$D$147,0))*kgtoGg</f>
        <v>0.25987634650446606</v>
      </c>
      <c r="AU73" s="23">
        <f>INDEX('Activity data'!AU$24:AU$39,MATCH(Emissions!$D73,'Activity data'!$D$24:$D$39,0))*INDEX(EF!$H$84:$H$99,MATCH(Emissions!$D73,EF!$D$84:$D$99,0))*INDEX(EF!$H$100:$H$115,MATCH(Emissions!$D73,EF!$D$100:$D$115,0))*INDEX(EF!$H$132:$H$147,MATCH(Emissions!$D73,EF!$D$132:$D$147,0))*kgtoGg</f>
        <v>0.26125526409892685</v>
      </c>
      <c r="AV73" s="23">
        <f>INDEX('Activity data'!AV$24:AV$39,MATCH(Emissions!$D73,'Activity data'!$D$24:$D$39,0))*INDEX(EF!$H$84:$H$99,MATCH(Emissions!$D73,EF!$D$84:$D$99,0))*INDEX(EF!$H$100:$H$115,MATCH(Emissions!$D73,EF!$D$100:$D$115,0))*INDEX(EF!$H$132:$H$147,MATCH(Emissions!$D73,EF!$D$132:$D$147,0))*kgtoGg</f>
        <v>0.26263418169338765</v>
      </c>
      <c r="AW73" s="23">
        <f>INDEX('Activity data'!AW$24:AW$39,MATCH(Emissions!$D73,'Activity data'!$D$24:$D$39,0))*INDEX(EF!$H$84:$H$99,MATCH(Emissions!$D73,EF!$D$84:$D$99,0))*INDEX(EF!$H$100:$H$115,MATCH(Emissions!$D73,EF!$D$100:$D$115,0))*INDEX(EF!$H$132:$H$147,MATCH(Emissions!$D73,EF!$D$132:$D$147,0))*kgtoGg</f>
        <v>0.2640130992878485</v>
      </c>
      <c r="AX73" s="23">
        <f>INDEX('Activity data'!AX$24:AX$39,MATCH(Emissions!$D73,'Activity data'!$D$24:$D$39,0))*INDEX(EF!$H$84:$H$99,MATCH(Emissions!$D73,EF!$D$84:$D$99,0))*INDEX(EF!$H$100:$H$115,MATCH(Emissions!$D73,EF!$D$100:$D$115,0))*INDEX(EF!$H$132:$H$147,MATCH(Emissions!$D73,EF!$D$132:$D$147,0))*kgtoGg</f>
        <v>0.26539201688230929</v>
      </c>
      <c r="AY73" s="23">
        <f>INDEX('Activity data'!AY$24:AY$39,MATCH(Emissions!$D73,'Activity data'!$D$24:$D$39,0))*INDEX(EF!$H$84:$H$99,MATCH(Emissions!$D73,EF!$D$84:$D$99,0))*INDEX(EF!$H$100:$H$115,MATCH(Emissions!$D73,EF!$D$100:$D$115,0))*INDEX(EF!$H$132:$H$147,MATCH(Emissions!$D73,EF!$D$132:$D$147,0))*kgtoGg</f>
        <v>0.26677093447677003</v>
      </c>
      <c r="AZ73" s="23">
        <f>INDEX('Activity data'!AZ$24:AZ$39,MATCH(Emissions!$D73,'Activity data'!$D$24:$D$39,0))*INDEX(EF!$H$84:$H$99,MATCH(Emissions!$D73,EF!$D$84:$D$99,0))*INDEX(EF!$H$100:$H$115,MATCH(Emissions!$D73,EF!$D$100:$D$115,0))*INDEX(EF!$H$132:$H$147,MATCH(Emissions!$D73,EF!$D$132:$D$147,0))*kgtoGg</f>
        <v>0.26814985207123088</v>
      </c>
      <c r="BA73" s="23">
        <f>INDEX('Activity data'!BA$24:BA$39,MATCH(Emissions!$D73,'Activity data'!$D$24:$D$39,0))*INDEX(EF!$H$84:$H$99,MATCH(Emissions!$D73,EF!$D$84:$D$99,0))*INDEX(EF!$H$100:$H$115,MATCH(Emissions!$D73,EF!$D$100:$D$115,0))*INDEX(EF!$H$132:$H$147,MATCH(Emissions!$D73,EF!$D$132:$D$147,0))*kgtoGg</f>
        <v>0.26952876966569161</v>
      </c>
      <c r="BB73" s="23">
        <f>INDEX('Activity data'!BB$24:BB$39,MATCH(Emissions!$D73,'Activity data'!$D$24:$D$39,0))*INDEX(EF!$H$84:$H$99,MATCH(Emissions!$D73,EF!$D$84:$D$99,0))*INDEX(EF!$H$100:$H$115,MATCH(Emissions!$D73,EF!$D$100:$D$115,0))*INDEX(EF!$H$132:$H$147,MATCH(Emissions!$D73,EF!$D$132:$D$147,0))*kgtoGg</f>
        <v>0.27090768726015246</v>
      </c>
      <c r="BC73" s="23">
        <f>INDEX('Activity data'!BC$24:BC$39,MATCH(Emissions!$D73,'Activity data'!$D$24:$D$39,0))*INDEX(EF!$H$84:$H$99,MATCH(Emissions!$D73,EF!$D$84:$D$99,0))*INDEX(EF!$H$100:$H$115,MATCH(Emissions!$D73,EF!$D$100:$D$115,0))*INDEX(EF!$H$132:$H$147,MATCH(Emissions!$D73,EF!$D$132:$D$147,0))*kgtoGg</f>
        <v>0.27228660485461331</v>
      </c>
      <c r="BD73" s="23">
        <f>INDEX('Activity data'!BD$24:BD$39,MATCH(Emissions!$D73,'Activity data'!$D$24:$D$39,0))*INDEX(EF!$H$84:$H$99,MATCH(Emissions!$D73,EF!$D$84:$D$99,0))*INDEX(EF!$H$100:$H$115,MATCH(Emissions!$D73,EF!$D$100:$D$115,0))*INDEX(EF!$H$132:$H$147,MATCH(Emissions!$D73,EF!$D$132:$D$147,0))*kgtoGg</f>
        <v>0.27366552244907405</v>
      </c>
      <c r="BE73" s="23">
        <f>INDEX('Activity data'!BE$24:BE$39,MATCH(Emissions!$D73,'Activity data'!$D$24:$D$39,0))*INDEX(EF!$H$84:$H$99,MATCH(Emissions!$D73,EF!$D$84:$D$99,0))*INDEX(EF!$H$100:$H$115,MATCH(Emissions!$D73,EF!$D$100:$D$115,0))*INDEX(EF!$H$132:$H$147,MATCH(Emissions!$D73,EF!$D$132:$D$147,0))*kgtoGg</f>
        <v>0.27504444004353484</v>
      </c>
      <c r="BF73" s="23">
        <f>INDEX('Activity data'!BF$24:BF$39,MATCH(Emissions!$D73,'Activity data'!$D$24:$D$39,0))*INDEX(EF!$H$84:$H$99,MATCH(Emissions!$D73,EF!$D$84:$D$99,0))*INDEX(EF!$H$100:$H$115,MATCH(Emissions!$D73,EF!$D$100:$D$115,0))*INDEX(EF!$H$132:$H$147,MATCH(Emissions!$D73,EF!$D$132:$D$147,0))*kgtoGg</f>
        <v>0.27642335763799569</v>
      </c>
      <c r="BG73" s="23">
        <f>INDEX('Activity data'!BG$24:BG$39,MATCH(Emissions!$D73,'Activity data'!$D$24:$D$39,0))*INDEX(EF!$H$84:$H$99,MATCH(Emissions!$D73,EF!$D$84:$D$99,0))*INDEX(EF!$H$100:$H$115,MATCH(Emissions!$D73,EF!$D$100:$D$115,0))*INDEX(EF!$H$132:$H$147,MATCH(Emissions!$D73,EF!$D$132:$D$147,0))*kgtoGg</f>
        <v>0.27780227523245649</v>
      </c>
      <c r="BH73" s="23">
        <f>INDEX('Activity data'!BH$24:BH$39,MATCH(Emissions!$D73,'Activity data'!$D$24:$D$39,0))*INDEX(EF!$H$84:$H$99,MATCH(Emissions!$D73,EF!$D$84:$D$99,0))*INDEX(EF!$H$100:$H$115,MATCH(Emissions!$D73,EF!$D$100:$D$115,0))*INDEX(EF!$H$132:$H$147,MATCH(Emissions!$D73,EF!$D$132:$D$147,0))*kgtoGg</f>
        <v>0.27918119282691728</v>
      </c>
      <c r="BI73" s="23">
        <f>INDEX('Activity data'!BI$24:BI$39,MATCH(Emissions!$D73,'Activity data'!$D$24:$D$39,0))*INDEX(EF!$H$84:$H$99,MATCH(Emissions!$D73,EF!$D$84:$D$99,0))*INDEX(EF!$H$100:$H$115,MATCH(Emissions!$D73,EF!$D$100:$D$115,0))*INDEX(EF!$H$132:$H$147,MATCH(Emissions!$D73,EF!$D$132:$D$147,0))*kgtoGg</f>
        <v>0.28056011042137802</v>
      </c>
      <c r="BJ73" s="23">
        <f>INDEX('Activity data'!BJ$24:BJ$39,MATCH(Emissions!$D73,'Activity data'!$D$24:$D$39,0))*INDEX(EF!$H$84:$H$99,MATCH(Emissions!$D73,EF!$D$84:$D$99,0))*INDEX(EF!$H$100:$H$115,MATCH(Emissions!$D73,EF!$D$100:$D$115,0))*INDEX(EF!$H$132:$H$147,MATCH(Emissions!$D73,EF!$D$132:$D$147,0))*kgtoGg</f>
        <v>0.28193902801583887</v>
      </c>
      <c r="BK73" s="23">
        <f>INDEX('Activity data'!BK$24:BK$39,MATCH(Emissions!$D73,'Activity data'!$D$24:$D$39,0))*INDEX(EF!$H$84:$H$99,MATCH(Emissions!$D73,EF!$D$84:$D$99,0))*INDEX(EF!$H$100:$H$115,MATCH(Emissions!$D73,EF!$D$100:$D$115,0))*INDEX(EF!$H$132:$H$147,MATCH(Emissions!$D73,EF!$D$132:$D$147,0))*kgtoGg</f>
        <v>0.28331794561029972</v>
      </c>
      <c r="BL73" s="23">
        <f>INDEX('Activity data'!BL$24:BL$39,MATCH(Emissions!$D73,'Activity data'!$D$24:$D$39,0))*INDEX(EF!$H$84:$H$99,MATCH(Emissions!$D73,EF!$D$84:$D$99,0))*INDEX(EF!$H$100:$H$115,MATCH(Emissions!$D73,EF!$D$100:$D$115,0))*INDEX(EF!$H$132:$H$147,MATCH(Emissions!$D73,EF!$D$132:$D$147,0))*kgtoGg</f>
        <v>0.28469686320476045</v>
      </c>
      <c r="BM73" s="23">
        <f>INDEX('Activity data'!BM$24:BM$39,MATCH(Emissions!$D73,'Activity data'!$D$24:$D$39,0))*INDEX(EF!$H$84:$H$99,MATCH(Emissions!$D73,EF!$D$84:$D$99,0))*INDEX(EF!$H$100:$H$115,MATCH(Emissions!$D73,EF!$D$100:$D$115,0))*INDEX(EF!$H$132:$H$147,MATCH(Emissions!$D73,EF!$D$132:$D$147,0))*kgtoGg</f>
        <v>0.28607578079922125</v>
      </c>
      <c r="BN73" s="23">
        <f>INDEX('Activity data'!BN$24:BN$39,MATCH(Emissions!$D73,'Activity data'!$D$24:$D$39,0))*INDEX(EF!$H$84:$H$99,MATCH(Emissions!$D73,EF!$D$84:$D$99,0))*INDEX(EF!$H$100:$H$115,MATCH(Emissions!$D73,EF!$D$100:$D$115,0))*INDEX(EF!$H$132:$H$147,MATCH(Emissions!$D73,EF!$D$132:$D$147,0))*kgtoGg</f>
        <v>0.28745469839368204</v>
      </c>
      <c r="BO73" s="23">
        <f>INDEX('Activity data'!BO$24:BO$39,MATCH(Emissions!$D73,'Activity data'!$D$24:$D$39,0))*INDEX(EF!$H$84:$H$99,MATCH(Emissions!$D73,EF!$D$84:$D$99,0))*INDEX(EF!$H$100:$H$115,MATCH(Emissions!$D73,EF!$D$100:$D$115,0))*INDEX(EF!$H$132:$H$147,MATCH(Emissions!$D73,EF!$D$132:$D$147,0))*kgtoGg</f>
        <v>0.28883361598814289</v>
      </c>
      <c r="BP73" s="23">
        <f>INDEX('Activity data'!BP$24:BP$39,MATCH(Emissions!$D73,'Activity data'!$D$24:$D$39,0))*INDEX(EF!$H$84:$H$99,MATCH(Emissions!$D73,EF!$D$84:$D$99,0))*INDEX(EF!$H$100:$H$115,MATCH(Emissions!$D73,EF!$D$100:$D$115,0))*INDEX(EF!$H$132:$H$147,MATCH(Emissions!$D73,EF!$D$132:$D$147,0))*kgtoGg</f>
        <v>0.29021253358260368</v>
      </c>
    </row>
    <row r="74" spans="1:68" x14ac:dyDescent="0.25">
      <c r="A74" t="str">
        <f t="shared" si="19"/>
        <v>3C Aggregated and non-CO2 emissions on land</v>
      </c>
      <c r="B74" t="str">
        <f t="shared" si="26"/>
        <v>3C1 Biomass burning (N2O)</v>
      </c>
      <c r="C74" t="str">
        <f t="shared" si="25"/>
        <v>3C1b Biomass burning in Croplands</v>
      </c>
      <c r="D74" t="str">
        <f>EF!D104</f>
        <v>Annual non-pivot</v>
      </c>
      <c r="E74" t="s">
        <v>729</v>
      </c>
      <c r="F74" t="str">
        <f t="shared" si="27"/>
        <v>N2O</v>
      </c>
      <c r="G74" t="str">
        <f t="shared" si="28"/>
        <v>Gg N2O</v>
      </c>
      <c r="H74" s="23">
        <f>INDEX('Activity data'!H$24:H$39,MATCH(Emissions!$D74,'Activity data'!$D$24:$D$39,0))*INDEX(EF!$H$84:$H$99,MATCH(Emissions!$D74,EF!$D$84:$D$99,0))*INDEX(EF!$H$100:$H$115,MATCH(Emissions!$D74,EF!$D$100:$D$115,0))*INDEX(EF!$H$132:$H$147,MATCH(Emissions!$D74,EF!$D$132:$D$147,0))*kgtoGg</f>
        <v>1.4723084100591942E-2</v>
      </c>
      <c r="I74" s="23">
        <f>INDEX('Activity data'!I$24:I$39,MATCH(Emissions!$D74,'Activity data'!$D$24:$D$39,0))*INDEX(EF!$H$84:$H$99,MATCH(Emissions!$D74,EF!$D$84:$D$99,0))*INDEX(EF!$H$100:$H$115,MATCH(Emissions!$D74,EF!$D$100:$D$115,0))*INDEX(EF!$H$132:$H$147,MATCH(Emissions!$D74,EF!$D$132:$D$147,0))*kgtoGg</f>
        <v>1.4723084100591942E-2</v>
      </c>
      <c r="J74" s="23">
        <f>INDEX('Activity data'!J$24:J$39,MATCH(Emissions!$D74,'Activity data'!$D$24:$D$39,0))*INDEX(EF!$H$84:$H$99,MATCH(Emissions!$D74,EF!$D$84:$D$99,0))*INDEX(EF!$H$100:$H$115,MATCH(Emissions!$D74,EF!$D$100:$D$115,0))*INDEX(EF!$H$132:$H$147,MATCH(Emissions!$D74,EF!$D$132:$D$147,0))*kgtoGg</f>
        <v>1.4723084100591942E-2</v>
      </c>
      <c r="K74" s="23">
        <f>INDEX('Activity data'!K$24:K$39,MATCH(Emissions!$D74,'Activity data'!$D$24:$D$39,0))*INDEX(EF!$H$84:$H$99,MATCH(Emissions!$D74,EF!$D$84:$D$99,0))*INDEX(EF!$H$100:$H$115,MATCH(Emissions!$D74,EF!$D$100:$D$115,0))*INDEX(EF!$H$132:$H$147,MATCH(Emissions!$D74,EF!$D$132:$D$147,0))*kgtoGg</f>
        <v>1.4723084100591942E-2</v>
      </c>
      <c r="L74" s="23">
        <f>INDEX('Activity data'!L$24:L$39,MATCH(Emissions!$D74,'Activity data'!$D$24:$D$39,0))*INDEX(EF!$H$84:$H$99,MATCH(Emissions!$D74,EF!$D$84:$D$99,0))*INDEX(EF!$H$100:$H$115,MATCH(Emissions!$D74,EF!$D$100:$D$115,0))*INDEX(EF!$H$132:$H$147,MATCH(Emissions!$D74,EF!$D$132:$D$147,0))*kgtoGg</f>
        <v>1.4723084100591942E-2</v>
      </c>
      <c r="M74" s="23">
        <f>INDEX('Activity data'!M$24:M$39,MATCH(Emissions!$D74,'Activity data'!$D$24:$D$39,0))*INDEX(EF!$H$84:$H$99,MATCH(Emissions!$D74,EF!$D$84:$D$99,0))*INDEX(EF!$H$100:$H$115,MATCH(Emissions!$D74,EF!$D$100:$D$115,0))*INDEX(EF!$H$132:$H$147,MATCH(Emissions!$D74,EF!$D$132:$D$147,0))*kgtoGg</f>
        <v>1.4723084100591942E-2</v>
      </c>
      <c r="N74" s="23">
        <f>INDEX('Activity data'!N$24:N$39,MATCH(Emissions!$D74,'Activity data'!$D$24:$D$39,0))*INDEX(EF!$H$84:$H$99,MATCH(Emissions!$D74,EF!$D$84:$D$99,0))*INDEX(EF!$H$100:$H$115,MATCH(Emissions!$D74,EF!$D$100:$D$115,0))*INDEX(EF!$H$132:$H$147,MATCH(Emissions!$D74,EF!$D$132:$D$147,0))*kgtoGg</f>
        <v>1.4723084100591942E-2</v>
      </c>
      <c r="O74" s="23">
        <f>INDEX('Activity data'!O$24:O$39,MATCH(Emissions!$D74,'Activity data'!$D$24:$D$39,0))*INDEX(EF!$H$84:$H$99,MATCH(Emissions!$D74,EF!$D$84:$D$99,0))*INDEX(EF!$H$100:$H$115,MATCH(Emissions!$D74,EF!$D$100:$D$115,0))*INDEX(EF!$H$132:$H$147,MATCH(Emissions!$D74,EF!$D$132:$D$147,0))*kgtoGg</f>
        <v>1.4723084100591942E-2</v>
      </c>
      <c r="P74" s="23">
        <f>INDEX('Activity data'!P$24:P$39,MATCH(Emissions!$D74,'Activity data'!$D$24:$D$39,0))*INDEX(EF!$H$84:$H$99,MATCH(Emissions!$D74,EF!$D$84:$D$99,0))*INDEX(EF!$H$100:$H$115,MATCH(Emissions!$D74,EF!$D$100:$D$115,0))*INDEX(EF!$H$132:$H$147,MATCH(Emissions!$D74,EF!$D$132:$D$147,0))*kgtoGg</f>
        <v>1.4723084100591942E-2</v>
      </c>
      <c r="Q74" s="23">
        <f>INDEX('Activity data'!Q$24:Q$39,MATCH(Emissions!$D74,'Activity data'!$D$24:$D$39,0))*INDEX(EF!$H$84:$H$99,MATCH(Emissions!$D74,EF!$D$84:$D$99,0))*INDEX(EF!$H$100:$H$115,MATCH(Emissions!$D74,EF!$D$100:$D$115,0))*INDEX(EF!$H$132:$H$147,MATCH(Emissions!$D74,EF!$D$132:$D$147,0))*kgtoGg</f>
        <v>1.4723084100591942E-2</v>
      </c>
      <c r="R74" s="23">
        <f>INDEX('Activity data'!R$24:R$39,MATCH(Emissions!$D74,'Activity data'!$D$24:$D$39,0))*INDEX(EF!$H$84:$H$99,MATCH(Emissions!$D74,EF!$D$84:$D$99,0))*INDEX(EF!$H$100:$H$115,MATCH(Emissions!$D74,EF!$D$100:$D$115,0))*INDEX(EF!$H$132:$H$147,MATCH(Emissions!$D74,EF!$D$132:$D$147,0))*kgtoGg</f>
        <v>1.496956177943767E-2</v>
      </c>
      <c r="S74" s="23">
        <f>INDEX('Activity data'!S$24:S$39,MATCH(Emissions!$D74,'Activity data'!$D$24:$D$39,0))*INDEX(EF!$H$84:$H$99,MATCH(Emissions!$D74,EF!$D$84:$D$99,0))*INDEX(EF!$H$100:$H$115,MATCH(Emissions!$D74,EF!$D$100:$D$115,0))*INDEX(EF!$H$132:$H$147,MATCH(Emissions!$D74,EF!$D$132:$D$147,0))*kgtoGg</f>
        <v>1.1679423956313528E-2</v>
      </c>
      <c r="T74" s="23">
        <f>INDEX('Activity data'!T$24:T$39,MATCH(Emissions!$D74,'Activity data'!$D$24:$D$39,0))*INDEX(EF!$H$84:$H$99,MATCH(Emissions!$D74,EF!$D$84:$D$99,0))*INDEX(EF!$H$100:$H$115,MATCH(Emissions!$D74,EF!$D$100:$D$115,0))*INDEX(EF!$H$132:$H$147,MATCH(Emissions!$D74,EF!$D$132:$D$147,0))*kgtoGg</f>
        <v>1.5184381774761928E-2</v>
      </c>
      <c r="U74" s="23">
        <f>INDEX('Activity data'!U$24:U$39,MATCH(Emissions!$D74,'Activity data'!$D$24:$D$39,0))*INDEX(EF!$H$84:$H$99,MATCH(Emissions!$D74,EF!$D$84:$D$99,0))*INDEX(EF!$H$100:$H$115,MATCH(Emissions!$D74,EF!$D$100:$D$115,0))*INDEX(EF!$H$132:$H$147,MATCH(Emissions!$D74,EF!$D$132:$D$147,0))*kgtoGg</f>
        <v>1.4065056535967114E-2</v>
      </c>
      <c r="V74" s="23">
        <f>INDEX('Activity data'!V$24:V$39,MATCH(Emissions!$D74,'Activity data'!$D$24:$D$39,0))*INDEX(EF!$H$84:$H$99,MATCH(Emissions!$D74,EF!$D$84:$D$99,0))*INDEX(EF!$H$100:$H$115,MATCH(Emissions!$D74,EF!$D$100:$D$115,0))*INDEX(EF!$H$132:$H$147,MATCH(Emissions!$D74,EF!$D$132:$D$147,0))*kgtoGg</f>
        <v>1.7716996456479478E-2</v>
      </c>
      <c r="W74" s="23">
        <f>INDEX('Activity data'!W$24:W$39,MATCH(Emissions!$D74,'Activity data'!$D$24:$D$39,0))*INDEX(EF!$H$84:$H$99,MATCH(Emissions!$D74,EF!$D$84:$D$99,0))*INDEX(EF!$H$100:$H$115,MATCH(Emissions!$D74,EF!$D$100:$D$115,0))*INDEX(EF!$H$132:$H$147,MATCH(Emissions!$D74,EF!$D$132:$D$147,0))*kgtoGg</f>
        <v>1.9458169050160297E-2</v>
      </c>
      <c r="X74" s="23">
        <f>INDEX('Activity data'!X$24:X$39,MATCH(Emissions!$D74,'Activity data'!$D$24:$D$39,0))*INDEX(EF!$H$84:$H$99,MATCH(Emissions!$D74,EF!$D$84:$D$99,0))*INDEX(EF!$H$100:$H$115,MATCH(Emissions!$D74,EF!$D$100:$D$115,0))*INDEX(EF!$H$132:$H$147,MATCH(Emissions!$D74,EF!$D$132:$D$147,0))*kgtoGg</f>
        <v>1.4585147050962685E-2</v>
      </c>
      <c r="Y74" s="23">
        <f>INDEX('Activity data'!Y$24:Y$39,MATCH(Emissions!$D74,'Activity data'!$D$24:$D$39,0))*INDEX(EF!$H$84:$H$99,MATCH(Emissions!$D74,EF!$D$84:$D$99,0))*INDEX(EF!$H$100:$H$115,MATCH(Emissions!$D74,EF!$D$100:$D$115,0))*INDEX(EF!$H$132:$H$147,MATCH(Emissions!$D74,EF!$D$132:$D$147,0))*kgtoGg</f>
        <v>1.4630372313136211E-2</v>
      </c>
      <c r="Z74" s="23">
        <f>INDEX('Activity data'!Z$24:Z$39,MATCH(Emissions!$D74,'Activity data'!$D$24:$D$39,0))*INDEX(EF!$H$84:$H$99,MATCH(Emissions!$D74,EF!$D$84:$D$99,0))*INDEX(EF!$H$100:$H$115,MATCH(Emissions!$D74,EF!$D$100:$D$115,0))*INDEX(EF!$H$132:$H$147,MATCH(Emissions!$D74,EF!$D$132:$D$147,0))*kgtoGg</f>
        <v>1.0333972406651079E-2</v>
      </c>
      <c r="AA74" s="23">
        <f>INDEX('Activity data'!AA$24:AA$39,MATCH(Emissions!$D74,'Activity data'!$D$24:$D$39,0))*INDEX(EF!$H$84:$H$99,MATCH(Emissions!$D74,EF!$D$84:$D$99,0))*INDEX(EF!$H$100:$H$115,MATCH(Emissions!$D74,EF!$D$100:$D$115,0))*INDEX(EF!$H$132:$H$147,MATCH(Emissions!$D74,EF!$D$132:$D$147,0))*kgtoGg</f>
        <v>1.0729693450669446E-2</v>
      </c>
      <c r="AB74" s="23">
        <f>INDEX('Activity data'!AB$24:AB$39,MATCH(Emissions!$D74,'Activity data'!$D$24:$D$39,0))*INDEX(EF!$H$84:$H$99,MATCH(Emissions!$D74,EF!$D$84:$D$99,0))*INDEX(EF!$H$100:$H$115,MATCH(Emissions!$D74,EF!$D$100:$D$115,0))*INDEX(EF!$H$132:$H$147,MATCH(Emissions!$D74,EF!$D$132:$D$147,0))*kgtoGg</f>
        <v>1.5161139000000001E-2</v>
      </c>
      <c r="AC74" s="23">
        <f>INDEX('Activity data'!AC$24:AC$39,MATCH(Emissions!$D74,'Activity data'!$D$24:$D$39,0))*INDEX(EF!$H$84:$H$99,MATCH(Emissions!$D74,EF!$D$84:$D$99,0))*INDEX(EF!$H$100:$H$115,MATCH(Emissions!$D74,EF!$D$100:$D$115,0))*INDEX(EF!$H$132:$H$147,MATCH(Emissions!$D74,EF!$D$132:$D$147,0))*kgtoGg</f>
        <v>1.5150334500000001E-2</v>
      </c>
      <c r="AD74" s="23">
        <f>INDEX('Activity data'!AD$24:AD$39,MATCH(Emissions!$D74,'Activity data'!$D$24:$D$39,0))*INDEX(EF!$H$84:$H$99,MATCH(Emissions!$D74,EF!$D$84:$D$99,0))*INDEX(EF!$H$100:$H$115,MATCH(Emissions!$D74,EF!$D$100:$D$115,0))*INDEX(EF!$H$132:$H$147,MATCH(Emissions!$D74,EF!$D$132:$D$147,0))*kgtoGg</f>
        <v>1.5084008100000001E-2</v>
      </c>
      <c r="AE74" s="23">
        <f>INDEX('Activity data'!AE$24:AE$39,MATCH(Emissions!$D74,'Activity data'!$D$24:$D$39,0))*INDEX(EF!$H$84:$H$99,MATCH(Emissions!$D74,EF!$D$84:$D$99,0))*INDEX(EF!$H$100:$H$115,MATCH(Emissions!$D74,EF!$D$100:$D$115,0))*INDEX(EF!$H$132:$H$147,MATCH(Emissions!$D74,EF!$D$132:$D$147,0))*kgtoGg</f>
        <v>1.68402024E-2</v>
      </c>
      <c r="AF74" s="23">
        <f>INDEX('Activity data'!AF$24:AF$39,MATCH(Emissions!$D74,'Activity data'!$D$24:$D$39,0))*INDEX(EF!$H$84:$H$99,MATCH(Emissions!$D74,EF!$D$84:$D$99,0))*INDEX(EF!$H$100:$H$115,MATCH(Emissions!$D74,EF!$D$100:$D$115,0))*INDEX(EF!$H$132:$H$147,MATCH(Emissions!$D74,EF!$D$132:$D$147,0))*kgtoGg</f>
        <v>1.6806069E-2</v>
      </c>
      <c r="AG74" s="23">
        <f>INDEX('Activity data'!AG$24:AG$39,MATCH(Emissions!$D74,'Activity data'!$D$24:$D$39,0))*INDEX(EF!$H$84:$H$99,MATCH(Emissions!$D74,EF!$D$84:$D$99,0))*INDEX(EF!$H$100:$H$115,MATCH(Emissions!$D74,EF!$D$100:$D$115,0))*INDEX(EF!$H$132:$H$147,MATCH(Emissions!$D74,EF!$D$132:$D$147,0))*kgtoGg</f>
        <v>1.51312392E-2</v>
      </c>
      <c r="AH74" s="23">
        <f>INDEX('Activity data'!AH$24:AH$39,MATCH(Emissions!$D74,'Activity data'!$D$24:$D$39,0))*INDEX(EF!$H$84:$H$99,MATCH(Emissions!$D74,EF!$D$84:$D$99,0))*INDEX(EF!$H$100:$H$115,MATCH(Emissions!$D74,EF!$D$100:$D$115,0))*INDEX(EF!$H$132:$H$147,MATCH(Emissions!$D74,EF!$D$132:$D$147,0))*kgtoGg</f>
        <v>8.0390330999999988E-3</v>
      </c>
      <c r="AI74" s="23">
        <f>INDEX('Activity data'!AI$24:AI$39,MATCH(Emissions!$D74,'Activity data'!$D$24:$D$39,0))*INDEX(EF!$H$84:$H$99,MATCH(Emissions!$D74,EF!$D$84:$D$99,0))*INDEX(EF!$H$100:$H$115,MATCH(Emissions!$D74,EF!$D$100:$D$115,0))*INDEX(EF!$H$132:$H$147,MATCH(Emissions!$D74,EF!$D$132:$D$147,0))*kgtoGg</f>
        <v>9.6099192000000007E-3</v>
      </c>
      <c r="AJ74" s="23">
        <f>INDEX('Activity data'!AJ$24:AJ$39,MATCH(Emissions!$D74,'Activity data'!$D$24:$D$39,0))*INDEX(EF!$H$84:$H$99,MATCH(Emissions!$D74,EF!$D$84:$D$99,0))*INDEX(EF!$H$100:$H$115,MATCH(Emissions!$D74,EF!$D$100:$D$115,0))*INDEX(EF!$H$132:$H$147,MATCH(Emissions!$D74,EF!$D$132:$D$147,0))*kgtoGg</f>
        <v>0.15670283224084242</v>
      </c>
      <c r="AK74" s="23">
        <f>INDEX('Activity data'!AK$24:AK$39,MATCH(Emissions!$D74,'Activity data'!$D$24:$D$39,0))*INDEX(EF!$H$84:$H$99,MATCH(Emissions!$D74,EF!$D$84:$D$99,0))*INDEX(EF!$H$100:$H$115,MATCH(Emissions!$D74,EF!$D$100:$D$115,0))*INDEX(EF!$H$132:$H$147,MATCH(Emissions!$D74,EF!$D$132:$D$147,0))*kgtoGg</f>
        <v>0.15606414079404601</v>
      </c>
      <c r="AL74" s="23">
        <f>INDEX('Activity data'!AL$24:AL$39,MATCH(Emissions!$D74,'Activity data'!$D$24:$D$39,0))*INDEX(EF!$H$84:$H$99,MATCH(Emissions!$D74,EF!$D$84:$D$99,0))*INDEX(EF!$H$100:$H$115,MATCH(Emissions!$D74,EF!$D$100:$D$115,0))*INDEX(EF!$H$132:$H$147,MATCH(Emissions!$D74,EF!$D$132:$D$147,0))*kgtoGg</f>
        <v>0.15542544934724956</v>
      </c>
      <c r="AM74" s="23">
        <f>INDEX('Activity data'!AM$24:AM$39,MATCH(Emissions!$D74,'Activity data'!$D$24:$D$39,0))*INDEX(EF!$H$84:$H$99,MATCH(Emissions!$D74,EF!$D$84:$D$99,0))*INDEX(EF!$H$100:$H$115,MATCH(Emissions!$D74,EF!$D$100:$D$115,0))*INDEX(EF!$H$132:$H$147,MATCH(Emissions!$D74,EF!$D$132:$D$147,0))*kgtoGg</f>
        <v>0.1547867579004531</v>
      </c>
      <c r="AN74" s="23">
        <f>INDEX('Activity data'!AN$24:AN$39,MATCH(Emissions!$D74,'Activity data'!$D$24:$D$39,0))*INDEX(EF!$H$84:$H$99,MATCH(Emissions!$D74,EF!$D$84:$D$99,0))*INDEX(EF!$H$100:$H$115,MATCH(Emissions!$D74,EF!$D$100:$D$115,0))*INDEX(EF!$H$132:$H$147,MATCH(Emissions!$D74,EF!$D$132:$D$147,0))*kgtoGg</f>
        <v>0.15414806645365667</v>
      </c>
      <c r="AO74" s="23">
        <f>INDEX('Activity data'!AO$24:AO$39,MATCH(Emissions!$D74,'Activity data'!$D$24:$D$39,0))*INDEX(EF!$H$84:$H$99,MATCH(Emissions!$D74,EF!$D$84:$D$99,0))*INDEX(EF!$H$100:$H$115,MATCH(Emissions!$D74,EF!$D$100:$D$115,0))*INDEX(EF!$H$132:$H$147,MATCH(Emissions!$D74,EF!$D$132:$D$147,0))*kgtoGg</f>
        <v>0.15350937500686029</v>
      </c>
      <c r="AP74" s="23">
        <f>INDEX('Activity data'!AP$24:AP$39,MATCH(Emissions!$D74,'Activity data'!$D$24:$D$39,0))*INDEX(EF!$H$84:$H$99,MATCH(Emissions!$D74,EF!$D$84:$D$99,0))*INDEX(EF!$H$100:$H$115,MATCH(Emissions!$D74,EF!$D$100:$D$115,0))*INDEX(EF!$H$132:$H$147,MATCH(Emissions!$D74,EF!$D$132:$D$147,0))*kgtoGg</f>
        <v>0.15287068356006386</v>
      </c>
      <c r="AQ74" s="23">
        <f>INDEX('Activity data'!AQ$24:AQ$39,MATCH(Emissions!$D74,'Activity data'!$D$24:$D$39,0))*INDEX(EF!$H$84:$H$99,MATCH(Emissions!$D74,EF!$D$84:$D$99,0))*INDEX(EF!$H$100:$H$115,MATCH(Emissions!$D74,EF!$D$100:$D$115,0))*INDEX(EF!$H$132:$H$147,MATCH(Emissions!$D74,EF!$D$132:$D$147,0))*kgtoGg</f>
        <v>0.15223199211326741</v>
      </c>
      <c r="AR74" s="23">
        <f>INDEX('Activity data'!AR$24:AR$39,MATCH(Emissions!$D74,'Activity data'!$D$24:$D$39,0))*INDEX(EF!$H$84:$H$99,MATCH(Emissions!$D74,EF!$D$84:$D$99,0))*INDEX(EF!$H$100:$H$115,MATCH(Emissions!$D74,EF!$D$100:$D$115,0))*INDEX(EF!$H$132:$H$147,MATCH(Emissions!$D74,EF!$D$132:$D$147,0))*kgtoGg</f>
        <v>0.151593300666471</v>
      </c>
      <c r="AS74" s="23">
        <f>INDEX('Activity data'!AS$24:AS$39,MATCH(Emissions!$D74,'Activity data'!$D$24:$D$39,0))*INDEX(EF!$H$84:$H$99,MATCH(Emissions!$D74,EF!$D$84:$D$99,0))*INDEX(EF!$H$100:$H$115,MATCH(Emissions!$D74,EF!$D$100:$D$115,0))*INDEX(EF!$H$132:$H$147,MATCH(Emissions!$D74,EF!$D$132:$D$147,0))*kgtoGg</f>
        <v>0.1509546092196746</v>
      </c>
      <c r="AT74" s="23">
        <f>INDEX('Activity data'!AT$24:AT$39,MATCH(Emissions!$D74,'Activity data'!$D$24:$D$39,0))*INDEX(EF!$H$84:$H$99,MATCH(Emissions!$D74,EF!$D$84:$D$99,0))*INDEX(EF!$H$100:$H$115,MATCH(Emissions!$D74,EF!$D$100:$D$115,0))*INDEX(EF!$H$132:$H$147,MATCH(Emissions!$D74,EF!$D$132:$D$147,0))*kgtoGg</f>
        <v>0.15031591777287817</v>
      </c>
      <c r="AU74" s="23">
        <f>INDEX('Activity data'!AU$24:AU$39,MATCH(Emissions!$D74,'Activity data'!$D$24:$D$39,0))*INDEX(EF!$H$84:$H$99,MATCH(Emissions!$D74,EF!$D$84:$D$99,0))*INDEX(EF!$H$100:$H$115,MATCH(Emissions!$D74,EF!$D$100:$D$115,0))*INDEX(EF!$H$132:$H$147,MATCH(Emissions!$D74,EF!$D$132:$D$147,0))*kgtoGg</f>
        <v>0.14967722632608171</v>
      </c>
      <c r="AV74" s="23">
        <f>INDEX('Activity data'!AV$24:AV$39,MATCH(Emissions!$D74,'Activity data'!$D$24:$D$39,0))*INDEX(EF!$H$84:$H$99,MATCH(Emissions!$D74,EF!$D$84:$D$99,0))*INDEX(EF!$H$100:$H$115,MATCH(Emissions!$D74,EF!$D$100:$D$115,0))*INDEX(EF!$H$132:$H$147,MATCH(Emissions!$D74,EF!$D$132:$D$147,0))*kgtoGg</f>
        <v>0.14903853487928528</v>
      </c>
      <c r="AW74" s="23">
        <f>INDEX('Activity data'!AW$24:AW$39,MATCH(Emissions!$D74,'Activity data'!$D$24:$D$39,0))*INDEX(EF!$H$84:$H$99,MATCH(Emissions!$D74,EF!$D$84:$D$99,0))*INDEX(EF!$H$100:$H$115,MATCH(Emissions!$D74,EF!$D$100:$D$115,0))*INDEX(EF!$H$132:$H$147,MATCH(Emissions!$D74,EF!$D$132:$D$147,0))*kgtoGg</f>
        <v>0.14839984343248885</v>
      </c>
      <c r="AX74" s="23">
        <f>INDEX('Activity data'!AX$24:AX$39,MATCH(Emissions!$D74,'Activity data'!$D$24:$D$39,0))*INDEX(EF!$H$84:$H$99,MATCH(Emissions!$D74,EF!$D$84:$D$99,0))*INDEX(EF!$H$100:$H$115,MATCH(Emissions!$D74,EF!$D$100:$D$115,0))*INDEX(EF!$H$132:$H$147,MATCH(Emissions!$D74,EF!$D$132:$D$147,0))*kgtoGg</f>
        <v>0.14776115198569242</v>
      </c>
      <c r="AY74" s="23">
        <f>INDEX('Activity data'!AY$24:AY$39,MATCH(Emissions!$D74,'Activity data'!$D$24:$D$39,0))*INDEX(EF!$H$84:$H$99,MATCH(Emissions!$D74,EF!$D$84:$D$99,0))*INDEX(EF!$H$100:$H$115,MATCH(Emissions!$D74,EF!$D$100:$D$115,0))*INDEX(EF!$H$132:$H$147,MATCH(Emissions!$D74,EF!$D$132:$D$147,0))*kgtoGg</f>
        <v>0.14712246053889599</v>
      </c>
      <c r="AZ74" s="23">
        <f>INDEX('Activity data'!AZ$24:AZ$39,MATCH(Emissions!$D74,'Activity data'!$D$24:$D$39,0))*INDEX(EF!$H$84:$H$99,MATCH(Emissions!$D74,EF!$D$84:$D$99,0))*INDEX(EF!$H$100:$H$115,MATCH(Emissions!$D74,EF!$D$100:$D$115,0))*INDEX(EF!$H$132:$H$147,MATCH(Emissions!$D74,EF!$D$132:$D$147,0))*kgtoGg</f>
        <v>0.14648376909209959</v>
      </c>
      <c r="BA74" s="23">
        <f>INDEX('Activity data'!BA$24:BA$39,MATCH(Emissions!$D74,'Activity data'!$D$24:$D$39,0))*INDEX(EF!$H$84:$H$99,MATCH(Emissions!$D74,EF!$D$84:$D$99,0))*INDEX(EF!$H$100:$H$115,MATCH(Emissions!$D74,EF!$D$100:$D$115,0))*INDEX(EF!$H$132:$H$147,MATCH(Emissions!$D74,EF!$D$132:$D$147,0))*kgtoGg</f>
        <v>0.14584507764530316</v>
      </c>
      <c r="BB74" s="23">
        <f>INDEX('Activity data'!BB$24:BB$39,MATCH(Emissions!$D74,'Activity data'!$D$24:$D$39,0))*INDEX(EF!$H$84:$H$99,MATCH(Emissions!$D74,EF!$D$84:$D$99,0))*INDEX(EF!$H$100:$H$115,MATCH(Emissions!$D74,EF!$D$100:$D$115,0))*INDEX(EF!$H$132:$H$147,MATCH(Emissions!$D74,EF!$D$132:$D$147,0))*kgtoGg</f>
        <v>0.14520638619850673</v>
      </c>
      <c r="BC74" s="23">
        <f>INDEX('Activity data'!BC$24:BC$39,MATCH(Emissions!$D74,'Activity data'!$D$24:$D$39,0))*INDEX(EF!$H$84:$H$99,MATCH(Emissions!$D74,EF!$D$84:$D$99,0))*INDEX(EF!$H$100:$H$115,MATCH(Emissions!$D74,EF!$D$100:$D$115,0))*INDEX(EF!$H$132:$H$147,MATCH(Emissions!$D74,EF!$D$132:$D$147,0))*kgtoGg</f>
        <v>0.1445676947517103</v>
      </c>
      <c r="BD74" s="23">
        <f>INDEX('Activity data'!BD$24:BD$39,MATCH(Emissions!$D74,'Activity data'!$D$24:$D$39,0))*INDEX(EF!$H$84:$H$99,MATCH(Emissions!$D74,EF!$D$84:$D$99,0))*INDEX(EF!$H$100:$H$115,MATCH(Emissions!$D74,EF!$D$100:$D$115,0))*INDEX(EF!$H$132:$H$147,MATCH(Emissions!$D74,EF!$D$132:$D$147,0))*kgtoGg</f>
        <v>0.1439290033049139</v>
      </c>
      <c r="BE74" s="23">
        <f>INDEX('Activity data'!BE$24:BE$39,MATCH(Emissions!$D74,'Activity data'!$D$24:$D$39,0))*INDEX(EF!$H$84:$H$99,MATCH(Emissions!$D74,EF!$D$84:$D$99,0))*INDEX(EF!$H$100:$H$115,MATCH(Emissions!$D74,EF!$D$100:$D$115,0))*INDEX(EF!$H$132:$H$147,MATCH(Emissions!$D74,EF!$D$132:$D$147,0))*kgtoGg</f>
        <v>0.14329031185811747</v>
      </c>
      <c r="BF74" s="23">
        <f>INDEX('Activity data'!BF$24:BF$39,MATCH(Emissions!$D74,'Activity data'!$D$24:$D$39,0))*INDEX(EF!$H$84:$H$99,MATCH(Emissions!$D74,EF!$D$84:$D$99,0))*INDEX(EF!$H$100:$H$115,MATCH(Emissions!$D74,EF!$D$100:$D$115,0))*INDEX(EF!$H$132:$H$147,MATCH(Emissions!$D74,EF!$D$132:$D$147,0))*kgtoGg</f>
        <v>0.14265162041132104</v>
      </c>
      <c r="BG74" s="23">
        <f>INDEX('Activity data'!BG$24:BG$39,MATCH(Emissions!$D74,'Activity data'!$D$24:$D$39,0))*INDEX(EF!$H$84:$H$99,MATCH(Emissions!$D74,EF!$D$84:$D$99,0))*INDEX(EF!$H$100:$H$115,MATCH(Emissions!$D74,EF!$D$100:$D$115,0))*INDEX(EF!$H$132:$H$147,MATCH(Emissions!$D74,EF!$D$132:$D$147,0))*kgtoGg</f>
        <v>0.14201292896452458</v>
      </c>
      <c r="BH74" s="23">
        <f>INDEX('Activity data'!BH$24:BH$39,MATCH(Emissions!$D74,'Activity data'!$D$24:$D$39,0))*INDEX(EF!$H$84:$H$99,MATCH(Emissions!$D74,EF!$D$84:$D$99,0))*INDEX(EF!$H$100:$H$115,MATCH(Emissions!$D74,EF!$D$100:$D$115,0))*INDEX(EF!$H$132:$H$147,MATCH(Emissions!$D74,EF!$D$132:$D$147,0))*kgtoGg</f>
        <v>0.14137423751772818</v>
      </c>
      <c r="BI74" s="23">
        <f>INDEX('Activity data'!BI$24:BI$39,MATCH(Emissions!$D74,'Activity data'!$D$24:$D$39,0))*INDEX(EF!$H$84:$H$99,MATCH(Emissions!$D74,EF!$D$84:$D$99,0))*INDEX(EF!$H$100:$H$115,MATCH(Emissions!$D74,EF!$D$100:$D$115,0))*INDEX(EF!$H$132:$H$147,MATCH(Emissions!$D74,EF!$D$132:$D$147,0))*kgtoGg</f>
        <v>0.14073554607093172</v>
      </c>
      <c r="BJ74" s="23">
        <f>INDEX('Activity data'!BJ$24:BJ$39,MATCH(Emissions!$D74,'Activity data'!$D$24:$D$39,0))*INDEX(EF!$H$84:$H$99,MATCH(Emissions!$D74,EF!$D$84:$D$99,0))*INDEX(EF!$H$100:$H$115,MATCH(Emissions!$D74,EF!$D$100:$D$115,0))*INDEX(EF!$H$132:$H$147,MATCH(Emissions!$D74,EF!$D$132:$D$147,0))*kgtoGg</f>
        <v>0.14009685462413529</v>
      </c>
      <c r="BK74" s="23">
        <f>INDEX('Activity data'!BK$24:BK$39,MATCH(Emissions!$D74,'Activity data'!$D$24:$D$39,0))*INDEX(EF!$H$84:$H$99,MATCH(Emissions!$D74,EF!$D$84:$D$99,0))*INDEX(EF!$H$100:$H$115,MATCH(Emissions!$D74,EF!$D$100:$D$115,0))*INDEX(EF!$H$132:$H$147,MATCH(Emissions!$D74,EF!$D$132:$D$147,0))*kgtoGg</f>
        <v>0.13945816317733889</v>
      </c>
      <c r="BL74" s="23">
        <f>INDEX('Activity data'!BL$24:BL$39,MATCH(Emissions!$D74,'Activity data'!$D$24:$D$39,0))*INDEX(EF!$H$84:$H$99,MATCH(Emissions!$D74,EF!$D$84:$D$99,0))*INDEX(EF!$H$100:$H$115,MATCH(Emissions!$D74,EF!$D$100:$D$115,0))*INDEX(EF!$H$132:$H$147,MATCH(Emissions!$D74,EF!$D$132:$D$147,0))*kgtoGg</f>
        <v>0.13881947173054249</v>
      </c>
      <c r="BM74" s="23">
        <f>INDEX('Activity data'!BM$24:BM$39,MATCH(Emissions!$D74,'Activity data'!$D$24:$D$39,0))*INDEX(EF!$H$84:$H$99,MATCH(Emissions!$D74,EF!$D$84:$D$99,0))*INDEX(EF!$H$100:$H$115,MATCH(Emissions!$D74,EF!$D$100:$D$115,0))*INDEX(EF!$H$132:$H$147,MATCH(Emissions!$D74,EF!$D$132:$D$147,0))*kgtoGg</f>
        <v>0.13818078028374606</v>
      </c>
      <c r="BN74" s="23">
        <f>INDEX('Activity data'!BN$24:BN$39,MATCH(Emissions!$D74,'Activity data'!$D$24:$D$39,0))*INDEX(EF!$H$84:$H$99,MATCH(Emissions!$D74,EF!$D$84:$D$99,0))*INDEX(EF!$H$100:$H$115,MATCH(Emissions!$D74,EF!$D$100:$D$115,0))*INDEX(EF!$H$132:$H$147,MATCH(Emissions!$D74,EF!$D$132:$D$147,0))*kgtoGg</f>
        <v>0.1375420888369496</v>
      </c>
      <c r="BO74" s="23">
        <f>INDEX('Activity data'!BO$24:BO$39,MATCH(Emissions!$D74,'Activity data'!$D$24:$D$39,0))*INDEX(EF!$H$84:$H$99,MATCH(Emissions!$D74,EF!$D$84:$D$99,0))*INDEX(EF!$H$100:$H$115,MATCH(Emissions!$D74,EF!$D$100:$D$115,0))*INDEX(EF!$H$132:$H$147,MATCH(Emissions!$D74,EF!$D$132:$D$147,0))*kgtoGg</f>
        <v>0.1369033973901532</v>
      </c>
      <c r="BP74" s="23">
        <f>INDEX('Activity data'!BP$24:BP$39,MATCH(Emissions!$D74,'Activity data'!$D$24:$D$39,0))*INDEX(EF!$H$84:$H$99,MATCH(Emissions!$D74,EF!$D$84:$D$99,0))*INDEX(EF!$H$100:$H$115,MATCH(Emissions!$D74,EF!$D$100:$D$115,0))*INDEX(EF!$H$132:$H$147,MATCH(Emissions!$D74,EF!$D$132:$D$147,0))*kgtoGg</f>
        <v>0.1362647059433568</v>
      </c>
    </row>
    <row r="75" spans="1:68" x14ac:dyDescent="0.25">
      <c r="A75" t="str">
        <f t="shared" si="19"/>
        <v>3C Aggregated and non-CO2 emissions on land</v>
      </c>
      <c r="B75" t="str">
        <f t="shared" si="26"/>
        <v>3C1 Biomass burning (N2O)</v>
      </c>
      <c r="C75" t="str">
        <f t="shared" si="25"/>
        <v>3C1b Biomass burning in Croplands</v>
      </c>
      <c r="D75" t="str">
        <f>EF!D105</f>
        <v>Annual pivot</v>
      </c>
      <c r="E75" t="s">
        <v>730</v>
      </c>
      <c r="F75" t="str">
        <f t="shared" si="27"/>
        <v>N2O</v>
      </c>
      <c r="G75" t="str">
        <f t="shared" si="28"/>
        <v>Gg N2O</v>
      </c>
      <c r="H75" s="23">
        <f>INDEX('Activity data'!H$24:H$39,MATCH(Emissions!$D75,'Activity data'!$D$24:$D$39,0))*INDEX(EF!$H$84:$H$99,MATCH(Emissions!$D75,EF!$D$84:$D$99,0))*INDEX(EF!$H$100:$H$115,MATCH(Emissions!$D75,EF!$D$100:$D$115,0))*INDEX(EF!$H$132:$H$147,MATCH(Emissions!$D75,EF!$D$132:$D$147,0))*kgtoGg</f>
        <v>0.18638235046954238</v>
      </c>
      <c r="I75" s="23">
        <f>INDEX('Activity data'!I$24:I$39,MATCH(Emissions!$D75,'Activity data'!$D$24:$D$39,0))*INDEX(EF!$H$84:$H$99,MATCH(Emissions!$D75,EF!$D$84:$D$99,0))*INDEX(EF!$H$100:$H$115,MATCH(Emissions!$D75,EF!$D$100:$D$115,0))*INDEX(EF!$H$132:$H$147,MATCH(Emissions!$D75,EF!$D$132:$D$147,0))*kgtoGg</f>
        <v>0.18638235046954238</v>
      </c>
      <c r="J75" s="23">
        <f>INDEX('Activity data'!J$24:J$39,MATCH(Emissions!$D75,'Activity data'!$D$24:$D$39,0))*INDEX(EF!$H$84:$H$99,MATCH(Emissions!$D75,EF!$D$84:$D$99,0))*INDEX(EF!$H$100:$H$115,MATCH(Emissions!$D75,EF!$D$100:$D$115,0))*INDEX(EF!$H$132:$H$147,MATCH(Emissions!$D75,EF!$D$132:$D$147,0))*kgtoGg</f>
        <v>0.18638235046954238</v>
      </c>
      <c r="K75" s="23">
        <f>INDEX('Activity data'!K$24:K$39,MATCH(Emissions!$D75,'Activity data'!$D$24:$D$39,0))*INDEX(EF!$H$84:$H$99,MATCH(Emissions!$D75,EF!$D$84:$D$99,0))*INDEX(EF!$H$100:$H$115,MATCH(Emissions!$D75,EF!$D$100:$D$115,0))*INDEX(EF!$H$132:$H$147,MATCH(Emissions!$D75,EF!$D$132:$D$147,0))*kgtoGg</f>
        <v>0.18638235046954238</v>
      </c>
      <c r="L75" s="23">
        <f>INDEX('Activity data'!L$24:L$39,MATCH(Emissions!$D75,'Activity data'!$D$24:$D$39,0))*INDEX(EF!$H$84:$H$99,MATCH(Emissions!$D75,EF!$D$84:$D$99,0))*INDEX(EF!$H$100:$H$115,MATCH(Emissions!$D75,EF!$D$100:$D$115,0))*INDEX(EF!$H$132:$H$147,MATCH(Emissions!$D75,EF!$D$132:$D$147,0))*kgtoGg</f>
        <v>0.18638235046954238</v>
      </c>
      <c r="M75" s="23">
        <f>INDEX('Activity data'!M$24:M$39,MATCH(Emissions!$D75,'Activity data'!$D$24:$D$39,0))*INDEX(EF!$H$84:$H$99,MATCH(Emissions!$D75,EF!$D$84:$D$99,0))*INDEX(EF!$H$100:$H$115,MATCH(Emissions!$D75,EF!$D$100:$D$115,0))*INDEX(EF!$H$132:$H$147,MATCH(Emissions!$D75,EF!$D$132:$D$147,0))*kgtoGg</f>
        <v>0.18638235046954238</v>
      </c>
      <c r="N75" s="23">
        <f>INDEX('Activity data'!N$24:N$39,MATCH(Emissions!$D75,'Activity data'!$D$24:$D$39,0))*INDEX(EF!$H$84:$H$99,MATCH(Emissions!$D75,EF!$D$84:$D$99,0))*INDEX(EF!$H$100:$H$115,MATCH(Emissions!$D75,EF!$D$100:$D$115,0))*INDEX(EF!$H$132:$H$147,MATCH(Emissions!$D75,EF!$D$132:$D$147,0))*kgtoGg</f>
        <v>0.18638235046954238</v>
      </c>
      <c r="O75" s="23">
        <f>INDEX('Activity data'!O$24:O$39,MATCH(Emissions!$D75,'Activity data'!$D$24:$D$39,0))*INDEX(EF!$H$84:$H$99,MATCH(Emissions!$D75,EF!$D$84:$D$99,0))*INDEX(EF!$H$100:$H$115,MATCH(Emissions!$D75,EF!$D$100:$D$115,0))*INDEX(EF!$H$132:$H$147,MATCH(Emissions!$D75,EF!$D$132:$D$147,0))*kgtoGg</f>
        <v>0.18638235046954238</v>
      </c>
      <c r="P75" s="23">
        <f>INDEX('Activity data'!P$24:P$39,MATCH(Emissions!$D75,'Activity data'!$D$24:$D$39,0))*INDEX(EF!$H$84:$H$99,MATCH(Emissions!$D75,EF!$D$84:$D$99,0))*INDEX(EF!$H$100:$H$115,MATCH(Emissions!$D75,EF!$D$100:$D$115,0))*INDEX(EF!$H$132:$H$147,MATCH(Emissions!$D75,EF!$D$132:$D$147,0))*kgtoGg</f>
        <v>0.18638235046954238</v>
      </c>
      <c r="Q75" s="23">
        <f>INDEX('Activity data'!Q$24:Q$39,MATCH(Emissions!$D75,'Activity data'!$D$24:$D$39,0))*INDEX(EF!$H$84:$H$99,MATCH(Emissions!$D75,EF!$D$84:$D$99,0))*INDEX(EF!$H$100:$H$115,MATCH(Emissions!$D75,EF!$D$100:$D$115,0))*INDEX(EF!$H$132:$H$147,MATCH(Emissions!$D75,EF!$D$132:$D$147,0))*kgtoGg</f>
        <v>0.18638235046954238</v>
      </c>
      <c r="R75" s="23">
        <f>INDEX('Activity data'!R$24:R$39,MATCH(Emissions!$D75,'Activity data'!$D$24:$D$39,0))*INDEX(EF!$H$84:$H$99,MATCH(Emissions!$D75,EF!$D$84:$D$99,0))*INDEX(EF!$H$100:$H$115,MATCH(Emissions!$D75,EF!$D$100:$D$115,0))*INDEX(EF!$H$132:$H$147,MATCH(Emissions!$D75,EF!$D$132:$D$147,0))*kgtoGg</f>
        <v>0.20162552508512988</v>
      </c>
      <c r="S75" s="23">
        <f>INDEX('Activity data'!S$24:S$39,MATCH(Emissions!$D75,'Activity data'!$D$24:$D$39,0))*INDEX(EF!$H$84:$H$99,MATCH(Emissions!$D75,EF!$D$84:$D$99,0))*INDEX(EF!$H$100:$H$115,MATCH(Emissions!$D75,EF!$D$100:$D$115,0))*INDEX(EF!$H$132:$H$147,MATCH(Emissions!$D75,EF!$D$132:$D$147,0))*kgtoGg</f>
        <v>0.18678033277666942</v>
      </c>
      <c r="T75" s="23">
        <f>INDEX('Activity data'!T$24:T$39,MATCH(Emissions!$D75,'Activity data'!$D$24:$D$39,0))*INDEX(EF!$H$84:$H$99,MATCH(Emissions!$D75,EF!$D$84:$D$99,0))*INDEX(EF!$H$100:$H$115,MATCH(Emissions!$D75,EF!$D$100:$D$115,0))*INDEX(EF!$H$132:$H$147,MATCH(Emissions!$D75,EF!$D$132:$D$147,0))*kgtoGg</f>
        <v>0.2287267634426163</v>
      </c>
      <c r="U75" s="23">
        <f>INDEX('Activity data'!U$24:U$39,MATCH(Emissions!$D75,'Activity data'!$D$24:$D$39,0))*INDEX(EF!$H$84:$H$99,MATCH(Emissions!$D75,EF!$D$84:$D$99,0))*INDEX(EF!$H$100:$H$115,MATCH(Emissions!$D75,EF!$D$100:$D$115,0))*INDEX(EF!$H$132:$H$147,MATCH(Emissions!$D75,EF!$D$132:$D$147,0))*kgtoGg</f>
        <v>0.17075928365169724</v>
      </c>
      <c r="V75" s="23">
        <f>INDEX('Activity data'!V$24:V$39,MATCH(Emissions!$D75,'Activity data'!$D$24:$D$39,0))*INDEX(EF!$H$84:$H$99,MATCH(Emissions!$D75,EF!$D$84:$D$99,0))*INDEX(EF!$H$100:$H$115,MATCH(Emissions!$D75,EF!$D$100:$D$115,0))*INDEX(EF!$H$132:$H$147,MATCH(Emissions!$D75,EF!$D$132:$D$147,0))*kgtoGg</f>
        <v>0.14401984739159893</v>
      </c>
      <c r="W75" s="23">
        <f>INDEX('Activity data'!W$24:W$39,MATCH(Emissions!$D75,'Activity data'!$D$24:$D$39,0))*INDEX(EF!$H$84:$H$99,MATCH(Emissions!$D75,EF!$D$84:$D$99,0))*INDEX(EF!$H$100:$H$115,MATCH(Emissions!$D75,EF!$D$100:$D$115,0))*INDEX(EF!$H$132:$H$147,MATCH(Emissions!$D75,EF!$D$132:$D$147,0))*kgtoGg</f>
        <v>0.24379808206194442</v>
      </c>
      <c r="X75" s="23">
        <f>INDEX('Activity data'!X$24:X$39,MATCH(Emissions!$D75,'Activity data'!$D$24:$D$39,0))*INDEX(EF!$H$84:$H$99,MATCH(Emissions!$D75,EF!$D$84:$D$99,0))*INDEX(EF!$H$100:$H$115,MATCH(Emissions!$D75,EF!$D$100:$D$115,0))*INDEX(EF!$H$132:$H$147,MATCH(Emissions!$D75,EF!$D$132:$D$147,0))*kgtoGg</f>
        <v>0.24850150932799131</v>
      </c>
      <c r="Y75" s="23">
        <f>INDEX('Activity data'!Y$24:Y$39,MATCH(Emissions!$D75,'Activity data'!$D$24:$D$39,0))*INDEX(EF!$H$84:$H$99,MATCH(Emissions!$D75,EF!$D$84:$D$99,0))*INDEX(EF!$H$100:$H$115,MATCH(Emissions!$D75,EF!$D$100:$D$115,0))*INDEX(EF!$H$132:$H$147,MATCH(Emissions!$D75,EF!$D$132:$D$147,0))*kgtoGg</f>
        <v>0.14049227694206379</v>
      </c>
      <c r="Z75" s="23">
        <f>INDEX('Activity data'!Z$24:Z$39,MATCH(Emissions!$D75,'Activity data'!$D$24:$D$39,0))*INDEX(EF!$H$84:$H$99,MATCH(Emissions!$D75,EF!$D$84:$D$99,0))*INDEX(EF!$H$100:$H$115,MATCH(Emissions!$D75,EF!$D$100:$D$115,0))*INDEX(EF!$H$132:$H$147,MATCH(Emissions!$D75,EF!$D$132:$D$147,0))*kgtoGg</f>
        <v>0.16253959225165854</v>
      </c>
      <c r="AA75" s="23">
        <f>INDEX('Activity data'!AA$24:AA$39,MATCH(Emissions!$D75,'Activity data'!$D$24:$D$39,0))*INDEX(EF!$H$84:$H$99,MATCH(Emissions!$D75,EF!$D$84:$D$99,0))*INDEX(EF!$H$100:$H$115,MATCH(Emissions!$D75,EF!$D$100:$D$115,0))*INDEX(EF!$H$132:$H$147,MATCH(Emissions!$D75,EF!$D$132:$D$147,0))*kgtoGg</f>
        <v>0.16079841965797775</v>
      </c>
      <c r="AB75" s="23">
        <f>INDEX('Activity data'!AB$24:AB$39,MATCH(Emissions!$D75,'Activity data'!$D$24:$D$39,0))*INDEX(EF!$H$84:$H$99,MATCH(Emissions!$D75,EF!$D$84:$D$99,0))*INDEX(EF!$H$100:$H$115,MATCH(Emissions!$D75,EF!$D$100:$D$115,0))*INDEX(EF!$H$132:$H$147,MATCH(Emissions!$D75,EF!$D$132:$D$147,0))*kgtoGg</f>
        <v>0.18131878170000001</v>
      </c>
      <c r="AC75" s="23">
        <f>INDEX('Activity data'!AC$24:AC$39,MATCH(Emissions!$D75,'Activity data'!$D$24:$D$39,0))*INDEX(EF!$H$84:$H$99,MATCH(Emissions!$D75,EF!$D$84:$D$99,0))*INDEX(EF!$H$100:$H$115,MATCH(Emissions!$D75,EF!$D$100:$D$115,0))*INDEX(EF!$H$132:$H$147,MATCH(Emissions!$D75,EF!$D$132:$D$147,0))*kgtoGg</f>
        <v>0.1894221126</v>
      </c>
      <c r="AD75" s="23">
        <f>INDEX('Activity data'!AD$24:AD$39,MATCH(Emissions!$D75,'Activity data'!$D$24:$D$39,0))*INDEX(EF!$H$84:$H$99,MATCH(Emissions!$D75,EF!$D$84:$D$99,0))*INDEX(EF!$H$100:$H$115,MATCH(Emissions!$D75,EF!$D$100:$D$115,0))*INDEX(EF!$H$132:$H$147,MATCH(Emissions!$D75,EF!$D$132:$D$147,0))*kgtoGg</f>
        <v>0.13926572730000003</v>
      </c>
      <c r="AE75" s="23">
        <f>INDEX('Activity data'!AE$24:AE$39,MATCH(Emissions!$D75,'Activity data'!$D$24:$D$39,0))*INDEX(EF!$H$84:$H$99,MATCH(Emissions!$D75,EF!$D$84:$D$99,0))*INDEX(EF!$H$100:$H$115,MATCH(Emissions!$D75,EF!$D$100:$D$115,0))*INDEX(EF!$H$132:$H$147,MATCH(Emissions!$D75,EF!$D$132:$D$147,0))*kgtoGg</f>
        <v>0.13319814060000001</v>
      </c>
      <c r="AF75" s="23">
        <f>INDEX('Activity data'!AF$24:AF$39,MATCH(Emissions!$D75,'Activity data'!$D$24:$D$39,0))*INDEX(EF!$H$84:$H$99,MATCH(Emissions!$D75,EF!$D$84:$D$99,0))*INDEX(EF!$H$100:$H$115,MATCH(Emissions!$D75,EF!$D$100:$D$115,0))*INDEX(EF!$H$132:$H$147,MATCH(Emissions!$D75,EF!$D$132:$D$147,0))*kgtoGg</f>
        <v>0.1441312803</v>
      </c>
      <c r="AG75" s="23">
        <f>INDEX('Activity data'!AG$24:AG$39,MATCH(Emissions!$D75,'Activity data'!$D$24:$D$39,0))*INDEX(EF!$H$84:$H$99,MATCH(Emissions!$D75,EF!$D$84:$D$99,0))*INDEX(EF!$H$100:$H$115,MATCH(Emissions!$D75,EF!$D$100:$D$115,0))*INDEX(EF!$H$132:$H$147,MATCH(Emissions!$D75,EF!$D$132:$D$147,0))*kgtoGg</f>
        <v>0.10652354999999999</v>
      </c>
      <c r="AH75" s="23">
        <f>INDEX('Activity data'!AH$24:AH$39,MATCH(Emissions!$D75,'Activity data'!$D$24:$D$39,0))*INDEX(EF!$H$84:$H$99,MATCH(Emissions!$D75,EF!$D$84:$D$99,0))*INDEX(EF!$H$100:$H$115,MATCH(Emissions!$D75,EF!$D$100:$D$115,0))*INDEX(EF!$H$132:$H$147,MATCH(Emissions!$D75,EF!$D$132:$D$147,0))*kgtoGg</f>
        <v>5.5589814000000008E-2</v>
      </c>
      <c r="AI75" s="23">
        <f>INDEX('Activity data'!AI$24:AI$39,MATCH(Emissions!$D75,'Activity data'!$D$24:$D$39,0))*INDEX(EF!$H$84:$H$99,MATCH(Emissions!$D75,EF!$D$84:$D$99,0))*INDEX(EF!$H$100:$H$115,MATCH(Emissions!$D75,EF!$D$100:$D$115,0))*INDEX(EF!$H$132:$H$147,MATCH(Emissions!$D75,EF!$D$132:$D$147,0))*kgtoGg</f>
        <v>5.3771659200000009E-2</v>
      </c>
      <c r="AJ75" s="23">
        <f>INDEX('Activity data'!AJ$24:AJ$39,MATCH(Emissions!$D75,'Activity data'!$D$24:$D$39,0))*INDEX(EF!$H$84:$H$99,MATCH(Emissions!$D75,EF!$D$84:$D$99,0))*INDEX(EF!$H$100:$H$115,MATCH(Emissions!$D75,EF!$D$100:$D$115,0))*INDEX(EF!$H$132:$H$147,MATCH(Emissions!$D75,EF!$D$132:$D$147,0))*kgtoGg</f>
        <v>1.5831941424116869E-2</v>
      </c>
      <c r="AK75" s="23">
        <f>INDEX('Activity data'!AK$24:AK$39,MATCH(Emissions!$D75,'Activity data'!$D$24:$D$39,0))*INDEX(EF!$H$84:$H$99,MATCH(Emissions!$D75,EF!$D$84:$D$99,0))*INDEX(EF!$H$100:$H$115,MATCH(Emissions!$D75,EF!$D$100:$D$115,0))*INDEX(EF!$H$132:$H$147,MATCH(Emissions!$D75,EF!$D$132:$D$147,0))*kgtoGg</f>
        <v>1.6238411575300205E-2</v>
      </c>
      <c r="AL75" s="23">
        <f>INDEX('Activity data'!AL$24:AL$39,MATCH(Emissions!$D75,'Activity data'!$D$24:$D$39,0))*INDEX(EF!$H$84:$H$99,MATCH(Emissions!$D75,EF!$D$84:$D$99,0))*INDEX(EF!$H$100:$H$115,MATCH(Emissions!$D75,EF!$D$100:$D$115,0))*INDEX(EF!$H$132:$H$147,MATCH(Emissions!$D75,EF!$D$132:$D$147,0))*kgtoGg</f>
        <v>1.6644881726483523E-2</v>
      </c>
      <c r="AM75" s="23">
        <f>INDEX('Activity data'!AM$24:AM$39,MATCH(Emissions!$D75,'Activity data'!$D$24:$D$39,0))*INDEX(EF!$H$84:$H$99,MATCH(Emissions!$D75,EF!$D$84:$D$99,0))*INDEX(EF!$H$100:$H$115,MATCH(Emissions!$D75,EF!$D$100:$D$115,0))*INDEX(EF!$H$132:$H$147,MATCH(Emissions!$D75,EF!$D$132:$D$147,0))*kgtoGg</f>
        <v>1.7051351877666848E-2</v>
      </c>
      <c r="AN75" s="23">
        <f>INDEX('Activity data'!AN$24:AN$39,MATCH(Emissions!$D75,'Activity data'!$D$24:$D$39,0))*INDEX(EF!$H$84:$H$99,MATCH(Emissions!$D75,EF!$D$84:$D$99,0))*INDEX(EF!$H$100:$H$115,MATCH(Emissions!$D75,EF!$D$100:$D$115,0))*INDEX(EF!$H$132:$H$147,MATCH(Emissions!$D75,EF!$D$132:$D$147,0))*kgtoGg</f>
        <v>1.7457822028850163E-2</v>
      </c>
      <c r="AO75" s="23">
        <f>INDEX('Activity data'!AO$24:AO$39,MATCH(Emissions!$D75,'Activity data'!$D$24:$D$39,0))*INDEX(EF!$H$84:$H$99,MATCH(Emissions!$D75,EF!$D$84:$D$99,0))*INDEX(EF!$H$100:$H$115,MATCH(Emissions!$D75,EF!$D$100:$D$115,0))*INDEX(EF!$H$132:$H$147,MATCH(Emissions!$D75,EF!$D$132:$D$147,0))*kgtoGg</f>
        <v>1.7864292180033488E-2</v>
      </c>
      <c r="AP75" s="23">
        <f>INDEX('Activity data'!AP$24:AP$39,MATCH(Emissions!$D75,'Activity data'!$D$24:$D$39,0))*INDEX(EF!$H$84:$H$99,MATCH(Emissions!$D75,EF!$D$84:$D$99,0))*INDEX(EF!$H$100:$H$115,MATCH(Emissions!$D75,EF!$D$100:$D$115,0))*INDEX(EF!$H$132:$H$147,MATCH(Emissions!$D75,EF!$D$132:$D$147,0))*kgtoGg</f>
        <v>1.8270762331216807E-2</v>
      </c>
      <c r="AQ75" s="23">
        <f>INDEX('Activity data'!AQ$24:AQ$39,MATCH(Emissions!$D75,'Activity data'!$D$24:$D$39,0))*INDEX(EF!$H$84:$H$99,MATCH(Emissions!$D75,EF!$D$84:$D$99,0))*INDEX(EF!$H$100:$H$115,MATCH(Emissions!$D75,EF!$D$100:$D$115,0))*INDEX(EF!$H$132:$H$147,MATCH(Emissions!$D75,EF!$D$132:$D$147,0))*kgtoGg</f>
        <v>1.8677232482400132E-2</v>
      </c>
      <c r="AR75" s="23">
        <f>INDEX('Activity data'!AR$24:AR$39,MATCH(Emissions!$D75,'Activity data'!$D$24:$D$39,0))*INDEX(EF!$H$84:$H$99,MATCH(Emissions!$D75,EF!$D$84:$D$99,0))*INDEX(EF!$H$100:$H$115,MATCH(Emissions!$D75,EF!$D$100:$D$115,0))*INDEX(EF!$H$132:$H$147,MATCH(Emissions!$D75,EF!$D$132:$D$147,0))*kgtoGg</f>
        <v>1.9083702633583454E-2</v>
      </c>
      <c r="AS75" s="23">
        <f>INDEX('Activity data'!AS$24:AS$39,MATCH(Emissions!$D75,'Activity data'!$D$24:$D$39,0))*INDEX(EF!$H$84:$H$99,MATCH(Emissions!$D75,EF!$D$84:$D$99,0))*INDEX(EF!$H$100:$H$115,MATCH(Emissions!$D75,EF!$D$100:$D$115,0))*INDEX(EF!$H$132:$H$147,MATCH(Emissions!$D75,EF!$D$132:$D$147,0))*kgtoGg</f>
        <v>1.9490172784766779E-2</v>
      </c>
      <c r="AT75" s="23">
        <f>INDEX('Activity data'!AT$24:AT$39,MATCH(Emissions!$D75,'Activity data'!$D$24:$D$39,0))*INDEX(EF!$H$84:$H$99,MATCH(Emissions!$D75,EF!$D$84:$D$99,0))*INDEX(EF!$H$100:$H$115,MATCH(Emissions!$D75,EF!$D$100:$D$115,0))*INDEX(EF!$H$132:$H$147,MATCH(Emissions!$D75,EF!$D$132:$D$147,0))*kgtoGg</f>
        <v>1.9896642935950098E-2</v>
      </c>
      <c r="AU75" s="23">
        <f>INDEX('Activity data'!AU$24:AU$39,MATCH(Emissions!$D75,'Activity data'!$D$24:$D$39,0))*INDEX(EF!$H$84:$H$99,MATCH(Emissions!$D75,EF!$D$84:$D$99,0))*INDEX(EF!$H$100:$H$115,MATCH(Emissions!$D75,EF!$D$100:$D$115,0))*INDEX(EF!$H$132:$H$147,MATCH(Emissions!$D75,EF!$D$132:$D$147,0))*kgtoGg</f>
        <v>2.0303113087133423E-2</v>
      </c>
      <c r="AV75" s="23">
        <f>INDEX('Activity data'!AV$24:AV$39,MATCH(Emissions!$D75,'Activity data'!$D$24:$D$39,0))*INDEX(EF!$H$84:$H$99,MATCH(Emissions!$D75,EF!$D$84:$D$99,0))*INDEX(EF!$H$100:$H$115,MATCH(Emissions!$D75,EF!$D$100:$D$115,0))*INDEX(EF!$H$132:$H$147,MATCH(Emissions!$D75,EF!$D$132:$D$147,0))*kgtoGg</f>
        <v>2.0709583238316745E-2</v>
      </c>
      <c r="AW75" s="23">
        <f>INDEX('Activity data'!AW$24:AW$39,MATCH(Emissions!$D75,'Activity data'!$D$24:$D$39,0))*INDEX(EF!$H$84:$H$99,MATCH(Emissions!$D75,EF!$D$84:$D$99,0))*INDEX(EF!$H$100:$H$115,MATCH(Emissions!$D75,EF!$D$100:$D$115,0))*INDEX(EF!$H$132:$H$147,MATCH(Emissions!$D75,EF!$D$132:$D$147,0))*kgtoGg</f>
        <v>2.1116053389500067E-2</v>
      </c>
      <c r="AX75" s="23">
        <f>INDEX('Activity data'!AX$24:AX$39,MATCH(Emissions!$D75,'Activity data'!$D$24:$D$39,0))*INDEX(EF!$H$84:$H$99,MATCH(Emissions!$D75,EF!$D$84:$D$99,0))*INDEX(EF!$H$100:$H$115,MATCH(Emissions!$D75,EF!$D$100:$D$115,0))*INDEX(EF!$H$132:$H$147,MATCH(Emissions!$D75,EF!$D$132:$D$147,0))*kgtoGg</f>
        <v>2.1522523540683389E-2</v>
      </c>
      <c r="AY75" s="23">
        <f>INDEX('Activity data'!AY$24:AY$39,MATCH(Emissions!$D75,'Activity data'!$D$24:$D$39,0))*INDEX(EF!$H$84:$H$99,MATCH(Emissions!$D75,EF!$D$84:$D$99,0))*INDEX(EF!$H$100:$H$115,MATCH(Emissions!$D75,EF!$D$100:$D$115,0))*INDEX(EF!$H$132:$H$147,MATCH(Emissions!$D75,EF!$D$132:$D$147,0))*kgtoGg</f>
        <v>2.1928993691866711E-2</v>
      </c>
      <c r="AZ75" s="23">
        <f>INDEX('Activity data'!AZ$24:AZ$39,MATCH(Emissions!$D75,'Activity data'!$D$24:$D$39,0))*INDEX(EF!$H$84:$H$99,MATCH(Emissions!$D75,EF!$D$84:$D$99,0))*INDEX(EF!$H$100:$H$115,MATCH(Emissions!$D75,EF!$D$100:$D$115,0))*INDEX(EF!$H$132:$H$147,MATCH(Emissions!$D75,EF!$D$132:$D$147,0))*kgtoGg</f>
        <v>2.2335463843050036E-2</v>
      </c>
      <c r="BA75" s="23">
        <f>INDEX('Activity data'!BA$24:BA$39,MATCH(Emissions!$D75,'Activity data'!$D$24:$D$39,0))*INDEX(EF!$H$84:$H$99,MATCH(Emissions!$D75,EF!$D$84:$D$99,0))*INDEX(EF!$H$100:$H$115,MATCH(Emissions!$D75,EF!$D$100:$D$115,0))*INDEX(EF!$H$132:$H$147,MATCH(Emissions!$D75,EF!$D$132:$D$147,0))*kgtoGg</f>
        <v>2.2741933994233358E-2</v>
      </c>
      <c r="BB75" s="23">
        <f>INDEX('Activity data'!BB$24:BB$39,MATCH(Emissions!$D75,'Activity data'!$D$24:$D$39,0))*INDEX(EF!$H$84:$H$99,MATCH(Emissions!$D75,EF!$D$84:$D$99,0))*INDEX(EF!$H$100:$H$115,MATCH(Emissions!$D75,EF!$D$100:$D$115,0))*INDEX(EF!$H$132:$H$147,MATCH(Emissions!$D75,EF!$D$132:$D$147,0))*kgtoGg</f>
        <v>2.314840414541668E-2</v>
      </c>
      <c r="BC75" s="23">
        <f>INDEX('Activity data'!BC$24:BC$39,MATCH(Emissions!$D75,'Activity data'!$D$24:$D$39,0))*INDEX(EF!$H$84:$H$99,MATCH(Emissions!$D75,EF!$D$84:$D$99,0))*INDEX(EF!$H$100:$H$115,MATCH(Emissions!$D75,EF!$D$100:$D$115,0))*INDEX(EF!$H$132:$H$147,MATCH(Emissions!$D75,EF!$D$132:$D$147,0))*kgtoGg</f>
        <v>2.3554874296599998E-2</v>
      </c>
      <c r="BD75" s="23">
        <f>INDEX('Activity data'!BD$24:BD$39,MATCH(Emissions!$D75,'Activity data'!$D$24:$D$39,0))*INDEX(EF!$H$84:$H$99,MATCH(Emissions!$D75,EF!$D$84:$D$99,0))*INDEX(EF!$H$100:$H$115,MATCH(Emissions!$D75,EF!$D$100:$D$115,0))*INDEX(EF!$H$132:$H$147,MATCH(Emissions!$D75,EF!$D$132:$D$147,0))*kgtoGg</f>
        <v>2.3961344447783327E-2</v>
      </c>
      <c r="BE75" s="23">
        <f>INDEX('Activity data'!BE$24:BE$39,MATCH(Emissions!$D75,'Activity data'!$D$24:$D$39,0))*INDEX(EF!$H$84:$H$99,MATCH(Emissions!$D75,EF!$D$84:$D$99,0))*INDEX(EF!$H$100:$H$115,MATCH(Emissions!$D75,EF!$D$100:$D$115,0))*INDEX(EF!$H$132:$H$147,MATCH(Emissions!$D75,EF!$D$132:$D$147,0))*kgtoGg</f>
        <v>2.4367814598966656E-2</v>
      </c>
      <c r="BF75" s="23">
        <f>INDEX('Activity data'!BF$24:BF$39,MATCH(Emissions!$D75,'Activity data'!$D$24:$D$39,0))*INDEX(EF!$H$84:$H$99,MATCH(Emissions!$D75,EF!$D$84:$D$99,0))*INDEX(EF!$H$100:$H$115,MATCH(Emissions!$D75,EF!$D$100:$D$115,0))*INDEX(EF!$H$132:$H$147,MATCH(Emissions!$D75,EF!$D$132:$D$147,0))*kgtoGg</f>
        <v>2.4774284750149971E-2</v>
      </c>
      <c r="BG75" s="23">
        <f>INDEX('Activity data'!BG$24:BG$39,MATCH(Emissions!$D75,'Activity data'!$D$24:$D$39,0))*INDEX(EF!$H$84:$H$99,MATCH(Emissions!$D75,EF!$D$84:$D$99,0))*INDEX(EF!$H$100:$H$115,MATCH(Emissions!$D75,EF!$D$100:$D$115,0))*INDEX(EF!$H$132:$H$147,MATCH(Emissions!$D75,EF!$D$132:$D$147,0))*kgtoGg</f>
        <v>2.5180754901333296E-2</v>
      </c>
      <c r="BH75" s="23">
        <f>INDEX('Activity data'!BH$24:BH$39,MATCH(Emissions!$D75,'Activity data'!$D$24:$D$39,0))*INDEX(EF!$H$84:$H$99,MATCH(Emissions!$D75,EF!$D$84:$D$99,0))*INDEX(EF!$H$100:$H$115,MATCH(Emissions!$D75,EF!$D$100:$D$115,0))*INDEX(EF!$H$132:$H$147,MATCH(Emissions!$D75,EF!$D$132:$D$147,0))*kgtoGg</f>
        <v>2.5587225052516607E-2</v>
      </c>
      <c r="BI75" s="23">
        <f>INDEX('Activity data'!BI$24:BI$39,MATCH(Emissions!$D75,'Activity data'!$D$24:$D$39,0))*INDEX(EF!$H$84:$H$99,MATCH(Emissions!$D75,EF!$D$84:$D$99,0))*INDEX(EF!$H$100:$H$115,MATCH(Emissions!$D75,EF!$D$100:$D$115,0))*INDEX(EF!$H$132:$H$147,MATCH(Emissions!$D75,EF!$D$132:$D$147,0))*kgtoGg</f>
        <v>2.5993695203699929E-2</v>
      </c>
      <c r="BJ75" s="23">
        <f>INDEX('Activity data'!BJ$24:BJ$39,MATCH(Emissions!$D75,'Activity data'!$D$24:$D$39,0))*INDEX(EF!$H$84:$H$99,MATCH(Emissions!$D75,EF!$D$84:$D$99,0))*INDEX(EF!$H$100:$H$115,MATCH(Emissions!$D75,EF!$D$100:$D$115,0))*INDEX(EF!$H$132:$H$147,MATCH(Emissions!$D75,EF!$D$132:$D$147,0))*kgtoGg</f>
        <v>2.6400165354883254E-2</v>
      </c>
      <c r="BK75" s="23">
        <f>INDEX('Activity data'!BK$24:BK$39,MATCH(Emissions!$D75,'Activity data'!$D$24:$D$39,0))*INDEX(EF!$H$84:$H$99,MATCH(Emissions!$D75,EF!$D$84:$D$99,0))*INDEX(EF!$H$100:$H$115,MATCH(Emissions!$D75,EF!$D$100:$D$115,0))*INDEX(EF!$H$132:$H$147,MATCH(Emissions!$D75,EF!$D$132:$D$147,0))*kgtoGg</f>
        <v>2.6806635506066583E-2</v>
      </c>
      <c r="BL75" s="23">
        <f>INDEX('Activity data'!BL$24:BL$39,MATCH(Emissions!$D75,'Activity data'!$D$24:$D$39,0))*INDEX(EF!$H$84:$H$99,MATCH(Emissions!$D75,EF!$D$84:$D$99,0))*INDEX(EF!$H$100:$H$115,MATCH(Emissions!$D75,EF!$D$100:$D$115,0))*INDEX(EF!$H$132:$H$147,MATCH(Emissions!$D75,EF!$D$132:$D$147,0))*kgtoGg</f>
        <v>2.7213105657249898E-2</v>
      </c>
      <c r="BM75" s="23">
        <f>INDEX('Activity data'!BM$24:BM$39,MATCH(Emissions!$D75,'Activity data'!$D$24:$D$39,0))*INDEX(EF!$H$84:$H$99,MATCH(Emissions!$D75,EF!$D$84:$D$99,0))*INDEX(EF!$H$100:$H$115,MATCH(Emissions!$D75,EF!$D$100:$D$115,0))*INDEX(EF!$H$132:$H$147,MATCH(Emissions!$D75,EF!$D$132:$D$147,0))*kgtoGg</f>
        <v>2.7619575808433217E-2</v>
      </c>
      <c r="BN75" s="23">
        <f>INDEX('Activity data'!BN$24:BN$39,MATCH(Emissions!$D75,'Activity data'!$D$24:$D$39,0))*INDEX(EF!$H$84:$H$99,MATCH(Emissions!$D75,EF!$D$84:$D$99,0))*INDEX(EF!$H$100:$H$115,MATCH(Emissions!$D75,EF!$D$100:$D$115,0))*INDEX(EF!$H$132:$H$147,MATCH(Emissions!$D75,EF!$D$132:$D$147,0))*kgtoGg</f>
        <v>2.8026045959616525E-2</v>
      </c>
      <c r="BO75" s="23">
        <f>INDEX('Activity data'!BO$24:BO$39,MATCH(Emissions!$D75,'Activity data'!$D$24:$D$39,0))*INDEX(EF!$H$84:$H$99,MATCH(Emissions!$D75,EF!$D$84:$D$99,0))*INDEX(EF!$H$100:$H$115,MATCH(Emissions!$D75,EF!$D$100:$D$115,0))*INDEX(EF!$H$132:$H$147,MATCH(Emissions!$D75,EF!$D$132:$D$147,0))*kgtoGg</f>
        <v>2.8432516110799853E-2</v>
      </c>
      <c r="BP75" s="23">
        <f>INDEX('Activity data'!BP$24:BP$39,MATCH(Emissions!$D75,'Activity data'!$D$24:$D$39,0))*INDEX(EF!$H$84:$H$99,MATCH(Emissions!$D75,EF!$D$84:$D$99,0))*INDEX(EF!$H$100:$H$115,MATCH(Emissions!$D75,EF!$D$100:$D$115,0))*INDEX(EF!$H$132:$H$147,MATCH(Emissions!$D75,EF!$D$132:$D$147,0))*kgtoGg</f>
        <v>2.8838986261983172E-2</v>
      </c>
    </row>
    <row r="76" spans="1:68" x14ac:dyDescent="0.25">
      <c r="A76" t="str">
        <f t="shared" si="19"/>
        <v>3C Aggregated and non-CO2 emissions on land</v>
      </c>
      <c r="B76" t="str">
        <f t="shared" si="26"/>
        <v>3C1 Biomass burning (N2O)</v>
      </c>
      <c r="C76" t="str">
        <f t="shared" si="25"/>
        <v>3C1b Biomass burning in Croplands</v>
      </c>
      <c r="D76" t="str">
        <f>EF!D106</f>
        <v>Perennial orchards</v>
      </c>
      <c r="E76" t="s">
        <v>731</v>
      </c>
      <c r="F76" t="str">
        <f t="shared" si="27"/>
        <v>N2O</v>
      </c>
      <c r="G76" t="str">
        <f t="shared" si="28"/>
        <v>Gg N2O</v>
      </c>
      <c r="H76" s="23">
        <f>INDEX('Activity data'!H$24:H$39,MATCH(Emissions!$D76,'Activity data'!$D$24:$D$39,0))*INDEX(EF!$H$84:$H$99,MATCH(Emissions!$D76,EF!$D$84:$D$99,0))*INDEX(EF!$H$100:$H$115,MATCH(Emissions!$D76,EF!$D$100:$D$115,0))*INDEX(EF!$H$132:$H$147,MATCH(Emissions!$D76,EF!$D$132:$D$147,0))*kgtoGg</f>
        <v>1.3318839710103907E-3</v>
      </c>
      <c r="I76" s="23">
        <f>INDEX('Activity data'!I$24:I$39,MATCH(Emissions!$D76,'Activity data'!$D$24:$D$39,0))*INDEX(EF!$H$84:$H$99,MATCH(Emissions!$D76,EF!$D$84:$D$99,0))*INDEX(EF!$H$100:$H$115,MATCH(Emissions!$D76,EF!$D$100:$D$115,0))*INDEX(EF!$H$132:$H$147,MATCH(Emissions!$D76,EF!$D$132:$D$147,0))*kgtoGg</f>
        <v>1.3318839710103907E-3</v>
      </c>
      <c r="J76" s="23">
        <f>INDEX('Activity data'!J$24:J$39,MATCH(Emissions!$D76,'Activity data'!$D$24:$D$39,0))*INDEX(EF!$H$84:$H$99,MATCH(Emissions!$D76,EF!$D$84:$D$99,0))*INDEX(EF!$H$100:$H$115,MATCH(Emissions!$D76,EF!$D$100:$D$115,0))*INDEX(EF!$H$132:$H$147,MATCH(Emissions!$D76,EF!$D$132:$D$147,0))*kgtoGg</f>
        <v>1.3318839710103907E-3</v>
      </c>
      <c r="K76" s="23">
        <f>INDEX('Activity data'!K$24:K$39,MATCH(Emissions!$D76,'Activity data'!$D$24:$D$39,0))*INDEX(EF!$H$84:$H$99,MATCH(Emissions!$D76,EF!$D$84:$D$99,0))*INDEX(EF!$H$100:$H$115,MATCH(Emissions!$D76,EF!$D$100:$D$115,0))*INDEX(EF!$H$132:$H$147,MATCH(Emissions!$D76,EF!$D$132:$D$147,0))*kgtoGg</f>
        <v>1.3318839710103907E-3</v>
      </c>
      <c r="L76" s="23">
        <f>INDEX('Activity data'!L$24:L$39,MATCH(Emissions!$D76,'Activity data'!$D$24:$D$39,0))*INDEX(EF!$H$84:$H$99,MATCH(Emissions!$D76,EF!$D$84:$D$99,0))*INDEX(EF!$H$100:$H$115,MATCH(Emissions!$D76,EF!$D$100:$D$115,0))*INDEX(EF!$H$132:$H$147,MATCH(Emissions!$D76,EF!$D$132:$D$147,0))*kgtoGg</f>
        <v>1.3318839710103907E-3</v>
      </c>
      <c r="M76" s="23">
        <f>INDEX('Activity data'!M$24:M$39,MATCH(Emissions!$D76,'Activity data'!$D$24:$D$39,0))*INDEX(EF!$H$84:$H$99,MATCH(Emissions!$D76,EF!$D$84:$D$99,0))*INDEX(EF!$H$100:$H$115,MATCH(Emissions!$D76,EF!$D$100:$D$115,0))*INDEX(EF!$H$132:$H$147,MATCH(Emissions!$D76,EF!$D$132:$D$147,0))*kgtoGg</f>
        <v>1.3318839710103907E-3</v>
      </c>
      <c r="N76" s="23">
        <f>INDEX('Activity data'!N$24:N$39,MATCH(Emissions!$D76,'Activity data'!$D$24:$D$39,0))*INDEX(EF!$H$84:$H$99,MATCH(Emissions!$D76,EF!$D$84:$D$99,0))*INDEX(EF!$H$100:$H$115,MATCH(Emissions!$D76,EF!$D$100:$D$115,0))*INDEX(EF!$H$132:$H$147,MATCH(Emissions!$D76,EF!$D$132:$D$147,0))*kgtoGg</f>
        <v>1.3318839710103907E-3</v>
      </c>
      <c r="O76" s="23">
        <f>INDEX('Activity data'!O$24:O$39,MATCH(Emissions!$D76,'Activity data'!$D$24:$D$39,0))*INDEX(EF!$H$84:$H$99,MATCH(Emissions!$D76,EF!$D$84:$D$99,0))*INDEX(EF!$H$100:$H$115,MATCH(Emissions!$D76,EF!$D$100:$D$115,0))*INDEX(EF!$H$132:$H$147,MATCH(Emissions!$D76,EF!$D$132:$D$147,0))*kgtoGg</f>
        <v>1.3318839710103907E-3</v>
      </c>
      <c r="P76" s="23">
        <f>INDEX('Activity data'!P$24:P$39,MATCH(Emissions!$D76,'Activity data'!$D$24:$D$39,0))*INDEX(EF!$H$84:$H$99,MATCH(Emissions!$D76,EF!$D$84:$D$99,0))*INDEX(EF!$H$100:$H$115,MATCH(Emissions!$D76,EF!$D$100:$D$115,0))*INDEX(EF!$H$132:$H$147,MATCH(Emissions!$D76,EF!$D$132:$D$147,0))*kgtoGg</f>
        <v>1.3318839710103907E-3</v>
      </c>
      <c r="Q76" s="23">
        <f>INDEX('Activity data'!Q$24:Q$39,MATCH(Emissions!$D76,'Activity data'!$D$24:$D$39,0))*INDEX(EF!$H$84:$H$99,MATCH(Emissions!$D76,EF!$D$84:$D$99,0))*INDEX(EF!$H$100:$H$115,MATCH(Emissions!$D76,EF!$D$100:$D$115,0))*INDEX(EF!$H$132:$H$147,MATCH(Emissions!$D76,EF!$D$132:$D$147,0))*kgtoGg</f>
        <v>1.3318839710103907E-3</v>
      </c>
      <c r="R76" s="23">
        <f>INDEX('Activity data'!R$24:R$39,MATCH(Emissions!$D76,'Activity data'!$D$24:$D$39,0))*INDEX(EF!$H$84:$H$99,MATCH(Emissions!$D76,EF!$D$84:$D$99,0))*INDEX(EF!$H$100:$H$115,MATCH(Emissions!$D76,EF!$D$100:$D$115,0))*INDEX(EF!$H$132:$H$147,MATCH(Emissions!$D76,EF!$D$132:$D$147,0))*kgtoGg</f>
        <v>1.0175683989043735E-3</v>
      </c>
      <c r="S76" s="23">
        <f>INDEX('Activity data'!S$24:S$39,MATCH(Emissions!$D76,'Activity data'!$D$24:$D$39,0))*INDEX(EF!$H$84:$H$99,MATCH(Emissions!$D76,EF!$D$84:$D$99,0))*INDEX(EF!$H$100:$H$115,MATCH(Emissions!$D76,EF!$D$100:$D$115,0))*INDEX(EF!$H$132:$H$147,MATCH(Emissions!$D76,EF!$D$132:$D$147,0))*kgtoGg</f>
        <v>1.9559925890050732E-3</v>
      </c>
      <c r="T76" s="23">
        <f>INDEX('Activity data'!T$24:T$39,MATCH(Emissions!$D76,'Activity data'!$D$24:$D$39,0))*INDEX(EF!$H$84:$H$99,MATCH(Emissions!$D76,EF!$D$84:$D$99,0))*INDEX(EF!$H$100:$H$115,MATCH(Emissions!$D76,EF!$D$100:$D$115,0))*INDEX(EF!$H$132:$H$147,MATCH(Emissions!$D76,EF!$D$132:$D$147,0))*kgtoGg</f>
        <v>1.4245957584661227E-3</v>
      </c>
      <c r="U76" s="23">
        <f>INDEX('Activity data'!U$24:U$39,MATCH(Emissions!$D76,'Activity data'!$D$24:$D$39,0))*INDEX(EF!$H$84:$H$99,MATCH(Emissions!$D76,EF!$D$84:$D$99,0))*INDEX(EF!$H$100:$H$115,MATCH(Emissions!$D76,EF!$D$100:$D$115,0))*INDEX(EF!$H$132:$H$147,MATCH(Emissions!$D76,EF!$D$132:$D$147,0))*kgtoGg</f>
        <v>1.4585147050962684E-3</v>
      </c>
      <c r="V76" s="23">
        <f>INDEX('Activity data'!V$24:V$39,MATCH(Emissions!$D76,'Activity data'!$D$24:$D$39,0))*INDEX(EF!$H$84:$H$99,MATCH(Emissions!$D76,EF!$D$84:$D$99,0))*INDEX(EF!$H$100:$H$115,MATCH(Emissions!$D76,EF!$D$100:$D$115,0))*INDEX(EF!$H$132:$H$147,MATCH(Emissions!$D76,EF!$D$132:$D$147,0))*kgtoGg</f>
        <v>8.0274840358011664E-4</v>
      </c>
      <c r="W76" s="23">
        <f>INDEX('Activity data'!W$24:W$39,MATCH(Emissions!$D76,'Activity data'!$D$24:$D$39,0))*INDEX(EF!$H$84:$H$99,MATCH(Emissions!$D76,EF!$D$84:$D$99,0))*INDEX(EF!$H$100:$H$115,MATCH(Emissions!$D76,EF!$D$100:$D$115,0))*INDEX(EF!$H$132:$H$147,MATCH(Emissions!$D76,EF!$D$132:$D$147,0))*kgtoGg</f>
        <v>1.8090104869411081E-3</v>
      </c>
      <c r="X76" s="23">
        <f>INDEX('Activity data'!X$24:X$39,MATCH(Emissions!$D76,'Activity data'!$D$24:$D$39,0))*INDEX(EF!$H$84:$H$99,MATCH(Emissions!$D76,EF!$D$84:$D$99,0))*INDEX(EF!$H$100:$H$115,MATCH(Emissions!$D76,EF!$D$100:$D$115,0))*INDEX(EF!$H$132:$H$147,MATCH(Emissions!$D76,EF!$D$132:$D$147,0))*kgtoGg</f>
        <v>1.2550010253153938E-3</v>
      </c>
      <c r="Y76" s="23">
        <f>INDEX('Activity data'!Y$24:Y$39,MATCH(Emissions!$D76,'Activity data'!$D$24:$D$39,0))*INDEX(EF!$H$84:$H$99,MATCH(Emissions!$D76,EF!$D$84:$D$99,0))*INDEX(EF!$H$100:$H$115,MATCH(Emissions!$D76,EF!$D$100:$D$115,0))*INDEX(EF!$H$132:$H$147,MATCH(Emissions!$D76,EF!$D$132:$D$147,0))*kgtoGg</f>
        <v>2.1821188998727113E-3</v>
      </c>
      <c r="Z76" s="23">
        <f>INDEX('Activity data'!Z$24:Z$39,MATCH(Emissions!$D76,'Activity data'!$D$24:$D$39,0))*INDEX(EF!$H$84:$H$99,MATCH(Emissions!$D76,EF!$D$84:$D$99,0))*INDEX(EF!$H$100:$H$115,MATCH(Emissions!$D76,EF!$D$100:$D$115,0))*INDEX(EF!$H$132:$H$147,MATCH(Emissions!$D76,EF!$D$132:$D$147,0))*kgtoGg</f>
        <v>2.7813536236719538E-3</v>
      </c>
      <c r="AA76" s="23">
        <f>INDEX('Activity data'!AA$24:AA$39,MATCH(Emissions!$D76,'Activity data'!$D$24:$D$39,0))*INDEX(EF!$H$84:$H$99,MATCH(Emissions!$D76,EF!$D$84:$D$99,0))*INDEX(EF!$H$100:$H$115,MATCH(Emissions!$D76,EF!$D$100:$D$115,0))*INDEX(EF!$H$132:$H$147,MATCH(Emissions!$D76,EF!$D$132:$D$147,0))*kgtoGg</f>
        <v>1.1871631320551021E-3</v>
      </c>
      <c r="AB76" s="23">
        <f>INDEX('Activity data'!AB$24:AB$39,MATCH(Emissions!$D76,'Activity data'!$D$24:$D$39,0))*INDEX(EF!$H$84:$H$99,MATCH(Emissions!$D76,EF!$D$84:$D$99,0))*INDEX(EF!$H$100:$H$115,MATCH(Emissions!$D76,EF!$D$100:$D$115,0))*INDEX(EF!$H$132:$H$147,MATCH(Emissions!$D76,EF!$D$132:$D$147,0))*kgtoGg</f>
        <v>1.9954808999999999E-3</v>
      </c>
      <c r="AC76" s="23">
        <f>INDEX('Activity data'!AC$24:AC$39,MATCH(Emissions!$D76,'Activity data'!$D$24:$D$39,0))*INDEX(EF!$H$84:$H$99,MATCH(Emissions!$D76,EF!$D$84:$D$99,0))*INDEX(EF!$H$100:$H$115,MATCH(Emissions!$D76,EF!$D$100:$D$115,0))*INDEX(EF!$H$132:$H$147,MATCH(Emissions!$D76,EF!$D$132:$D$147,0))*kgtoGg</f>
        <v>1.5262569E-3</v>
      </c>
      <c r="AD76" s="23">
        <f>INDEX('Activity data'!AD$24:AD$39,MATCH(Emissions!$D76,'Activity data'!$D$24:$D$39,0))*INDEX(EF!$H$84:$H$99,MATCH(Emissions!$D76,EF!$D$84:$D$99,0))*INDEX(EF!$H$100:$H$115,MATCH(Emissions!$D76,EF!$D$100:$D$115,0))*INDEX(EF!$H$132:$H$147,MATCH(Emissions!$D76,EF!$D$132:$D$147,0))*kgtoGg</f>
        <v>2.5008228000000005E-3</v>
      </c>
      <c r="AE76" s="23">
        <f>INDEX('Activity data'!AE$24:AE$39,MATCH(Emissions!$D76,'Activity data'!$D$24:$D$39,0))*INDEX(EF!$H$84:$H$99,MATCH(Emissions!$D76,EF!$D$84:$D$99,0))*INDEX(EF!$H$100:$H$115,MATCH(Emissions!$D76,EF!$D$100:$D$115,0))*INDEX(EF!$H$132:$H$147,MATCH(Emissions!$D76,EF!$D$132:$D$147,0))*kgtoGg</f>
        <v>1.7409356999999999E-3</v>
      </c>
      <c r="AF76" s="23">
        <f>INDEX('Activity data'!AF$24:AF$39,MATCH(Emissions!$D76,'Activity data'!$D$24:$D$39,0))*INDEX(EF!$H$84:$H$99,MATCH(Emissions!$D76,EF!$D$84:$D$99,0))*INDEX(EF!$H$100:$H$115,MATCH(Emissions!$D76,EF!$D$100:$D$115,0))*INDEX(EF!$H$132:$H$147,MATCH(Emissions!$D76,EF!$D$132:$D$147,0))*kgtoGg</f>
        <v>1.5534225E-3</v>
      </c>
      <c r="AG76" s="23">
        <f>INDEX('Activity data'!AG$24:AG$39,MATCH(Emissions!$D76,'Activity data'!$D$24:$D$39,0))*INDEX(EF!$H$84:$H$99,MATCH(Emissions!$D76,EF!$D$84:$D$99,0))*INDEX(EF!$H$100:$H$115,MATCH(Emissions!$D76,EF!$D$100:$D$115,0))*INDEX(EF!$H$132:$H$147,MATCH(Emissions!$D76,EF!$D$132:$D$147,0))*kgtoGg</f>
        <v>1.2422088000000001E-3</v>
      </c>
      <c r="AH76" s="23">
        <f>INDEX('Activity data'!AH$24:AH$39,MATCH(Emissions!$D76,'Activity data'!$D$24:$D$39,0))*INDEX(EF!$H$84:$H$99,MATCH(Emissions!$D76,EF!$D$84:$D$99,0))*INDEX(EF!$H$100:$H$115,MATCH(Emissions!$D76,EF!$D$100:$D$115,0))*INDEX(EF!$H$132:$H$147,MATCH(Emissions!$D76,EF!$D$132:$D$147,0))*kgtoGg</f>
        <v>1.2597606000000002E-3</v>
      </c>
      <c r="AI76" s="23">
        <f>INDEX('Activity data'!AI$24:AI$39,MATCH(Emissions!$D76,'Activity data'!$D$24:$D$39,0))*INDEX(EF!$H$84:$H$99,MATCH(Emissions!$D76,EF!$D$84:$D$99,0))*INDEX(EF!$H$100:$H$115,MATCH(Emissions!$D76,EF!$D$100:$D$115,0))*INDEX(EF!$H$132:$H$147,MATCH(Emissions!$D76,EF!$D$132:$D$147,0))*kgtoGg</f>
        <v>1.2637296000000001E-3</v>
      </c>
      <c r="AJ76" s="23">
        <f>INDEX('Activity data'!AJ$24:AJ$39,MATCH(Emissions!$D76,'Activity data'!$D$24:$D$39,0))*INDEX(EF!$H$84:$H$99,MATCH(Emissions!$D76,EF!$D$84:$D$99,0))*INDEX(EF!$H$100:$H$115,MATCH(Emissions!$D76,EF!$D$100:$D$115,0))*INDEX(EF!$H$132:$H$147,MATCH(Emissions!$D76,EF!$D$132:$D$147,0))*kgtoGg</f>
        <v>1.394492325335963E-3</v>
      </c>
      <c r="AK76" s="23">
        <f>INDEX('Activity data'!AK$24:AK$39,MATCH(Emissions!$D76,'Activity data'!$D$24:$D$39,0))*INDEX(EF!$H$84:$H$99,MATCH(Emissions!$D76,EF!$D$84:$D$99,0))*INDEX(EF!$H$100:$H$115,MATCH(Emissions!$D76,EF!$D$100:$D$115,0))*INDEX(EF!$H$132:$H$147,MATCH(Emissions!$D76,EF!$D$132:$D$147,0))*kgtoGg</f>
        <v>1.3922935994817103E-3</v>
      </c>
      <c r="AL76" s="23">
        <f>INDEX('Activity data'!AL$24:AL$39,MATCH(Emissions!$D76,'Activity data'!$D$24:$D$39,0))*INDEX(EF!$H$84:$H$99,MATCH(Emissions!$D76,EF!$D$84:$D$99,0))*INDEX(EF!$H$100:$H$115,MATCH(Emissions!$D76,EF!$D$100:$D$115,0))*INDEX(EF!$H$132:$H$147,MATCH(Emissions!$D76,EF!$D$132:$D$147,0))*kgtoGg</f>
        <v>1.3900948736274574E-3</v>
      </c>
      <c r="AM76" s="23">
        <f>INDEX('Activity data'!AM$24:AM$39,MATCH(Emissions!$D76,'Activity data'!$D$24:$D$39,0))*INDEX(EF!$H$84:$H$99,MATCH(Emissions!$D76,EF!$D$84:$D$99,0))*INDEX(EF!$H$100:$H$115,MATCH(Emissions!$D76,EF!$D$100:$D$115,0))*INDEX(EF!$H$132:$H$147,MATCH(Emissions!$D76,EF!$D$132:$D$147,0))*kgtoGg</f>
        <v>1.3878961477732047E-3</v>
      </c>
      <c r="AN76" s="23">
        <f>INDEX('Activity data'!AN$24:AN$39,MATCH(Emissions!$D76,'Activity data'!$D$24:$D$39,0))*INDEX(EF!$H$84:$H$99,MATCH(Emissions!$D76,EF!$D$84:$D$99,0))*INDEX(EF!$H$100:$H$115,MATCH(Emissions!$D76,EF!$D$100:$D$115,0))*INDEX(EF!$H$132:$H$147,MATCH(Emissions!$D76,EF!$D$132:$D$147,0))*kgtoGg</f>
        <v>1.3856974219189516E-3</v>
      </c>
      <c r="AO76" s="23">
        <f>INDEX('Activity data'!AO$24:AO$39,MATCH(Emissions!$D76,'Activity data'!$D$24:$D$39,0))*INDEX(EF!$H$84:$H$99,MATCH(Emissions!$D76,EF!$D$84:$D$99,0))*INDEX(EF!$H$100:$H$115,MATCH(Emissions!$D76,EF!$D$100:$D$115,0))*INDEX(EF!$H$132:$H$147,MATCH(Emissions!$D76,EF!$D$132:$D$147,0))*kgtoGg</f>
        <v>1.3834986960646991E-3</v>
      </c>
      <c r="AP76" s="23">
        <f>INDEX('Activity data'!AP$24:AP$39,MATCH(Emissions!$D76,'Activity data'!$D$24:$D$39,0))*INDEX(EF!$H$84:$H$99,MATCH(Emissions!$D76,EF!$D$84:$D$99,0))*INDEX(EF!$H$100:$H$115,MATCH(Emissions!$D76,EF!$D$100:$D$115,0))*INDEX(EF!$H$132:$H$147,MATCH(Emissions!$D76,EF!$D$132:$D$147,0))*kgtoGg</f>
        <v>1.3812999702104459E-3</v>
      </c>
      <c r="AQ76" s="23">
        <f>INDEX('Activity data'!AQ$24:AQ$39,MATCH(Emissions!$D76,'Activity data'!$D$24:$D$39,0))*INDEX(EF!$H$84:$H$99,MATCH(Emissions!$D76,EF!$D$84:$D$99,0))*INDEX(EF!$H$100:$H$115,MATCH(Emissions!$D76,EF!$D$100:$D$115,0))*INDEX(EF!$H$132:$H$147,MATCH(Emissions!$D76,EF!$D$132:$D$147,0))*kgtoGg</f>
        <v>1.3791012443561932E-3</v>
      </c>
      <c r="AR76" s="23">
        <f>INDEX('Activity data'!AR$24:AR$39,MATCH(Emissions!$D76,'Activity data'!$D$24:$D$39,0))*INDEX(EF!$H$84:$H$99,MATCH(Emissions!$D76,EF!$D$84:$D$99,0))*INDEX(EF!$H$100:$H$115,MATCH(Emissions!$D76,EF!$D$100:$D$115,0))*INDEX(EF!$H$132:$H$147,MATCH(Emissions!$D76,EF!$D$132:$D$147,0))*kgtoGg</f>
        <v>1.3769025185019403E-3</v>
      </c>
      <c r="AS76" s="23">
        <f>INDEX('Activity data'!AS$24:AS$39,MATCH(Emissions!$D76,'Activity data'!$D$24:$D$39,0))*INDEX(EF!$H$84:$H$99,MATCH(Emissions!$D76,EF!$D$84:$D$99,0))*INDEX(EF!$H$100:$H$115,MATCH(Emissions!$D76,EF!$D$100:$D$115,0))*INDEX(EF!$H$132:$H$147,MATCH(Emissions!$D76,EF!$D$132:$D$147,0))*kgtoGg</f>
        <v>1.3747037926476872E-3</v>
      </c>
      <c r="AT76" s="23">
        <f>INDEX('Activity data'!AT$24:AT$39,MATCH(Emissions!$D76,'Activity data'!$D$24:$D$39,0))*INDEX(EF!$H$84:$H$99,MATCH(Emissions!$D76,EF!$D$84:$D$99,0))*INDEX(EF!$H$100:$H$115,MATCH(Emissions!$D76,EF!$D$100:$D$115,0))*INDEX(EF!$H$132:$H$147,MATCH(Emissions!$D76,EF!$D$132:$D$147,0))*kgtoGg</f>
        <v>1.3725050667934347E-3</v>
      </c>
      <c r="AU76" s="23">
        <f>INDEX('Activity data'!AU$24:AU$39,MATCH(Emissions!$D76,'Activity data'!$D$24:$D$39,0))*INDEX(EF!$H$84:$H$99,MATCH(Emissions!$D76,EF!$D$84:$D$99,0))*INDEX(EF!$H$100:$H$115,MATCH(Emissions!$D76,EF!$D$100:$D$115,0))*INDEX(EF!$H$132:$H$147,MATCH(Emissions!$D76,EF!$D$132:$D$147,0))*kgtoGg</f>
        <v>1.3703063409391816E-3</v>
      </c>
      <c r="AV76" s="23">
        <f>INDEX('Activity data'!AV$24:AV$39,MATCH(Emissions!$D76,'Activity data'!$D$24:$D$39,0))*INDEX(EF!$H$84:$H$99,MATCH(Emissions!$D76,EF!$D$84:$D$99,0))*INDEX(EF!$H$100:$H$115,MATCH(Emissions!$D76,EF!$D$100:$D$115,0))*INDEX(EF!$H$132:$H$147,MATCH(Emissions!$D76,EF!$D$132:$D$147,0))*kgtoGg</f>
        <v>1.3681076150849289E-3</v>
      </c>
      <c r="AW76" s="23">
        <f>INDEX('Activity data'!AW$24:AW$39,MATCH(Emissions!$D76,'Activity data'!$D$24:$D$39,0))*INDEX(EF!$H$84:$H$99,MATCH(Emissions!$D76,EF!$D$84:$D$99,0))*INDEX(EF!$H$100:$H$115,MATCH(Emissions!$D76,EF!$D$100:$D$115,0))*INDEX(EF!$H$132:$H$147,MATCH(Emissions!$D76,EF!$D$132:$D$147,0))*kgtoGg</f>
        <v>1.3659088892306757E-3</v>
      </c>
      <c r="AX76" s="23">
        <f>INDEX('Activity data'!AX$24:AX$39,MATCH(Emissions!$D76,'Activity data'!$D$24:$D$39,0))*INDEX(EF!$H$84:$H$99,MATCH(Emissions!$D76,EF!$D$84:$D$99,0))*INDEX(EF!$H$100:$H$115,MATCH(Emissions!$D76,EF!$D$100:$D$115,0))*INDEX(EF!$H$132:$H$147,MATCH(Emissions!$D76,EF!$D$132:$D$147,0))*kgtoGg</f>
        <v>1.3637101633764232E-3</v>
      </c>
      <c r="AY76" s="23">
        <f>INDEX('Activity data'!AY$24:AY$39,MATCH(Emissions!$D76,'Activity data'!$D$24:$D$39,0))*INDEX(EF!$H$84:$H$99,MATCH(Emissions!$D76,EF!$D$84:$D$99,0))*INDEX(EF!$H$100:$H$115,MATCH(Emissions!$D76,EF!$D$100:$D$115,0))*INDEX(EF!$H$132:$H$147,MATCH(Emissions!$D76,EF!$D$132:$D$147,0))*kgtoGg</f>
        <v>1.3615114375221701E-3</v>
      </c>
      <c r="AZ76" s="23">
        <f>INDEX('Activity data'!AZ$24:AZ$39,MATCH(Emissions!$D76,'Activity data'!$D$24:$D$39,0))*INDEX(EF!$H$84:$H$99,MATCH(Emissions!$D76,EF!$D$84:$D$99,0))*INDEX(EF!$H$100:$H$115,MATCH(Emissions!$D76,EF!$D$100:$D$115,0))*INDEX(EF!$H$132:$H$147,MATCH(Emissions!$D76,EF!$D$132:$D$147,0))*kgtoGg</f>
        <v>1.3593127116679174E-3</v>
      </c>
      <c r="BA76" s="23">
        <f>INDEX('Activity data'!BA$24:BA$39,MATCH(Emissions!$D76,'Activity data'!$D$24:$D$39,0))*INDEX(EF!$H$84:$H$99,MATCH(Emissions!$D76,EF!$D$84:$D$99,0))*INDEX(EF!$H$100:$H$115,MATCH(Emissions!$D76,EF!$D$100:$D$115,0))*INDEX(EF!$H$132:$H$147,MATCH(Emissions!$D76,EF!$D$132:$D$147,0))*kgtoGg</f>
        <v>1.3571139858136645E-3</v>
      </c>
      <c r="BB76" s="23">
        <f>INDEX('Activity data'!BB$24:BB$39,MATCH(Emissions!$D76,'Activity data'!$D$24:$D$39,0))*INDEX(EF!$H$84:$H$99,MATCH(Emissions!$D76,EF!$D$84:$D$99,0))*INDEX(EF!$H$100:$H$115,MATCH(Emissions!$D76,EF!$D$100:$D$115,0))*INDEX(EF!$H$132:$H$147,MATCH(Emissions!$D76,EF!$D$132:$D$147,0))*kgtoGg</f>
        <v>1.3549152599594116E-3</v>
      </c>
      <c r="BC76" s="23">
        <f>INDEX('Activity data'!BC$24:BC$39,MATCH(Emissions!$D76,'Activity data'!$D$24:$D$39,0))*INDEX(EF!$H$84:$H$99,MATCH(Emissions!$D76,EF!$D$84:$D$99,0))*INDEX(EF!$H$100:$H$115,MATCH(Emissions!$D76,EF!$D$100:$D$115,0))*INDEX(EF!$H$132:$H$147,MATCH(Emissions!$D76,EF!$D$132:$D$147,0))*kgtoGg</f>
        <v>1.3527165341051591E-3</v>
      </c>
      <c r="BD76" s="23">
        <f>INDEX('Activity data'!BD$24:BD$39,MATCH(Emissions!$D76,'Activity data'!$D$24:$D$39,0))*INDEX(EF!$H$84:$H$99,MATCH(Emissions!$D76,EF!$D$84:$D$99,0))*INDEX(EF!$H$100:$H$115,MATCH(Emissions!$D76,EF!$D$100:$D$115,0))*INDEX(EF!$H$132:$H$147,MATCH(Emissions!$D76,EF!$D$132:$D$147,0))*kgtoGg</f>
        <v>1.350517808250906E-3</v>
      </c>
      <c r="BE76" s="23">
        <f>INDEX('Activity data'!BE$24:BE$39,MATCH(Emissions!$D76,'Activity data'!$D$24:$D$39,0))*INDEX(EF!$H$84:$H$99,MATCH(Emissions!$D76,EF!$D$84:$D$99,0))*INDEX(EF!$H$100:$H$115,MATCH(Emissions!$D76,EF!$D$100:$D$115,0))*INDEX(EF!$H$132:$H$147,MATCH(Emissions!$D76,EF!$D$132:$D$147,0))*kgtoGg</f>
        <v>1.3483190823966528E-3</v>
      </c>
      <c r="BF76" s="23">
        <f>INDEX('Activity data'!BF$24:BF$39,MATCH(Emissions!$D76,'Activity data'!$D$24:$D$39,0))*INDEX(EF!$H$84:$H$99,MATCH(Emissions!$D76,EF!$D$84:$D$99,0))*INDEX(EF!$H$100:$H$115,MATCH(Emissions!$D76,EF!$D$100:$D$115,0))*INDEX(EF!$H$132:$H$147,MATCH(Emissions!$D76,EF!$D$132:$D$147,0))*kgtoGg</f>
        <v>1.3461203565424001E-3</v>
      </c>
      <c r="BG76" s="23">
        <f>INDEX('Activity data'!BG$24:BG$39,MATCH(Emissions!$D76,'Activity data'!$D$24:$D$39,0))*INDEX(EF!$H$84:$H$99,MATCH(Emissions!$D76,EF!$D$84:$D$99,0))*INDEX(EF!$H$100:$H$115,MATCH(Emissions!$D76,EF!$D$100:$D$115,0))*INDEX(EF!$H$132:$H$147,MATCH(Emissions!$D76,EF!$D$132:$D$147,0))*kgtoGg</f>
        <v>1.3439216306881474E-3</v>
      </c>
      <c r="BH76" s="23">
        <f>INDEX('Activity data'!BH$24:BH$39,MATCH(Emissions!$D76,'Activity data'!$D$24:$D$39,0))*INDEX(EF!$H$84:$H$99,MATCH(Emissions!$D76,EF!$D$84:$D$99,0))*INDEX(EF!$H$100:$H$115,MATCH(Emissions!$D76,EF!$D$100:$D$115,0))*INDEX(EF!$H$132:$H$147,MATCH(Emissions!$D76,EF!$D$132:$D$147,0))*kgtoGg</f>
        <v>1.3417229048338945E-3</v>
      </c>
      <c r="BI76" s="23">
        <f>INDEX('Activity data'!BI$24:BI$39,MATCH(Emissions!$D76,'Activity data'!$D$24:$D$39,0))*INDEX(EF!$H$84:$H$99,MATCH(Emissions!$D76,EF!$D$84:$D$99,0))*INDEX(EF!$H$100:$H$115,MATCH(Emissions!$D76,EF!$D$100:$D$115,0))*INDEX(EF!$H$132:$H$147,MATCH(Emissions!$D76,EF!$D$132:$D$147,0))*kgtoGg</f>
        <v>1.3395241789796416E-3</v>
      </c>
      <c r="BJ76" s="23">
        <f>INDEX('Activity data'!BJ$24:BJ$39,MATCH(Emissions!$D76,'Activity data'!$D$24:$D$39,0))*INDEX(EF!$H$84:$H$99,MATCH(Emissions!$D76,EF!$D$84:$D$99,0))*INDEX(EF!$H$100:$H$115,MATCH(Emissions!$D76,EF!$D$100:$D$115,0))*INDEX(EF!$H$132:$H$147,MATCH(Emissions!$D76,EF!$D$132:$D$147,0))*kgtoGg</f>
        <v>1.3373254531253887E-3</v>
      </c>
      <c r="BK76" s="23">
        <f>INDEX('Activity data'!BK$24:BK$39,MATCH(Emissions!$D76,'Activity data'!$D$24:$D$39,0))*INDEX(EF!$H$84:$H$99,MATCH(Emissions!$D76,EF!$D$84:$D$99,0))*INDEX(EF!$H$100:$H$115,MATCH(Emissions!$D76,EF!$D$100:$D$115,0))*INDEX(EF!$H$132:$H$147,MATCH(Emissions!$D76,EF!$D$132:$D$147,0))*kgtoGg</f>
        <v>1.3351267272711362E-3</v>
      </c>
      <c r="BL76" s="23">
        <f>INDEX('Activity data'!BL$24:BL$39,MATCH(Emissions!$D76,'Activity data'!$D$24:$D$39,0))*INDEX(EF!$H$84:$H$99,MATCH(Emissions!$D76,EF!$D$84:$D$99,0))*INDEX(EF!$H$100:$H$115,MATCH(Emissions!$D76,EF!$D$100:$D$115,0))*INDEX(EF!$H$132:$H$147,MATCH(Emissions!$D76,EF!$D$132:$D$147,0))*kgtoGg</f>
        <v>1.332928001416883E-3</v>
      </c>
      <c r="BM76" s="23">
        <f>INDEX('Activity data'!BM$24:BM$39,MATCH(Emissions!$D76,'Activity data'!$D$24:$D$39,0))*INDEX(EF!$H$84:$H$99,MATCH(Emissions!$D76,EF!$D$84:$D$99,0))*INDEX(EF!$H$100:$H$115,MATCH(Emissions!$D76,EF!$D$100:$D$115,0))*INDEX(EF!$H$132:$H$147,MATCH(Emissions!$D76,EF!$D$132:$D$147,0))*kgtoGg</f>
        <v>1.3307292755626303E-3</v>
      </c>
      <c r="BN76" s="23">
        <f>INDEX('Activity data'!BN$24:BN$39,MATCH(Emissions!$D76,'Activity data'!$D$24:$D$39,0))*INDEX(EF!$H$84:$H$99,MATCH(Emissions!$D76,EF!$D$84:$D$99,0))*INDEX(EF!$H$100:$H$115,MATCH(Emissions!$D76,EF!$D$100:$D$115,0))*INDEX(EF!$H$132:$H$147,MATCH(Emissions!$D76,EF!$D$132:$D$147,0))*kgtoGg</f>
        <v>1.3285305497083772E-3</v>
      </c>
      <c r="BO76" s="23">
        <f>INDEX('Activity data'!BO$24:BO$39,MATCH(Emissions!$D76,'Activity data'!$D$24:$D$39,0))*INDEX(EF!$H$84:$H$99,MATCH(Emissions!$D76,EF!$D$84:$D$99,0))*INDEX(EF!$H$100:$H$115,MATCH(Emissions!$D76,EF!$D$100:$D$115,0))*INDEX(EF!$H$132:$H$147,MATCH(Emissions!$D76,EF!$D$132:$D$147,0))*kgtoGg</f>
        <v>1.3263318238541245E-3</v>
      </c>
      <c r="BP76" s="23">
        <f>INDEX('Activity data'!BP$24:BP$39,MATCH(Emissions!$D76,'Activity data'!$D$24:$D$39,0))*INDEX(EF!$H$84:$H$99,MATCH(Emissions!$D76,EF!$D$84:$D$99,0))*INDEX(EF!$H$100:$H$115,MATCH(Emissions!$D76,EF!$D$100:$D$115,0))*INDEX(EF!$H$132:$H$147,MATCH(Emissions!$D76,EF!$D$132:$D$147,0))*kgtoGg</f>
        <v>1.3241330979998716E-3</v>
      </c>
    </row>
    <row r="77" spans="1:68" x14ac:dyDescent="0.25">
      <c r="A77" t="str">
        <f t="shared" si="19"/>
        <v>3C Aggregated and non-CO2 emissions on land</v>
      </c>
      <c r="B77" t="str">
        <f t="shared" si="26"/>
        <v>3C1 Biomass burning (N2O)</v>
      </c>
      <c r="C77" t="str">
        <f t="shared" si="25"/>
        <v>3C1b Biomass burning in Croplands</v>
      </c>
      <c r="D77" t="str">
        <f>EF!D107</f>
        <v>Perennial vineyards</v>
      </c>
      <c r="E77" t="s">
        <v>732</v>
      </c>
      <c r="F77" t="str">
        <f t="shared" si="27"/>
        <v>N2O</v>
      </c>
      <c r="G77" t="str">
        <f t="shared" si="28"/>
        <v>Gg N2O</v>
      </c>
      <c r="H77" s="23">
        <f>INDEX('Activity data'!H$24:H$39,MATCH(Emissions!$D77,'Activity data'!$D$24:$D$39,0))*INDEX(EF!$H$84:$H$99,MATCH(Emissions!$D77,EF!$D$84:$D$99,0))*INDEX(EF!$H$100:$H$115,MATCH(Emissions!$D77,EF!$D$100:$D$115,0))*INDEX(EF!$H$132:$H$147,MATCH(Emissions!$D77,EF!$D$132:$D$147,0))*kgtoGg</f>
        <v>3.1883809832337033E-4</v>
      </c>
      <c r="I77" s="23">
        <f>INDEX('Activity data'!I$24:I$39,MATCH(Emissions!$D77,'Activity data'!$D$24:$D$39,0))*INDEX(EF!$H$84:$H$99,MATCH(Emissions!$D77,EF!$D$84:$D$99,0))*INDEX(EF!$H$100:$H$115,MATCH(Emissions!$D77,EF!$D$100:$D$115,0))*INDEX(EF!$H$132:$H$147,MATCH(Emissions!$D77,EF!$D$132:$D$147,0))*kgtoGg</f>
        <v>3.1883809832337033E-4</v>
      </c>
      <c r="J77" s="23">
        <f>INDEX('Activity data'!J$24:J$39,MATCH(Emissions!$D77,'Activity data'!$D$24:$D$39,0))*INDEX(EF!$H$84:$H$99,MATCH(Emissions!$D77,EF!$D$84:$D$99,0))*INDEX(EF!$H$100:$H$115,MATCH(Emissions!$D77,EF!$D$100:$D$115,0))*INDEX(EF!$H$132:$H$147,MATCH(Emissions!$D77,EF!$D$132:$D$147,0))*kgtoGg</f>
        <v>3.1883809832337033E-4</v>
      </c>
      <c r="K77" s="23">
        <f>INDEX('Activity data'!K$24:K$39,MATCH(Emissions!$D77,'Activity data'!$D$24:$D$39,0))*INDEX(EF!$H$84:$H$99,MATCH(Emissions!$D77,EF!$D$84:$D$99,0))*INDEX(EF!$H$100:$H$115,MATCH(Emissions!$D77,EF!$D$100:$D$115,0))*INDEX(EF!$H$132:$H$147,MATCH(Emissions!$D77,EF!$D$132:$D$147,0))*kgtoGg</f>
        <v>3.1883809832337033E-4</v>
      </c>
      <c r="L77" s="23">
        <f>INDEX('Activity data'!L$24:L$39,MATCH(Emissions!$D77,'Activity data'!$D$24:$D$39,0))*INDEX(EF!$H$84:$H$99,MATCH(Emissions!$D77,EF!$D$84:$D$99,0))*INDEX(EF!$H$100:$H$115,MATCH(Emissions!$D77,EF!$D$100:$D$115,0))*INDEX(EF!$H$132:$H$147,MATCH(Emissions!$D77,EF!$D$132:$D$147,0))*kgtoGg</f>
        <v>3.1883809832337033E-4</v>
      </c>
      <c r="M77" s="23">
        <f>INDEX('Activity data'!M$24:M$39,MATCH(Emissions!$D77,'Activity data'!$D$24:$D$39,0))*INDEX(EF!$H$84:$H$99,MATCH(Emissions!$D77,EF!$D$84:$D$99,0))*INDEX(EF!$H$100:$H$115,MATCH(Emissions!$D77,EF!$D$100:$D$115,0))*INDEX(EF!$H$132:$H$147,MATCH(Emissions!$D77,EF!$D$132:$D$147,0))*kgtoGg</f>
        <v>3.1883809832337033E-4</v>
      </c>
      <c r="N77" s="23">
        <f>INDEX('Activity data'!N$24:N$39,MATCH(Emissions!$D77,'Activity data'!$D$24:$D$39,0))*INDEX(EF!$H$84:$H$99,MATCH(Emissions!$D77,EF!$D$84:$D$99,0))*INDEX(EF!$H$100:$H$115,MATCH(Emissions!$D77,EF!$D$100:$D$115,0))*INDEX(EF!$H$132:$H$147,MATCH(Emissions!$D77,EF!$D$132:$D$147,0))*kgtoGg</f>
        <v>3.1883809832337033E-4</v>
      </c>
      <c r="O77" s="23">
        <f>INDEX('Activity data'!O$24:O$39,MATCH(Emissions!$D77,'Activity data'!$D$24:$D$39,0))*INDEX(EF!$H$84:$H$99,MATCH(Emissions!$D77,EF!$D$84:$D$99,0))*INDEX(EF!$H$100:$H$115,MATCH(Emissions!$D77,EF!$D$100:$D$115,0))*INDEX(EF!$H$132:$H$147,MATCH(Emissions!$D77,EF!$D$132:$D$147,0))*kgtoGg</f>
        <v>3.1883809832337033E-4</v>
      </c>
      <c r="P77" s="23">
        <f>INDEX('Activity data'!P$24:P$39,MATCH(Emissions!$D77,'Activity data'!$D$24:$D$39,0))*INDEX(EF!$H$84:$H$99,MATCH(Emissions!$D77,EF!$D$84:$D$99,0))*INDEX(EF!$H$100:$H$115,MATCH(Emissions!$D77,EF!$D$100:$D$115,0))*INDEX(EF!$H$132:$H$147,MATCH(Emissions!$D77,EF!$D$132:$D$147,0))*kgtoGg</f>
        <v>3.1883809832337033E-4</v>
      </c>
      <c r="Q77" s="23">
        <f>INDEX('Activity data'!Q$24:Q$39,MATCH(Emissions!$D77,'Activity data'!$D$24:$D$39,0))*INDEX(EF!$H$84:$H$99,MATCH(Emissions!$D77,EF!$D$84:$D$99,0))*INDEX(EF!$H$100:$H$115,MATCH(Emissions!$D77,EF!$D$100:$D$115,0))*INDEX(EF!$H$132:$H$147,MATCH(Emissions!$D77,EF!$D$132:$D$147,0))*kgtoGg</f>
        <v>3.1883809832337033E-4</v>
      </c>
      <c r="R77" s="23">
        <f>INDEX('Activity data'!R$24:R$39,MATCH(Emissions!$D77,'Activity data'!$D$24:$D$39,0))*INDEX(EF!$H$84:$H$99,MATCH(Emissions!$D77,EF!$D$84:$D$99,0))*INDEX(EF!$H$100:$H$115,MATCH(Emissions!$D77,EF!$D$100:$D$115,0))*INDEX(EF!$H$132:$H$147,MATCH(Emissions!$D77,EF!$D$132:$D$147,0))*kgtoGg</f>
        <v>4.9747788390880473E-4</v>
      </c>
      <c r="S77" s="23">
        <f>INDEX('Activity data'!S$24:S$39,MATCH(Emissions!$D77,'Activity data'!$D$24:$D$39,0))*INDEX(EF!$H$84:$H$99,MATCH(Emissions!$D77,EF!$D$84:$D$99,0))*INDEX(EF!$H$100:$H$115,MATCH(Emissions!$D77,EF!$D$100:$D$115,0))*INDEX(EF!$H$132:$H$147,MATCH(Emissions!$D77,EF!$D$132:$D$147,0))*kgtoGg</f>
        <v>3.2788315075807579E-4</v>
      </c>
      <c r="T77" s="23">
        <f>INDEX('Activity data'!T$24:T$39,MATCH(Emissions!$D77,'Activity data'!$D$24:$D$39,0))*INDEX(EF!$H$84:$H$99,MATCH(Emissions!$D77,EF!$D$84:$D$99,0))*INDEX(EF!$H$100:$H$115,MATCH(Emissions!$D77,EF!$D$100:$D$115,0))*INDEX(EF!$H$132:$H$147,MATCH(Emissions!$D77,EF!$D$132:$D$147,0))*kgtoGg</f>
        <v>2.600452574977842E-4</v>
      </c>
      <c r="U77" s="23">
        <f>INDEX('Activity data'!U$24:U$39,MATCH(Emissions!$D77,'Activity data'!$D$24:$D$39,0))*INDEX(EF!$H$84:$H$99,MATCH(Emissions!$D77,EF!$D$84:$D$99,0))*INDEX(EF!$H$100:$H$115,MATCH(Emissions!$D77,EF!$D$100:$D$115,0))*INDEX(EF!$H$132:$H$147,MATCH(Emissions!$D77,EF!$D$132:$D$147,0))*kgtoGg</f>
        <v>4.0702735956174937E-4</v>
      </c>
      <c r="V77" s="23">
        <f>INDEX('Activity data'!V$24:V$39,MATCH(Emissions!$D77,'Activity data'!$D$24:$D$39,0))*INDEX(EF!$H$84:$H$99,MATCH(Emissions!$D77,EF!$D$84:$D$99,0))*INDEX(EF!$H$100:$H$115,MATCH(Emissions!$D77,EF!$D$100:$D$115,0))*INDEX(EF!$H$132:$H$147,MATCH(Emissions!$D77,EF!$D$132:$D$147,0))*kgtoGg</f>
        <v>1.0175683989043734E-4</v>
      </c>
      <c r="W77" s="23">
        <f>INDEX('Activity data'!W$24:W$39,MATCH(Emissions!$D77,'Activity data'!$D$24:$D$39,0))*INDEX(EF!$H$84:$H$99,MATCH(Emissions!$D77,EF!$D$84:$D$99,0))*INDEX(EF!$H$100:$H$115,MATCH(Emissions!$D77,EF!$D$100:$D$115,0))*INDEX(EF!$H$132:$H$147,MATCH(Emissions!$D77,EF!$D$132:$D$147,0))*kgtoGg</f>
        <v>2.8265788858454824E-4</v>
      </c>
      <c r="X77" s="23">
        <f>INDEX('Activity data'!X$24:X$39,MATCH(Emissions!$D77,'Activity data'!$D$24:$D$39,0))*INDEX(EF!$H$84:$H$99,MATCH(Emissions!$D77,EF!$D$84:$D$99,0))*INDEX(EF!$H$100:$H$115,MATCH(Emissions!$D77,EF!$D$100:$D$115,0))*INDEX(EF!$H$132:$H$147,MATCH(Emissions!$D77,EF!$D$132:$D$147,0))*kgtoGg</f>
        <v>5.6531577716909648E-4</v>
      </c>
      <c r="Y77" s="23">
        <f>INDEX('Activity data'!Y$24:Y$39,MATCH(Emissions!$D77,'Activity data'!$D$24:$D$39,0))*INDEX(EF!$H$84:$H$99,MATCH(Emissions!$D77,EF!$D$84:$D$99,0))*INDEX(EF!$H$100:$H$115,MATCH(Emissions!$D77,EF!$D$100:$D$115,0))*INDEX(EF!$H$132:$H$147,MATCH(Emissions!$D77,EF!$D$132:$D$147,0))*kgtoGg</f>
        <v>2.7135157304116619E-4</v>
      </c>
      <c r="Z77" s="23">
        <f>INDEX('Activity data'!Z$24:Z$39,MATCH(Emissions!$D77,'Activity data'!$D$24:$D$39,0))*INDEX(EF!$H$84:$H$99,MATCH(Emissions!$D77,EF!$D$84:$D$99,0))*INDEX(EF!$H$100:$H$115,MATCH(Emissions!$D77,EF!$D$100:$D$115,0))*INDEX(EF!$H$132:$H$147,MATCH(Emissions!$D77,EF!$D$132:$D$147,0))*kgtoGg</f>
        <v>2.0351367978087469E-4</v>
      </c>
      <c r="AA77" s="23">
        <f>INDEX('Activity data'!AA$24:AA$39,MATCH(Emissions!$D77,'Activity data'!$D$24:$D$39,0))*INDEX(EF!$H$84:$H$99,MATCH(Emissions!$D77,EF!$D$84:$D$99,0))*INDEX(EF!$H$100:$H$115,MATCH(Emissions!$D77,EF!$D$100:$D$115,0))*INDEX(EF!$H$132:$H$147,MATCH(Emissions!$D77,EF!$D$132:$D$147,0))*kgtoGg</f>
        <v>3.0527051967131201E-4</v>
      </c>
      <c r="AB77" s="23">
        <f>INDEX('Activity data'!AB$24:AB$39,MATCH(Emissions!$D77,'Activity data'!$D$24:$D$39,0))*INDEX(EF!$H$84:$H$99,MATCH(Emissions!$D77,EF!$D$84:$D$99,0))*INDEX(EF!$H$100:$H$115,MATCH(Emissions!$D77,EF!$D$100:$D$115,0))*INDEX(EF!$H$132:$H$147,MATCH(Emissions!$D77,EF!$D$132:$D$147,0))*kgtoGg</f>
        <v>5.0670899999999994E-4</v>
      </c>
      <c r="AC77" s="23">
        <f>INDEX('Activity data'!AC$24:AC$39,MATCH(Emissions!$D77,'Activity data'!$D$24:$D$39,0))*INDEX(EF!$H$84:$H$99,MATCH(Emissions!$D77,EF!$D$84:$D$99,0))*INDEX(EF!$H$100:$H$115,MATCH(Emissions!$D77,EF!$D$100:$D$115,0))*INDEX(EF!$H$132:$H$147,MATCH(Emissions!$D77,EF!$D$132:$D$147,0))*kgtoGg</f>
        <v>1.3369797000000003E-3</v>
      </c>
      <c r="AD77" s="23">
        <f>INDEX('Activity data'!AD$24:AD$39,MATCH(Emissions!$D77,'Activity data'!$D$24:$D$39,0))*INDEX(EF!$H$84:$H$99,MATCH(Emissions!$D77,EF!$D$84:$D$99,0))*INDEX(EF!$H$100:$H$115,MATCH(Emissions!$D77,EF!$D$100:$D$115,0))*INDEX(EF!$H$132:$H$147,MATCH(Emissions!$D77,EF!$D$132:$D$147,0))*kgtoGg</f>
        <v>3.1703489999999998E-4</v>
      </c>
      <c r="AE77" s="23">
        <f>INDEX('Activity data'!AE$24:AE$39,MATCH(Emissions!$D77,'Activity data'!$D$24:$D$39,0))*INDEX(EF!$H$84:$H$99,MATCH(Emissions!$D77,EF!$D$84:$D$99,0))*INDEX(EF!$H$100:$H$115,MATCH(Emissions!$D77,EF!$D$100:$D$115,0))*INDEX(EF!$H$132:$H$147,MATCH(Emissions!$D77,EF!$D$132:$D$147,0))*kgtoGg</f>
        <v>3.7926000000000002E-4</v>
      </c>
      <c r="AF77" s="23">
        <f>INDEX('Activity data'!AF$24:AF$39,MATCH(Emissions!$D77,'Activity data'!$D$24:$D$39,0))*INDEX(EF!$H$84:$H$99,MATCH(Emissions!$D77,EF!$D$84:$D$99,0))*INDEX(EF!$H$100:$H$115,MATCH(Emissions!$D77,EF!$D$100:$D$115,0))*INDEX(EF!$H$132:$H$147,MATCH(Emissions!$D77,EF!$D$132:$D$147,0))*kgtoGg</f>
        <v>1.4442750000000001E-4</v>
      </c>
      <c r="AG77" s="23">
        <f>INDEX('Activity data'!AG$24:AG$39,MATCH(Emissions!$D77,'Activity data'!$D$24:$D$39,0))*INDEX(EF!$H$84:$H$99,MATCH(Emissions!$D77,EF!$D$84:$D$99,0))*INDEX(EF!$H$100:$H$115,MATCH(Emissions!$D77,EF!$D$100:$D$115,0))*INDEX(EF!$H$132:$H$147,MATCH(Emissions!$D77,EF!$D$132:$D$147,0))*kgtoGg</f>
        <v>7.5882870000000004E-4</v>
      </c>
      <c r="AH77" s="23">
        <f>INDEX('Activity data'!AH$24:AH$39,MATCH(Emissions!$D77,'Activity data'!$D$24:$D$39,0))*INDEX(EF!$H$84:$H$99,MATCH(Emissions!$D77,EF!$D$84:$D$99,0))*INDEX(EF!$H$100:$H$115,MATCH(Emissions!$D77,EF!$D$100:$D$115,0))*INDEX(EF!$H$132:$H$147,MATCH(Emissions!$D77,EF!$D$132:$D$147,0))*kgtoGg</f>
        <v>6.4976939999999994E-4</v>
      </c>
      <c r="AI77" s="23">
        <f>INDEX('Activity data'!AI$24:AI$39,MATCH(Emissions!$D77,'Activity data'!$D$24:$D$39,0))*INDEX(EF!$H$84:$H$99,MATCH(Emissions!$D77,EF!$D$84:$D$99,0))*INDEX(EF!$H$100:$H$115,MATCH(Emissions!$D77,EF!$D$100:$D$115,0))*INDEX(EF!$H$132:$H$147,MATCH(Emissions!$D77,EF!$D$132:$D$147,0))*kgtoGg</f>
        <v>6.5611979999999999E-4</v>
      </c>
      <c r="AJ77" s="23">
        <f>INDEX('Activity data'!AJ$24:AJ$39,MATCH(Emissions!$D77,'Activity data'!$D$24:$D$39,0))*INDEX(EF!$H$84:$H$99,MATCH(Emissions!$D77,EF!$D$84:$D$99,0))*INDEX(EF!$H$100:$H$115,MATCH(Emissions!$D77,EF!$D$100:$D$115,0))*INDEX(EF!$H$132:$H$147,MATCH(Emissions!$D77,EF!$D$132:$D$147,0))*kgtoGg</f>
        <v>3.3491169599732891E-4</v>
      </c>
      <c r="AK77" s="23">
        <f>INDEX('Activity data'!AK$24:AK$39,MATCH(Emissions!$D77,'Activity data'!$D$24:$D$39,0))*INDEX(EF!$H$84:$H$99,MATCH(Emissions!$D77,EF!$D$84:$D$99,0))*INDEX(EF!$H$100:$H$115,MATCH(Emissions!$D77,EF!$D$100:$D$115,0))*INDEX(EF!$H$132:$H$147,MATCH(Emissions!$D77,EF!$D$132:$D$147,0))*kgtoGg</f>
        <v>3.3324540202252245E-4</v>
      </c>
      <c r="AL77" s="23">
        <f>INDEX('Activity data'!AL$24:AL$39,MATCH(Emissions!$D77,'Activity data'!$D$24:$D$39,0))*INDEX(EF!$H$84:$H$99,MATCH(Emissions!$D77,EF!$D$84:$D$99,0))*INDEX(EF!$H$100:$H$115,MATCH(Emissions!$D77,EF!$D$100:$D$115,0))*INDEX(EF!$H$132:$H$147,MATCH(Emissions!$D77,EF!$D$132:$D$147,0))*kgtoGg</f>
        <v>3.3157910804771599E-4</v>
      </c>
      <c r="AM77" s="23">
        <f>INDEX('Activity data'!AM$24:AM$39,MATCH(Emissions!$D77,'Activity data'!$D$24:$D$39,0))*INDEX(EF!$H$84:$H$99,MATCH(Emissions!$D77,EF!$D$84:$D$99,0))*INDEX(EF!$H$100:$H$115,MATCH(Emissions!$D77,EF!$D$100:$D$115,0))*INDEX(EF!$H$132:$H$147,MATCH(Emissions!$D77,EF!$D$132:$D$147,0))*kgtoGg</f>
        <v>3.2991281407290947E-4</v>
      </c>
      <c r="AN77" s="23">
        <f>INDEX('Activity data'!AN$24:AN$39,MATCH(Emissions!$D77,'Activity data'!$D$24:$D$39,0))*INDEX(EF!$H$84:$H$99,MATCH(Emissions!$D77,EF!$D$84:$D$99,0))*INDEX(EF!$H$100:$H$115,MATCH(Emissions!$D77,EF!$D$100:$D$115,0))*INDEX(EF!$H$132:$H$147,MATCH(Emissions!$D77,EF!$D$132:$D$147,0))*kgtoGg</f>
        <v>3.2824652009810307E-4</v>
      </c>
      <c r="AO77" s="23">
        <f>INDEX('Activity data'!AO$24:AO$39,MATCH(Emissions!$D77,'Activity data'!$D$24:$D$39,0))*INDEX(EF!$H$84:$H$99,MATCH(Emissions!$D77,EF!$D$84:$D$99,0))*INDEX(EF!$H$100:$H$115,MATCH(Emissions!$D77,EF!$D$100:$D$115,0))*INDEX(EF!$H$132:$H$147,MATCH(Emissions!$D77,EF!$D$132:$D$147,0))*kgtoGg</f>
        <v>3.2658022612329661E-4</v>
      </c>
      <c r="AP77" s="23">
        <f>INDEX('Activity data'!AP$24:AP$39,MATCH(Emissions!$D77,'Activity data'!$D$24:$D$39,0))*INDEX(EF!$H$84:$H$99,MATCH(Emissions!$D77,EF!$D$84:$D$99,0))*INDEX(EF!$H$100:$H$115,MATCH(Emissions!$D77,EF!$D$100:$D$115,0))*INDEX(EF!$H$132:$H$147,MATCH(Emissions!$D77,EF!$D$132:$D$147,0))*kgtoGg</f>
        <v>3.2491393214849009E-4</v>
      </c>
      <c r="AQ77" s="23">
        <f>INDEX('Activity data'!AQ$24:AQ$39,MATCH(Emissions!$D77,'Activity data'!$D$24:$D$39,0))*INDEX(EF!$H$84:$H$99,MATCH(Emissions!$D77,EF!$D$84:$D$99,0))*INDEX(EF!$H$100:$H$115,MATCH(Emissions!$D77,EF!$D$100:$D$115,0))*INDEX(EF!$H$132:$H$147,MATCH(Emissions!$D77,EF!$D$132:$D$147,0))*kgtoGg</f>
        <v>3.2324763817368369E-4</v>
      </c>
      <c r="AR77" s="23">
        <f>INDEX('Activity data'!AR$24:AR$39,MATCH(Emissions!$D77,'Activity data'!$D$24:$D$39,0))*INDEX(EF!$H$84:$H$99,MATCH(Emissions!$D77,EF!$D$84:$D$99,0))*INDEX(EF!$H$100:$H$115,MATCH(Emissions!$D77,EF!$D$100:$D$115,0))*INDEX(EF!$H$132:$H$147,MATCH(Emissions!$D77,EF!$D$132:$D$147,0))*kgtoGg</f>
        <v>3.2158134419887723E-4</v>
      </c>
      <c r="AS77" s="23">
        <f>INDEX('Activity data'!AS$24:AS$39,MATCH(Emissions!$D77,'Activity data'!$D$24:$D$39,0))*INDEX(EF!$H$84:$H$99,MATCH(Emissions!$D77,EF!$D$84:$D$99,0))*INDEX(EF!$H$100:$H$115,MATCH(Emissions!$D77,EF!$D$100:$D$115,0))*INDEX(EF!$H$132:$H$147,MATCH(Emissions!$D77,EF!$D$132:$D$147,0))*kgtoGg</f>
        <v>3.1991505022407071E-4</v>
      </c>
      <c r="AT77" s="23">
        <f>INDEX('Activity data'!AT$24:AT$39,MATCH(Emissions!$D77,'Activity data'!$D$24:$D$39,0))*INDEX(EF!$H$84:$H$99,MATCH(Emissions!$D77,EF!$D$84:$D$99,0))*INDEX(EF!$H$100:$H$115,MATCH(Emissions!$D77,EF!$D$100:$D$115,0))*INDEX(EF!$H$132:$H$147,MATCH(Emissions!$D77,EF!$D$132:$D$147,0))*kgtoGg</f>
        <v>3.1824875624926425E-4</v>
      </c>
      <c r="AU77" s="23">
        <f>INDEX('Activity data'!AU$24:AU$39,MATCH(Emissions!$D77,'Activity data'!$D$24:$D$39,0))*INDEX(EF!$H$84:$H$99,MATCH(Emissions!$D77,EF!$D$84:$D$99,0))*INDEX(EF!$H$100:$H$115,MATCH(Emissions!$D77,EF!$D$100:$D$115,0))*INDEX(EF!$H$132:$H$147,MATCH(Emissions!$D77,EF!$D$132:$D$147,0))*kgtoGg</f>
        <v>3.1658246227445779E-4</v>
      </c>
      <c r="AV77" s="23">
        <f>INDEX('Activity data'!AV$24:AV$39,MATCH(Emissions!$D77,'Activity data'!$D$24:$D$39,0))*INDEX(EF!$H$84:$H$99,MATCH(Emissions!$D77,EF!$D$84:$D$99,0))*INDEX(EF!$H$100:$H$115,MATCH(Emissions!$D77,EF!$D$100:$D$115,0))*INDEX(EF!$H$132:$H$147,MATCH(Emissions!$D77,EF!$D$132:$D$147,0))*kgtoGg</f>
        <v>3.1491616829965139E-4</v>
      </c>
      <c r="AW77" s="23">
        <f>INDEX('Activity data'!AW$24:AW$39,MATCH(Emissions!$D77,'Activity data'!$D$24:$D$39,0))*INDEX(EF!$H$84:$H$99,MATCH(Emissions!$D77,EF!$D$84:$D$99,0))*INDEX(EF!$H$100:$H$115,MATCH(Emissions!$D77,EF!$D$100:$D$115,0))*INDEX(EF!$H$132:$H$147,MATCH(Emissions!$D77,EF!$D$132:$D$147,0))*kgtoGg</f>
        <v>3.1324987432484504E-4</v>
      </c>
      <c r="AX77" s="23">
        <f>INDEX('Activity data'!AX$24:AX$39,MATCH(Emissions!$D77,'Activity data'!$D$24:$D$39,0))*INDEX(EF!$H$84:$H$99,MATCH(Emissions!$D77,EF!$D$84:$D$99,0))*INDEX(EF!$H$100:$H$115,MATCH(Emissions!$D77,EF!$D$100:$D$115,0))*INDEX(EF!$H$132:$H$147,MATCH(Emissions!$D77,EF!$D$132:$D$147,0))*kgtoGg</f>
        <v>3.1158358035003858E-4</v>
      </c>
      <c r="AY77" s="23">
        <f>INDEX('Activity data'!AY$24:AY$39,MATCH(Emissions!$D77,'Activity data'!$D$24:$D$39,0))*INDEX(EF!$H$84:$H$99,MATCH(Emissions!$D77,EF!$D$84:$D$99,0))*INDEX(EF!$H$100:$H$115,MATCH(Emissions!$D77,EF!$D$100:$D$115,0))*INDEX(EF!$H$132:$H$147,MATCH(Emissions!$D77,EF!$D$132:$D$147,0))*kgtoGg</f>
        <v>3.0991728637523206E-4</v>
      </c>
      <c r="AZ77" s="23">
        <f>INDEX('Activity data'!AZ$24:AZ$39,MATCH(Emissions!$D77,'Activity data'!$D$24:$D$39,0))*INDEX(EF!$H$84:$H$99,MATCH(Emissions!$D77,EF!$D$84:$D$99,0))*INDEX(EF!$H$100:$H$115,MATCH(Emissions!$D77,EF!$D$100:$D$115,0))*INDEX(EF!$H$132:$H$147,MATCH(Emissions!$D77,EF!$D$132:$D$147,0))*kgtoGg</f>
        <v>3.082509924004256E-4</v>
      </c>
      <c r="BA77" s="23">
        <f>INDEX('Activity data'!BA$24:BA$39,MATCH(Emissions!$D77,'Activity data'!$D$24:$D$39,0))*INDEX(EF!$H$84:$H$99,MATCH(Emissions!$D77,EF!$D$84:$D$99,0))*INDEX(EF!$H$100:$H$115,MATCH(Emissions!$D77,EF!$D$100:$D$115,0))*INDEX(EF!$H$132:$H$147,MATCH(Emissions!$D77,EF!$D$132:$D$147,0))*kgtoGg</f>
        <v>3.065846984256192E-4</v>
      </c>
      <c r="BB77" s="23">
        <f>INDEX('Activity data'!BB$24:BB$39,MATCH(Emissions!$D77,'Activity data'!$D$24:$D$39,0))*INDEX(EF!$H$84:$H$99,MATCH(Emissions!$D77,EF!$D$84:$D$99,0))*INDEX(EF!$H$100:$H$115,MATCH(Emissions!$D77,EF!$D$100:$D$115,0))*INDEX(EF!$H$132:$H$147,MATCH(Emissions!$D77,EF!$D$132:$D$147,0))*kgtoGg</f>
        <v>3.0491840445081268E-4</v>
      </c>
      <c r="BC77" s="23">
        <f>INDEX('Activity data'!BC$24:BC$39,MATCH(Emissions!$D77,'Activity data'!$D$24:$D$39,0))*INDEX(EF!$H$84:$H$99,MATCH(Emissions!$D77,EF!$D$84:$D$99,0))*INDEX(EF!$H$100:$H$115,MATCH(Emissions!$D77,EF!$D$100:$D$115,0))*INDEX(EF!$H$132:$H$147,MATCH(Emissions!$D77,EF!$D$132:$D$147,0))*kgtoGg</f>
        <v>3.0325211047600622E-4</v>
      </c>
      <c r="BD77" s="23">
        <f>INDEX('Activity data'!BD$24:BD$39,MATCH(Emissions!$D77,'Activity data'!$D$24:$D$39,0))*INDEX(EF!$H$84:$H$99,MATCH(Emissions!$D77,EF!$D$84:$D$99,0))*INDEX(EF!$H$100:$H$115,MATCH(Emissions!$D77,EF!$D$100:$D$115,0))*INDEX(EF!$H$132:$H$147,MATCH(Emissions!$D77,EF!$D$132:$D$147,0))*kgtoGg</f>
        <v>3.0158581650119982E-4</v>
      </c>
      <c r="BE77" s="23">
        <f>INDEX('Activity data'!BE$24:BE$39,MATCH(Emissions!$D77,'Activity data'!$D$24:$D$39,0))*INDEX(EF!$H$84:$H$99,MATCH(Emissions!$D77,EF!$D$84:$D$99,0))*INDEX(EF!$H$100:$H$115,MATCH(Emissions!$D77,EF!$D$100:$D$115,0))*INDEX(EF!$H$132:$H$147,MATCH(Emissions!$D77,EF!$D$132:$D$147,0))*kgtoGg</f>
        <v>2.999195225263933E-4</v>
      </c>
      <c r="BF77" s="23">
        <f>INDEX('Activity data'!BF$24:BF$39,MATCH(Emissions!$D77,'Activity data'!$D$24:$D$39,0))*INDEX(EF!$H$84:$H$99,MATCH(Emissions!$D77,EF!$D$84:$D$99,0))*INDEX(EF!$H$100:$H$115,MATCH(Emissions!$D77,EF!$D$100:$D$115,0))*INDEX(EF!$H$132:$H$147,MATCH(Emissions!$D77,EF!$D$132:$D$147,0))*kgtoGg</f>
        <v>2.9825322855158684E-4</v>
      </c>
      <c r="BG77" s="23">
        <f>INDEX('Activity data'!BG$24:BG$39,MATCH(Emissions!$D77,'Activity data'!$D$24:$D$39,0))*INDEX(EF!$H$84:$H$99,MATCH(Emissions!$D77,EF!$D$84:$D$99,0))*INDEX(EF!$H$100:$H$115,MATCH(Emissions!$D77,EF!$D$100:$D$115,0))*INDEX(EF!$H$132:$H$147,MATCH(Emissions!$D77,EF!$D$132:$D$147,0))*kgtoGg</f>
        <v>2.9658693457678038E-4</v>
      </c>
      <c r="BH77" s="23">
        <f>INDEX('Activity data'!BH$24:BH$39,MATCH(Emissions!$D77,'Activity data'!$D$24:$D$39,0))*INDEX(EF!$H$84:$H$99,MATCH(Emissions!$D77,EF!$D$84:$D$99,0))*INDEX(EF!$H$100:$H$115,MATCH(Emissions!$D77,EF!$D$100:$D$115,0))*INDEX(EF!$H$132:$H$147,MATCH(Emissions!$D77,EF!$D$132:$D$147,0))*kgtoGg</f>
        <v>2.9492064060197387E-4</v>
      </c>
      <c r="BI77" s="23">
        <f>INDEX('Activity data'!BI$24:BI$39,MATCH(Emissions!$D77,'Activity data'!$D$24:$D$39,0))*INDEX(EF!$H$84:$H$99,MATCH(Emissions!$D77,EF!$D$84:$D$99,0))*INDEX(EF!$H$100:$H$115,MATCH(Emissions!$D77,EF!$D$100:$D$115,0))*INDEX(EF!$H$132:$H$147,MATCH(Emissions!$D77,EF!$D$132:$D$147,0))*kgtoGg</f>
        <v>2.9325434662716752E-4</v>
      </c>
      <c r="BJ77" s="23">
        <f>INDEX('Activity data'!BJ$24:BJ$39,MATCH(Emissions!$D77,'Activity data'!$D$24:$D$39,0))*INDEX(EF!$H$84:$H$99,MATCH(Emissions!$D77,EF!$D$84:$D$99,0))*INDEX(EF!$H$100:$H$115,MATCH(Emissions!$D77,EF!$D$100:$D$115,0))*INDEX(EF!$H$132:$H$147,MATCH(Emissions!$D77,EF!$D$132:$D$147,0))*kgtoGg</f>
        <v>2.9158805265236106E-4</v>
      </c>
      <c r="BK77" s="23">
        <f>INDEX('Activity data'!BK$24:BK$39,MATCH(Emissions!$D77,'Activity data'!$D$24:$D$39,0))*INDEX(EF!$H$84:$H$99,MATCH(Emissions!$D77,EF!$D$84:$D$99,0))*INDEX(EF!$H$100:$H$115,MATCH(Emissions!$D77,EF!$D$100:$D$115,0))*INDEX(EF!$H$132:$H$147,MATCH(Emissions!$D77,EF!$D$132:$D$147,0))*kgtoGg</f>
        <v>2.8992175867755454E-4</v>
      </c>
      <c r="BL77" s="23">
        <f>INDEX('Activity data'!BL$24:BL$39,MATCH(Emissions!$D77,'Activity data'!$D$24:$D$39,0))*INDEX(EF!$H$84:$H$99,MATCH(Emissions!$D77,EF!$D$84:$D$99,0))*INDEX(EF!$H$100:$H$115,MATCH(Emissions!$D77,EF!$D$100:$D$115,0))*INDEX(EF!$H$132:$H$147,MATCH(Emissions!$D77,EF!$D$132:$D$147,0))*kgtoGg</f>
        <v>2.8825546470274814E-4</v>
      </c>
      <c r="BM77" s="23">
        <f>INDEX('Activity data'!BM$24:BM$39,MATCH(Emissions!$D77,'Activity data'!$D$24:$D$39,0))*INDEX(EF!$H$84:$H$99,MATCH(Emissions!$D77,EF!$D$84:$D$99,0))*INDEX(EF!$H$100:$H$115,MATCH(Emissions!$D77,EF!$D$100:$D$115,0))*INDEX(EF!$H$132:$H$147,MATCH(Emissions!$D77,EF!$D$132:$D$147,0))*kgtoGg</f>
        <v>2.8658917072794168E-4</v>
      </c>
      <c r="BN77" s="23">
        <f>INDEX('Activity data'!BN$24:BN$39,MATCH(Emissions!$D77,'Activity data'!$D$24:$D$39,0))*INDEX(EF!$H$84:$H$99,MATCH(Emissions!$D77,EF!$D$84:$D$99,0))*INDEX(EF!$H$100:$H$115,MATCH(Emissions!$D77,EF!$D$100:$D$115,0))*INDEX(EF!$H$132:$H$147,MATCH(Emissions!$D77,EF!$D$132:$D$147,0))*kgtoGg</f>
        <v>2.8492287675313516E-4</v>
      </c>
      <c r="BO77" s="23">
        <f>INDEX('Activity data'!BO$24:BO$39,MATCH(Emissions!$D77,'Activity data'!$D$24:$D$39,0))*INDEX(EF!$H$84:$H$99,MATCH(Emissions!$D77,EF!$D$84:$D$99,0))*INDEX(EF!$H$100:$H$115,MATCH(Emissions!$D77,EF!$D$100:$D$115,0))*INDEX(EF!$H$132:$H$147,MATCH(Emissions!$D77,EF!$D$132:$D$147,0))*kgtoGg</f>
        <v>2.832565827783287E-4</v>
      </c>
      <c r="BP77" s="23">
        <f>INDEX('Activity data'!BP$24:BP$39,MATCH(Emissions!$D77,'Activity data'!$D$24:$D$39,0))*INDEX(EF!$H$84:$H$99,MATCH(Emissions!$D77,EF!$D$84:$D$99,0))*INDEX(EF!$H$100:$H$115,MATCH(Emissions!$D77,EF!$D$100:$D$115,0))*INDEX(EF!$H$132:$H$147,MATCH(Emissions!$D77,EF!$D$132:$D$147,0))*kgtoGg</f>
        <v>2.8159028880352229E-4</v>
      </c>
    </row>
    <row r="78" spans="1:68" x14ac:dyDescent="0.25">
      <c r="A78" t="str">
        <f t="shared" si="19"/>
        <v>3C Aggregated and non-CO2 emissions on land</v>
      </c>
      <c r="B78" t="str">
        <f t="shared" si="26"/>
        <v>3C1 Biomass burning (N2O)</v>
      </c>
      <c r="C78" t="str">
        <f t="shared" si="25"/>
        <v>3C1b Biomass burning in Croplands</v>
      </c>
      <c r="D78" t="str">
        <f>EF!D108</f>
        <v>Cropland subsistence</v>
      </c>
      <c r="E78" t="s">
        <v>733</v>
      </c>
      <c r="F78" t="str">
        <f t="shared" si="27"/>
        <v>N2O</v>
      </c>
      <c r="G78" t="str">
        <f t="shared" si="28"/>
        <v>Gg N2O</v>
      </c>
      <c r="H78" s="23">
        <f>INDEX('Activity data'!H$24:H$39,MATCH(Emissions!$D78,'Activity data'!$D$24:$D$39,0))*INDEX(EF!$H$84:$H$99,MATCH(Emissions!$D78,EF!$D$84:$D$99,0))*INDEX(EF!$H$100:$H$115,MATCH(Emissions!$D78,EF!$D$100:$D$115,0))*INDEX(EF!$H$132:$H$147,MATCH(Emissions!$D78,EF!$D$132:$D$147,0))*kgtoGg</f>
        <v>5.9523228809688487E-2</v>
      </c>
      <c r="I78" s="23">
        <f>INDEX('Activity data'!I$24:I$39,MATCH(Emissions!$D78,'Activity data'!$D$24:$D$39,0))*INDEX(EF!$H$84:$H$99,MATCH(Emissions!$D78,EF!$D$84:$D$99,0))*INDEX(EF!$H$100:$H$115,MATCH(Emissions!$D78,EF!$D$100:$D$115,0))*INDEX(EF!$H$132:$H$147,MATCH(Emissions!$D78,EF!$D$132:$D$147,0))*kgtoGg</f>
        <v>5.9523228809688487E-2</v>
      </c>
      <c r="J78" s="23">
        <f>INDEX('Activity data'!J$24:J$39,MATCH(Emissions!$D78,'Activity data'!$D$24:$D$39,0))*INDEX(EF!$H$84:$H$99,MATCH(Emissions!$D78,EF!$D$84:$D$99,0))*INDEX(EF!$H$100:$H$115,MATCH(Emissions!$D78,EF!$D$100:$D$115,0))*INDEX(EF!$H$132:$H$147,MATCH(Emissions!$D78,EF!$D$132:$D$147,0))*kgtoGg</f>
        <v>5.9523228809688487E-2</v>
      </c>
      <c r="K78" s="23">
        <f>INDEX('Activity data'!K$24:K$39,MATCH(Emissions!$D78,'Activity data'!$D$24:$D$39,0))*INDEX(EF!$H$84:$H$99,MATCH(Emissions!$D78,EF!$D$84:$D$99,0))*INDEX(EF!$H$100:$H$115,MATCH(Emissions!$D78,EF!$D$100:$D$115,0))*INDEX(EF!$H$132:$H$147,MATCH(Emissions!$D78,EF!$D$132:$D$147,0))*kgtoGg</f>
        <v>5.9523228809688487E-2</v>
      </c>
      <c r="L78" s="23">
        <f>INDEX('Activity data'!L$24:L$39,MATCH(Emissions!$D78,'Activity data'!$D$24:$D$39,0))*INDEX(EF!$H$84:$H$99,MATCH(Emissions!$D78,EF!$D$84:$D$99,0))*INDEX(EF!$H$100:$H$115,MATCH(Emissions!$D78,EF!$D$100:$D$115,0))*INDEX(EF!$H$132:$H$147,MATCH(Emissions!$D78,EF!$D$132:$D$147,0))*kgtoGg</f>
        <v>5.9523228809688487E-2</v>
      </c>
      <c r="M78" s="23">
        <f>INDEX('Activity data'!M$24:M$39,MATCH(Emissions!$D78,'Activity data'!$D$24:$D$39,0))*INDEX(EF!$H$84:$H$99,MATCH(Emissions!$D78,EF!$D$84:$D$99,0))*INDEX(EF!$H$100:$H$115,MATCH(Emissions!$D78,EF!$D$100:$D$115,0))*INDEX(EF!$H$132:$H$147,MATCH(Emissions!$D78,EF!$D$132:$D$147,0))*kgtoGg</f>
        <v>5.9523228809688487E-2</v>
      </c>
      <c r="N78" s="23">
        <f>INDEX('Activity data'!N$24:N$39,MATCH(Emissions!$D78,'Activity data'!$D$24:$D$39,0))*INDEX(EF!$H$84:$H$99,MATCH(Emissions!$D78,EF!$D$84:$D$99,0))*INDEX(EF!$H$100:$H$115,MATCH(Emissions!$D78,EF!$D$100:$D$115,0))*INDEX(EF!$H$132:$H$147,MATCH(Emissions!$D78,EF!$D$132:$D$147,0))*kgtoGg</f>
        <v>5.9523228809688487E-2</v>
      </c>
      <c r="O78" s="23">
        <f>INDEX('Activity data'!O$24:O$39,MATCH(Emissions!$D78,'Activity data'!$D$24:$D$39,0))*INDEX(EF!$H$84:$H$99,MATCH(Emissions!$D78,EF!$D$84:$D$99,0))*INDEX(EF!$H$100:$H$115,MATCH(Emissions!$D78,EF!$D$100:$D$115,0))*INDEX(EF!$H$132:$H$147,MATCH(Emissions!$D78,EF!$D$132:$D$147,0))*kgtoGg</f>
        <v>5.9523228809688487E-2</v>
      </c>
      <c r="P78" s="23">
        <f>INDEX('Activity data'!P$24:P$39,MATCH(Emissions!$D78,'Activity data'!$D$24:$D$39,0))*INDEX(EF!$H$84:$H$99,MATCH(Emissions!$D78,EF!$D$84:$D$99,0))*INDEX(EF!$H$100:$H$115,MATCH(Emissions!$D78,EF!$D$100:$D$115,0))*INDEX(EF!$H$132:$H$147,MATCH(Emissions!$D78,EF!$D$132:$D$147,0))*kgtoGg</f>
        <v>5.9523228809688487E-2</v>
      </c>
      <c r="Q78" s="23">
        <f>INDEX('Activity data'!Q$24:Q$39,MATCH(Emissions!$D78,'Activity data'!$D$24:$D$39,0))*INDEX(EF!$H$84:$H$99,MATCH(Emissions!$D78,EF!$D$84:$D$99,0))*INDEX(EF!$H$100:$H$115,MATCH(Emissions!$D78,EF!$D$100:$D$115,0))*INDEX(EF!$H$132:$H$147,MATCH(Emissions!$D78,EF!$D$132:$D$147,0))*kgtoGg</f>
        <v>5.9523228809688487E-2</v>
      </c>
      <c r="R78" s="23">
        <f>INDEX('Activity data'!R$24:R$39,MATCH(Emissions!$D78,'Activity data'!$D$24:$D$39,0))*INDEX(EF!$H$84:$H$99,MATCH(Emissions!$D78,EF!$D$84:$D$99,0))*INDEX(EF!$H$100:$H$115,MATCH(Emissions!$D78,EF!$D$100:$D$115,0))*INDEX(EF!$H$132:$H$147,MATCH(Emissions!$D78,EF!$D$132:$D$147,0))*kgtoGg</f>
        <v>5.4383377763667071E-2</v>
      </c>
      <c r="S78" s="23">
        <f>INDEX('Activity data'!S$24:S$39,MATCH(Emissions!$D78,'Activity data'!$D$24:$D$39,0))*INDEX(EF!$H$84:$H$99,MATCH(Emissions!$D78,EF!$D$84:$D$99,0))*INDEX(EF!$H$100:$H$115,MATCH(Emissions!$D78,EF!$D$100:$D$115,0))*INDEX(EF!$H$132:$H$147,MATCH(Emissions!$D78,EF!$D$132:$D$147,0))*kgtoGg</f>
        <v>8.1405471912349855E-2</v>
      </c>
      <c r="T78" s="23">
        <f>INDEX('Activity data'!T$24:T$39,MATCH(Emissions!$D78,'Activity data'!$D$24:$D$39,0))*INDEX(EF!$H$84:$H$99,MATCH(Emissions!$D78,EF!$D$84:$D$99,0))*INDEX(EF!$H$100:$H$115,MATCH(Emissions!$D78,EF!$D$100:$D$115,0))*INDEX(EF!$H$132:$H$147,MATCH(Emissions!$D78,EF!$D$132:$D$147,0))*kgtoGg</f>
        <v>6.4095502815432151E-2</v>
      </c>
      <c r="U78" s="23">
        <f>INDEX('Activity data'!U$24:U$39,MATCH(Emissions!$D78,'Activity data'!$D$24:$D$39,0))*INDEX(EF!$H$84:$H$99,MATCH(Emissions!$D78,EF!$D$84:$D$99,0))*INDEX(EF!$H$100:$H$115,MATCH(Emissions!$D78,EF!$D$100:$D$115,0))*INDEX(EF!$H$132:$H$147,MATCH(Emissions!$D78,EF!$D$132:$D$147,0))*kgtoGg</f>
        <v>5.4372071448123685E-2</v>
      </c>
      <c r="V78" s="23">
        <f>INDEX('Activity data'!V$24:V$39,MATCH(Emissions!$D78,'Activity data'!$D$24:$D$39,0))*INDEX(EF!$H$84:$H$99,MATCH(Emissions!$D78,EF!$D$84:$D$99,0))*INDEX(EF!$H$100:$H$115,MATCH(Emissions!$D78,EF!$D$100:$D$115,0))*INDEX(EF!$H$132:$H$147,MATCH(Emissions!$D78,EF!$D$132:$D$147,0))*kgtoGg</f>
        <v>4.3359720108869682E-2</v>
      </c>
      <c r="W78" s="23">
        <f>INDEX('Activity data'!W$24:W$39,MATCH(Emissions!$D78,'Activity data'!$D$24:$D$39,0))*INDEX(EF!$H$84:$H$99,MATCH(Emissions!$D78,EF!$D$84:$D$99,0))*INDEX(EF!$H$100:$H$115,MATCH(Emissions!$D78,EF!$D$100:$D$115,0))*INDEX(EF!$H$132:$H$147,MATCH(Emissions!$D78,EF!$D$132:$D$147,0))*kgtoGg</f>
        <v>9.3989401112133955E-2</v>
      </c>
      <c r="X78" s="23">
        <f>INDEX('Activity data'!X$24:X$39,MATCH(Emissions!$D78,'Activity data'!$D$24:$D$39,0))*INDEX(EF!$H$84:$H$99,MATCH(Emissions!$D78,EF!$D$84:$D$99,0))*INDEX(EF!$H$100:$H$115,MATCH(Emissions!$D78,EF!$D$100:$D$115,0))*INDEX(EF!$H$132:$H$147,MATCH(Emissions!$D78,EF!$D$132:$D$147,0))*kgtoGg</f>
        <v>7.364933944958986E-2</v>
      </c>
      <c r="Y78" s="23">
        <f>INDEX('Activity data'!Y$24:Y$39,MATCH(Emissions!$D78,'Activity data'!$D$24:$D$39,0))*INDEX(EF!$H$84:$H$99,MATCH(Emissions!$D78,EF!$D$84:$D$99,0))*INDEX(EF!$H$100:$H$115,MATCH(Emissions!$D78,EF!$D$100:$D$115,0))*INDEX(EF!$H$132:$H$147,MATCH(Emissions!$D78,EF!$D$132:$D$147,0))*kgtoGg</f>
        <v>0.11404680488609349</v>
      </c>
      <c r="Z78" s="23">
        <f>INDEX('Activity data'!Z$24:Z$39,MATCH(Emissions!$D78,'Activity data'!$D$24:$D$39,0))*INDEX(EF!$H$84:$H$99,MATCH(Emissions!$D78,EF!$D$84:$D$99,0))*INDEX(EF!$H$100:$H$115,MATCH(Emissions!$D78,EF!$D$100:$D$115,0))*INDEX(EF!$H$132:$H$147,MATCH(Emissions!$D78,EF!$D$132:$D$147,0))*kgtoGg</f>
        <v>6.8618029032784925E-2</v>
      </c>
      <c r="AA78" s="23">
        <f>INDEX('Activity data'!AA$24:AA$39,MATCH(Emissions!$D78,'Activity data'!$D$24:$D$39,0))*INDEX(EF!$H$84:$H$99,MATCH(Emissions!$D78,EF!$D$84:$D$99,0))*INDEX(EF!$H$100:$H$115,MATCH(Emissions!$D78,EF!$D$100:$D$115,0))*INDEX(EF!$H$132:$H$147,MATCH(Emissions!$D78,EF!$D$132:$D$147,0))*kgtoGg</f>
        <v>8.1168039285938853E-2</v>
      </c>
      <c r="AB78" s="23">
        <f>INDEX('Activity data'!AB$24:AB$39,MATCH(Emissions!$D78,'Activity data'!$D$24:$D$39,0))*INDEX(EF!$H$84:$H$99,MATCH(Emissions!$D78,EF!$D$84:$D$99,0))*INDEX(EF!$H$100:$H$115,MATCH(Emissions!$D78,EF!$D$100:$D$115,0))*INDEX(EF!$H$132:$H$147,MATCH(Emissions!$D78,EF!$D$132:$D$147,0))*kgtoGg</f>
        <v>5.4530973000000003E-2</v>
      </c>
      <c r="AC78" s="23">
        <f>INDEX('Activity data'!AC$24:AC$39,MATCH(Emissions!$D78,'Activity data'!$D$24:$D$39,0))*INDEX(EF!$H$84:$H$99,MATCH(Emissions!$D78,EF!$D$84:$D$99,0))*INDEX(EF!$H$100:$H$115,MATCH(Emissions!$D78,EF!$D$100:$D$115,0))*INDEX(EF!$H$132:$H$147,MATCH(Emissions!$D78,EF!$D$132:$D$147,0))*kgtoGg</f>
        <v>3.7016790300000005E-2</v>
      </c>
      <c r="AD78" s="23">
        <f>INDEX('Activity data'!AD$24:AD$39,MATCH(Emissions!$D78,'Activity data'!$D$24:$D$39,0))*INDEX(EF!$H$84:$H$99,MATCH(Emissions!$D78,EF!$D$84:$D$99,0))*INDEX(EF!$H$100:$H$115,MATCH(Emissions!$D78,EF!$D$100:$D$115,0))*INDEX(EF!$H$132:$H$147,MATCH(Emissions!$D78,EF!$D$132:$D$147,0))*kgtoGg</f>
        <v>3.3024814200000002E-2</v>
      </c>
      <c r="AE78" s="23">
        <f>INDEX('Activity data'!AE$24:AE$39,MATCH(Emissions!$D78,'Activity data'!$D$24:$D$39,0))*INDEX(EF!$H$84:$H$99,MATCH(Emissions!$D78,EF!$D$84:$D$99,0))*INDEX(EF!$H$100:$H$115,MATCH(Emissions!$D78,EF!$D$100:$D$115,0))*INDEX(EF!$H$132:$H$147,MATCH(Emissions!$D78,EF!$D$132:$D$147,0))*kgtoGg</f>
        <v>5.0229679500000006E-2</v>
      </c>
      <c r="AF78" s="23">
        <f>INDEX('Activity data'!AF$24:AF$39,MATCH(Emissions!$D78,'Activity data'!$D$24:$D$39,0))*INDEX(EF!$H$84:$H$99,MATCH(Emissions!$D78,EF!$D$84:$D$99,0))*INDEX(EF!$H$100:$H$115,MATCH(Emissions!$D78,EF!$D$100:$D$115,0))*INDEX(EF!$H$132:$H$147,MATCH(Emissions!$D78,EF!$D$132:$D$147,0))*kgtoGg</f>
        <v>5.1419629799999998E-2</v>
      </c>
      <c r="AG78" s="23">
        <f>INDEX('Activity data'!AG$24:AG$39,MATCH(Emissions!$D78,'Activity data'!$D$24:$D$39,0))*INDEX(EF!$H$84:$H$99,MATCH(Emissions!$D78,EF!$D$84:$D$99,0))*INDEX(EF!$H$100:$H$115,MATCH(Emissions!$D78,EF!$D$100:$D$115,0))*INDEX(EF!$H$132:$H$147,MATCH(Emissions!$D78,EF!$D$132:$D$147,0))*kgtoGg</f>
        <v>1.7173730700000004E-2</v>
      </c>
      <c r="AH78" s="23">
        <f>INDEX('Activity data'!AH$24:AH$39,MATCH(Emissions!$D78,'Activity data'!$D$24:$D$39,0))*INDEX(EF!$H$84:$H$99,MATCH(Emissions!$D78,EF!$D$84:$D$99,0))*INDEX(EF!$H$100:$H$115,MATCH(Emissions!$D78,EF!$D$100:$D$115,0))*INDEX(EF!$H$132:$H$147,MATCH(Emissions!$D78,EF!$D$132:$D$147,0))*kgtoGg</f>
        <v>5.4665477999999998E-3</v>
      </c>
      <c r="AI78" s="23">
        <f>INDEX('Activity data'!AI$24:AI$39,MATCH(Emissions!$D78,'Activity data'!$D$24:$D$39,0))*INDEX(EF!$H$84:$H$99,MATCH(Emissions!$D78,EF!$D$84:$D$99,0))*INDEX(EF!$H$100:$H$115,MATCH(Emissions!$D78,EF!$D$100:$D$115,0))*INDEX(EF!$H$132:$H$147,MATCH(Emissions!$D78,EF!$D$132:$D$147,0))*kgtoGg</f>
        <v>5.3052741E-3</v>
      </c>
      <c r="AJ78" s="23">
        <f>INDEX('Activity data'!AJ$24:AJ$39,MATCH(Emissions!$D78,'Activity data'!$D$24:$D$39,0))*INDEX(EF!$H$84:$H$99,MATCH(Emissions!$D78,EF!$D$84:$D$99,0))*INDEX(EF!$H$100:$H$115,MATCH(Emissions!$D78,EF!$D$100:$D$115,0))*INDEX(EF!$H$132:$H$147,MATCH(Emissions!$D78,EF!$D$132:$D$147,0))*kgtoGg</f>
        <v>5.7270459947775673E-2</v>
      </c>
      <c r="AK78" s="23">
        <f>INDEX('Activity data'!AK$24:AK$39,MATCH(Emissions!$D78,'Activity data'!$D$24:$D$39,0))*INDEX(EF!$H$84:$H$99,MATCH(Emissions!$D78,EF!$D$84:$D$99,0))*INDEX(EF!$H$100:$H$115,MATCH(Emissions!$D78,EF!$D$100:$D$115,0))*INDEX(EF!$H$132:$H$147,MATCH(Emissions!$D78,EF!$D$132:$D$147,0))*kgtoGg</f>
        <v>5.7350800615036841E-2</v>
      </c>
      <c r="AL78" s="23">
        <f>INDEX('Activity data'!AL$24:AL$39,MATCH(Emissions!$D78,'Activity data'!$D$24:$D$39,0))*INDEX(EF!$H$84:$H$99,MATCH(Emissions!$D78,EF!$D$84:$D$99,0))*INDEX(EF!$H$100:$H$115,MATCH(Emissions!$D78,EF!$D$100:$D$115,0))*INDEX(EF!$H$132:$H$147,MATCH(Emissions!$D78,EF!$D$132:$D$147,0))*kgtoGg</f>
        <v>5.7431141282298016E-2</v>
      </c>
      <c r="AM78" s="23">
        <f>INDEX('Activity data'!AM$24:AM$39,MATCH(Emissions!$D78,'Activity data'!$D$24:$D$39,0))*INDEX(EF!$H$84:$H$99,MATCH(Emissions!$D78,EF!$D$84:$D$99,0))*INDEX(EF!$H$100:$H$115,MATCH(Emissions!$D78,EF!$D$100:$D$115,0))*INDEX(EF!$H$132:$H$147,MATCH(Emissions!$D78,EF!$D$132:$D$147,0))*kgtoGg</f>
        <v>5.7511481949559198E-2</v>
      </c>
      <c r="AN78" s="23">
        <f>INDEX('Activity data'!AN$24:AN$39,MATCH(Emissions!$D78,'Activity data'!$D$24:$D$39,0))*INDEX(EF!$H$84:$H$99,MATCH(Emissions!$D78,EF!$D$84:$D$99,0))*INDEX(EF!$H$100:$H$115,MATCH(Emissions!$D78,EF!$D$100:$D$115,0))*INDEX(EF!$H$132:$H$147,MATCH(Emissions!$D78,EF!$D$132:$D$147,0))*kgtoGg</f>
        <v>5.7591822616820366E-2</v>
      </c>
      <c r="AO78" s="23">
        <f>INDEX('Activity data'!AO$24:AO$39,MATCH(Emissions!$D78,'Activity data'!$D$24:$D$39,0))*INDEX(EF!$H$84:$H$99,MATCH(Emissions!$D78,EF!$D$84:$D$99,0))*INDEX(EF!$H$100:$H$115,MATCH(Emissions!$D78,EF!$D$100:$D$115,0))*INDEX(EF!$H$132:$H$147,MATCH(Emissions!$D78,EF!$D$132:$D$147,0))*kgtoGg</f>
        <v>5.7672163284081548E-2</v>
      </c>
      <c r="AP78" s="23">
        <f>INDEX('Activity data'!AP$24:AP$39,MATCH(Emissions!$D78,'Activity data'!$D$24:$D$39,0))*INDEX(EF!$H$84:$H$99,MATCH(Emissions!$D78,EF!$D$84:$D$99,0))*INDEX(EF!$H$100:$H$115,MATCH(Emissions!$D78,EF!$D$100:$D$115,0))*INDEX(EF!$H$132:$H$147,MATCH(Emissions!$D78,EF!$D$132:$D$147,0))*kgtoGg</f>
        <v>5.7752503951342717E-2</v>
      </c>
      <c r="AQ78" s="23">
        <f>INDEX('Activity data'!AQ$24:AQ$39,MATCH(Emissions!$D78,'Activity data'!$D$24:$D$39,0))*INDEX(EF!$H$84:$H$99,MATCH(Emissions!$D78,EF!$D$84:$D$99,0))*INDEX(EF!$H$100:$H$115,MATCH(Emissions!$D78,EF!$D$100:$D$115,0))*INDEX(EF!$H$132:$H$147,MATCH(Emissions!$D78,EF!$D$132:$D$147,0))*kgtoGg</f>
        <v>5.7832844618603892E-2</v>
      </c>
      <c r="AR78" s="23">
        <f>INDEX('Activity data'!AR$24:AR$39,MATCH(Emissions!$D78,'Activity data'!$D$24:$D$39,0))*INDEX(EF!$H$84:$H$99,MATCH(Emissions!$D78,EF!$D$84:$D$99,0))*INDEX(EF!$H$100:$H$115,MATCH(Emissions!$D78,EF!$D$100:$D$115,0))*INDEX(EF!$H$132:$H$147,MATCH(Emissions!$D78,EF!$D$132:$D$147,0))*kgtoGg</f>
        <v>5.7913185285865053E-2</v>
      </c>
      <c r="AS78" s="23">
        <f>INDEX('Activity data'!AS$24:AS$39,MATCH(Emissions!$D78,'Activity data'!$D$24:$D$39,0))*INDEX(EF!$H$84:$H$99,MATCH(Emissions!$D78,EF!$D$84:$D$99,0))*INDEX(EF!$H$100:$H$115,MATCH(Emissions!$D78,EF!$D$100:$D$115,0))*INDEX(EF!$H$132:$H$147,MATCH(Emissions!$D78,EF!$D$132:$D$147,0))*kgtoGg</f>
        <v>5.7993525953126242E-2</v>
      </c>
      <c r="AT78" s="23">
        <f>INDEX('Activity data'!AT$24:AT$39,MATCH(Emissions!$D78,'Activity data'!$D$24:$D$39,0))*INDEX(EF!$H$84:$H$99,MATCH(Emissions!$D78,EF!$D$84:$D$99,0))*INDEX(EF!$H$100:$H$115,MATCH(Emissions!$D78,EF!$D$100:$D$115,0))*INDEX(EF!$H$132:$H$147,MATCH(Emissions!$D78,EF!$D$132:$D$147,0))*kgtoGg</f>
        <v>5.8073866620387396E-2</v>
      </c>
      <c r="AU78" s="23">
        <f>INDEX('Activity data'!AU$24:AU$39,MATCH(Emissions!$D78,'Activity data'!$D$24:$D$39,0))*INDEX(EF!$H$84:$H$99,MATCH(Emissions!$D78,EF!$D$84:$D$99,0))*INDEX(EF!$H$100:$H$115,MATCH(Emissions!$D78,EF!$D$100:$D$115,0))*INDEX(EF!$H$132:$H$147,MATCH(Emissions!$D78,EF!$D$132:$D$147,0))*kgtoGg</f>
        <v>5.8154207287648571E-2</v>
      </c>
      <c r="AV78" s="23">
        <f>INDEX('Activity data'!AV$24:AV$39,MATCH(Emissions!$D78,'Activity data'!$D$24:$D$39,0))*INDEX(EF!$H$84:$H$99,MATCH(Emissions!$D78,EF!$D$84:$D$99,0))*INDEX(EF!$H$100:$H$115,MATCH(Emissions!$D78,EF!$D$100:$D$115,0))*INDEX(EF!$H$132:$H$147,MATCH(Emissions!$D78,EF!$D$132:$D$147,0))*kgtoGg</f>
        <v>5.8234547954909746E-2</v>
      </c>
      <c r="AW78" s="23">
        <f>INDEX('Activity data'!AW$24:AW$39,MATCH(Emissions!$D78,'Activity data'!$D$24:$D$39,0))*INDEX(EF!$H$84:$H$99,MATCH(Emissions!$D78,EF!$D$84:$D$99,0))*INDEX(EF!$H$100:$H$115,MATCH(Emissions!$D78,EF!$D$100:$D$115,0))*INDEX(EF!$H$132:$H$147,MATCH(Emissions!$D78,EF!$D$132:$D$147,0))*kgtoGg</f>
        <v>5.8314888622170921E-2</v>
      </c>
      <c r="AX78" s="23">
        <f>INDEX('Activity data'!AX$24:AX$39,MATCH(Emissions!$D78,'Activity data'!$D$24:$D$39,0))*INDEX(EF!$H$84:$H$99,MATCH(Emissions!$D78,EF!$D$84:$D$99,0))*INDEX(EF!$H$100:$H$115,MATCH(Emissions!$D78,EF!$D$100:$D$115,0))*INDEX(EF!$H$132:$H$147,MATCH(Emissions!$D78,EF!$D$132:$D$147,0))*kgtoGg</f>
        <v>5.8395229289432082E-2</v>
      </c>
      <c r="AY78" s="23">
        <f>INDEX('Activity data'!AY$24:AY$39,MATCH(Emissions!$D78,'Activity data'!$D$24:$D$39,0))*INDEX(EF!$H$84:$H$99,MATCH(Emissions!$D78,EF!$D$84:$D$99,0))*INDEX(EF!$H$100:$H$115,MATCH(Emissions!$D78,EF!$D$100:$D$115,0))*INDEX(EF!$H$132:$H$147,MATCH(Emissions!$D78,EF!$D$132:$D$147,0))*kgtoGg</f>
        <v>5.8475569956693271E-2</v>
      </c>
      <c r="AZ78" s="23">
        <f>INDEX('Activity data'!AZ$24:AZ$39,MATCH(Emissions!$D78,'Activity data'!$D$24:$D$39,0))*INDEX(EF!$H$84:$H$99,MATCH(Emissions!$D78,EF!$D$84:$D$99,0))*INDEX(EF!$H$100:$H$115,MATCH(Emissions!$D78,EF!$D$100:$D$115,0))*INDEX(EF!$H$132:$H$147,MATCH(Emissions!$D78,EF!$D$132:$D$147,0))*kgtoGg</f>
        <v>5.8555910623954446E-2</v>
      </c>
      <c r="BA78" s="23">
        <f>INDEX('Activity data'!BA$24:BA$39,MATCH(Emissions!$D78,'Activity data'!$D$24:$D$39,0))*INDEX(EF!$H$84:$H$99,MATCH(Emissions!$D78,EF!$D$84:$D$99,0))*INDEX(EF!$H$100:$H$115,MATCH(Emissions!$D78,EF!$D$100:$D$115,0))*INDEX(EF!$H$132:$H$147,MATCH(Emissions!$D78,EF!$D$132:$D$147,0))*kgtoGg</f>
        <v>5.8636251291215608E-2</v>
      </c>
      <c r="BB78" s="23">
        <f>INDEX('Activity data'!BB$24:BB$39,MATCH(Emissions!$D78,'Activity data'!$D$24:$D$39,0))*INDEX(EF!$H$84:$H$99,MATCH(Emissions!$D78,EF!$D$84:$D$99,0))*INDEX(EF!$H$100:$H$115,MATCH(Emissions!$D78,EF!$D$100:$D$115,0))*INDEX(EF!$H$132:$H$147,MATCH(Emissions!$D78,EF!$D$132:$D$147,0))*kgtoGg</f>
        <v>5.8716591958476796E-2</v>
      </c>
      <c r="BC78" s="23">
        <f>INDEX('Activity data'!BC$24:BC$39,MATCH(Emissions!$D78,'Activity data'!$D$24:$D$39,0))*INDEX(EF!$H$84:$H$99,MATCH(Emissions!$D78,EF!$D$84:$D$99,0))*INDEX(EF!$H$100:$H$115,MATCH(Emissions!$D78,EF!$D$100:$D$115,0))*INDEX(EF!$H$132:$H$147,MATCH(Emissions!$D78,EF!$D$132:$D$147,0))*kgtoGg</f>
        <v>5.8796932625737958E-2</v>
      </c>
      <c r="BD78" s="23">
        <f>INDEX('Activity data'!BD$24:BD$39,MATCH(Emissions!$D78,'Activity data'!$D$24:$D$39,0))*INDEX(EF!$H$84:$H$99,MATCH(Emissions!$D78,EF!$D$84:$D$99,0))*INDEX(EF!$H$100:$H$115,MATCH(Emissions!$D78,EF!$D$100:$D$115,0))*INDEX(EF!$H$132:$H$147,MATCH(Emissions!$D78,EF!$D$132:$D$147,0))*kgtoGg</f>
        <v>5.8877273292999133E-2</v>
      </c>
      <c r="BE78" s="23">
        <f>INDEX('Activity data'!BE$24:BE$39,MATCH(Emissions!$D78,'Activity data'!$D$24:$D$39,0))*INDEX(EF!$H$84:$H$99,MATCH(Emissions!$D78,EF!$D$84:$D$99,0))*INDEX(EF!$H$100:$H$115,MATCH(Emissions!$D78,EF!$D$100:$D$115,0))*INDEX(EF!$H$132:$H$147,MATCH(Emissions!$D78,EF!$D$132:$D$147,0))*kgtoGg</f>
        <v>5.8957613960260308E-2</v>
      </c>
      <c r="BF78" s="23">
        <f>INDEX('Activity data'!BF$24:BF$39,MATCH(Emissions!$D78,'Activity data'!$D$24:$D$39,0))*INDEX(EF!$H$84:$H$99,MATCH(Emissions!$D78,EF!$D$84:$D$99,0))*INDEX(EF!$H$100:$H$115,MATCH(Emissions!$D78,EF!$D$100:$D$115,0))*INDEX(EF!$H$132:$H$147,MATCH(Emissions!$D78,EF!$D$132:$D$147,0))*kgtoGg</f>
        <v>5.9037954627521476E-2</v>
      </c>
      <c r="BG78" s="23">
        <f>INDEX('Activity data'!BG$24:BG$39,MATCH(Emissions!$D78,'Activity data'!$D$24:$D$39,0))*INDEX(EF!$H$84:$H$99,MATCH(Emissions!$D78,EF!$D$84:$D$99,0))*INDEX(EF!$H$100:$H$115,MATCH(Emissions!$D78,EF!$D$100:$D$115,0))*INDEX(EF!$H$132:$H$147,MATCH(Emissions!$D78,EF!$D$132:$D$147,0))*kgtoGg</f>
        <v>5.9118295294782644E-2</v>
      </c>
      <c r="BH78" s="23">
        <f>INDEX('Activity data'!BH$24:BH$39,MATCH(Emissions!$D78,'Activity data'!$D$24:$D$39,0))*INDEX(EF!$H$84:$H$99,MATCH(Emissions!$D78,EF!$D$84:$D$99,0))*INDEX(EF!$H$100:$H$115,MATCH(Emissions!$D78,EF!$D$100:$D$115,0))*INDEX(EF!$H$132:$H$147,MATCH(Emissions!$D78,EF!$D$132:$D$147,0))*kgtoGg</f>
        <v>5.9198635962043826E-2</v>
      </c>
      <c r="BI78" s="23">
        <f>INDEX('Activity data'!BI$24:BI$39,MATCH(Emissions!$D78,'Activity data'!$D$24:$D$39,0))*INDEX(EF!$H$84:$H$99,MATCH(Emissions!$D78,EF!$D$84:$D$99,0))*INDEX(EF!$H$100:$H$115,MATCH(Emissions!$D78,EF!$D$100:$D$115,0))*INDEX(EF!$H$132:$H$147,MATCH(Emissions!$D78,EF!$D$132:$D$147,0))*kgtoGg</f>
        <v>5.9278976629304994E-2</v>
      </c>
      <c r="BJ78" s="23">
        <f>INDEX('Activity data'!BJ$24:BJ$39,MATCH(Emissions!$D78,'Activity data'!$D$24:$D$39,0))*INDEX(EF!$H$84:$H$99,MATCH(Emissions!$D78,EF!$D$84:$D$99,0))*INDEX(EF!$H$100:$H$115,MATCH(Emissions!$D78,EF!$D$100:$D$115,0))*INDEX(EF!$H$132:$H$147,MATCH(Emissions!$D78,EF!$D$132:$D$147,0))*kgtoGg</f>
        <v>5.9359317296566169E-2</v>
      </c>
      <c r="BK78" s="23">
        <f>INDEX('Activity data'!BK$24:BK$39,MATCH(Emissions!$D78,'Activity data'!$D$24:$D$39,0))*INDEX(EF!$H$84:$H$99,MATCH(Emissions!$D78,EF!$D$84:$D$99,0))*INDEX(EF!$H$100:$H$115,MATCH(Emissions!$D78,EF!$D$100:$D$115,0))*INDEX(EF!$H$132:$H$147,MATCH(Emissions!$D78,EF!$D$132:$D$147,0))*kgtoGg</f>
        <v>5.9439657963827337E-2</v>
      </c>
      <c r="BL78" s="23">
        <f>INDEX('Activity data'!BL$24:BL$39,MATCH(Emissions!$D78,'Activity data'!$D$24:$D$39,0))*INDEX(EF!$H$84:$H$99,MATCH(Emissions!$D78,EF!$D$84:$D$99,0))*INDEX(EF!$H$100:$H$115,MATCH(Emissions!$D78,EF!$D$100:$D$115,0))*INDEX(EF!$H$132:$H$147,MATCH(Emissions!$D78,EF!$D$132:$D$147,0))*kgtoGg</f>
        <v>5.9519998631088519E-2</v>
      </c>
      <c r="BM78" s="23">
        <f>INDEX('Activity data'!BM$24:BM$39,MATCH(Emissions!$D78,'Activity data'!$D$24:$D$39,0))*INDEX(EF!$H$84:$H$99,MATCH(Emissions!$D78,EF!$D$84:$D$99,0))*INDEX(EF!$H$100:$H$115,MATCH(Emissions!$D78,EF!$D$100:$D$115,0))*INDEX(EF!$H$132:$H$147,MATCH(Emissions!$D78,EF!$D$132:$D$147,0))*kgtoGg</f>
        <v>5.9600339298349701E-2</v>
      </c>
      <c r="BN78" s="23">
        <f>INDEX('Activity data'!BN$24:BN$39,MATCH(Emissions!$D78,'Activity data'!$D$24:$D$39,0))*INDEX(EF!$H$84:$H$99,MATCH(Emissions!$D78,EF!$D$84:$D$99,0))*INDEX(EF!$H$100:$H$115,MATCH(Emissions!$D78,EF!$D$100:$D$115,0))*INDEX(EF!$H$132:$H$147,MATCH(Emissions!$D78,EF!$D$132:$D$147,0))*kgtoGg</f>
        <v>5.9680679965610862E-2</v>
      </c>
      <c r="BO78" s="23">
        <f>INDEX('Activity data'!BO$24:BO$39,MATCH(Emissions!$D78,'Activity data'!$D$24:$D$39,0))*INDEX(EF!$H$84:$H$99,MATCH(Emissions!$D78,EF!$D$84:$D$99,0))*INDEX(EF!$H$100:$H$115,MATCH(Emissions!$D78,EF!$D$100:$D$115,0))*INDEX(EF!$H$132:$H$147,MATCH(Emissions!$D78,EF!$D$132:$D$147,0))*kgtoGg</f>
        <v>5.9761020632872044E-2</v>
      </c>
      <c r="BP78" s="23">
        <f>INDEX('Activity data'!BP$24:BP$39,MATCH(Emissions!$D78,'Activity data'!$D$24:$D$39,0))*INDEX(EF!$H$84:$H$99,MATCH(Emissions!$D78,EF!$D$84:$D$99,0))*INDEX(EF!$H$100:$H$115,MATCH(Emissions!$D78,EF!$D$100:$D$115,0))*INDEX(EF!$H$132:$H$147,MATCH(Emissions!$D78,EF!$D$132:$D$147,0))*kgtoGg</f>
        <v>5.9841361300133206E-2</v>
      </c>
    </row>
    <row r="79" spans="1:68" x14ac:dyDescent="0.25">
      <c r="A79" t="str">
        <f t="shared" si="19"/>
        <v>3C Aggregated and non-CO2 emissions on land</v>
      </c>
      <c r="B79" t="str">
        <f t="shared" si="26"/>
        <v>3C1 Biomass burning (N2O)</v>
      </c>
      <c r="C79" t="str">
        <f t="shared" si="25"/>
        <v>3C1c Biomass burning in Grasslands</v>
      </c>
      <c r="D79" t="str">
        <f>EF!D109</f>
        <v>Grasslands</v>
      </c>
      <c r="E79" t="s">
        <v>734</v>
      </c>
      <c r="F79" t="str">
        <f t="shared" si="27"/>
        <v>N2O</v>
      </c>
      <c r="G79" t="str">
        <f t="shared" si="28"/>
        <v>Gg N2O</v>
      </c>
      <c r="H79" s="23">
        <f>INDEX('Activity data'!H$24:H$39,MATCH(Emissions!$D79,'Activity data'!$D$24:$D$39,0))*INDEX(EF!$H$84:$H$99,MATCH(Emissions!$D79,EF!$D$84:$D$99,0))*INDEX(EF!$H$100:$H$115,MATCH(Emissions!$D79,EF!$D$100:$D$115,0))*INDEX(EF!$H$132:$H$147,MATCH(Emissions!$D79,EF!$D$132:$D$147,0))*kgtoGg</f>
        <v>2.0559289182704736</v>
      </c>
      <c r="I79" s="23">
        <f>INDEX('Activity data'!I$24:I$39,MATCH(Emissions!$D79,'Activity data'!$D$24:$D$39,0))*INDEX(EF!$H$84:$H$99,MATCH(Emissions!$D79,EF!$D$84:$D$99,0))*INDEX(EF!$H$100:$H$115,MATCH(Emissions!$D79,EF!$D$100:$D$115,0))*INDEX(EF!$H$132:$H$147,MATCH(Emissions!$D79,EF!$D$132:$D$147,0))*kgtoGg</f>
        <v>2.0559289182704736</v>
      </c>
      <c r="J79" s="23">
        <f>INDEX('Activity data'!J$24:J$39,MATCH(Emissions!$D79,'Activity data'!$D$24:$D$39,0))*INDEX(EF!$H$84:$H$99,MATCH(Emissions!$D79,EF!$D$84:$D$99,0))*INDEX(EF!$H$100:$H$115,MATCH(Emissions!$D79,EF!$D$100:$D$115,0))*INDEX(EF!$H$132:$H$147,MATCH(Emissions!$D79,EF!$D$132:$D$147,0))*kgtoGg</f>
        <v>2.0559289182704736</v>
      </c>
      <c r="K79" s="23">
        <f>INDEX('Activity data'!K$24:K$39,MATCH(Emissions!$D79,'Activity data'!$D$24:$D$39,0))*INDEX(EF!$H$84:$H$99,MATCH(Emissions!$D79,EF!$D$84:$D$99,0))*INDEX(EF!$H$100:$H$115,MATCH(Emissions!$D79,EF!$D$100:$D$115,0))*INDEX(EF!$H$132:$H$147,MATCH(Emissions!$D79,EF!$D$132:$D$147,0))*kgtoGg</f>
        <v>2.0559289182704736</v>
      </c>
      <c r="L79" s="23">
        <f>INDEX('Activity data'!L$24:L$39,MATCH(Emissions!$D79,'Activity data'!$D$24:$D$39,0))*INDEX(EF!$H$84:$H$99,MATCH(Emissions!$D79,EF!$D$84:$D$99,0))*INDEX(EF!$H$100:$H$115,MATCH(Emissions!$D79,EF!$D$100:$D$115,0))*INDEX(EF!$H$132:$H$147,MATCH(Emissions!$D79,EF!$D$132:$D$147,0))*kgtoGg</f>
        <v>2.0559289182704736</v>
      </c>
      <c r="M79" s="23">
        <f>INDEX('Activity data'!M$24:M$39,MATCH(Emissions!$D79,'Activity data'!$D$24:$D$39,0))*INDEX(EF!$H$84:$H$99,MATCH(Emissions!$D79,EF!$D$84:$D$99,0))*INDEX(EF!$H$100:$H$115,MATCH(Emissions!$D79,EF!$D$100:$D$115,0))*INDEX(EF!$H$132:$H$147,MATCH(Emissions!$D79,EF!$D$132:$D$147,0))*kgtoGg</f>
        <v>2.0559289182704736</v>
      </c>
      <c r="N79" s="23">
        <f>INDEX('Activity data'!N$24:N$39,MATCH(Emissions!$D79,'Activity data'!$D$24:$D$39,0))*INDEX(EF!$H$84:$H$99,MATCH(Emissions!$D79,EF!$D$84:$D$99,0))*INDEX(EF!$H$100:$H$115,MATCH(Emissions!$D79,EF!$D$100:$D$115,0))*INDEX(EF!$H$132:$H$147,MATCH(Emissions!$D79,EF!$D$132:$D$147,0))*kgtoGg</f>
        <v>2.0559289182704736</v>
      </c>
      <c r="O79" s="23">
        <f>INDEX('Activity data'!O$24:O$39,MATCH(Emissions!$D79,'Activity data'!$D$24:$D$39,0))*INDEX(EF!$H$84:$H$99,MATCH(Emissions!$D79,EF!$D$84:$D$99,0))*INDEX(EF!$H$100:$H$115,MATCH(Emissions!$D79,EF!$D$100:$D$115,0))*INDEX(EF!$H$132:$H$147,MATCH(Emissions!$D79,EF!$D$132:$D$147,0))*kgtoGg</f>
        <v>2.0559289182704736</v>
      </c>
      <c r="P79" s="23">
        <f>INDEX('Activity data'!P$24:P$39,MATCH(Emissions!$D79,'Activity data'!$D$24:$D$39,0))*INDEX(EF!$H$84:$H$99,MATCH(Emissions!$D79,EF!$D$84:$D$99,0))*INDEX(EF!$H$100:$H$115,MATCH(Emissions!$D79,EF!$D$100:$D$115,0))*INDEX(EF!$H$132:$H$147,MATCH(Emissions!$D79,EF!$D$132:$D$147,0))*kgtoGg</f>
        <v>2.0559289182704736</v>
      </c>
      <c r="Q79" s="23">
        <f>INDEX('Activity data'!Q$24:Q$39,MATCH(Emissions!$D79,'Activity data'!$D$24:$D$39,0))*INDEX(EF!$H$84:$H$99,MATCH(Emissions!$D79,EF!$D$84:$D$99,0))*INDEX(EF!$H$100:$H$115,MATCH(Emissions!$D79,EF!$D$100:$D$115,0))*INDEX(EF!$H$132:$H$147,MATCH(Emissions!$D79,EF!$D$132:$D$147,0))*kgtoGg</f>
        <v>2.0559289182704736</v>
      </c>
      <c r="R79" s="23">
        <f>INDEX('Activity data'!R$24:R$39,MATCH(Emissions!$D79,'Activity data'!$D$24:$D$39,0))*INDEX(EF!$H$84:$H$99,MATCH(Emissions!$D79,EF!$D$84:$D$99,0))*INDEX(EF!$H$100:$H$115,MATCH(Emissions!$D79,EF!$D$100:$D$115,0))*INDEX(EF!$H$132:$H$147,MATCH(Emissions!$D79,EF!$D$132:$D$147,0))*kgtoGg</f>
        <v>2.0422883654275221</v>
      </c>
      <c r="S79" s="23">
        <f>INDEX('Activity data'!S$24:S$39,MATCH(Emissions!$D79,'Activity data'!$D$24:$D$39,0))*INDEX(EF!$H$84:$H$99,MATCH(Emissions!$D79,EF!$D$84:$D$99,0))*INDEX(EF!$H$100:$H$115,MATCH(Emissions!$D79,EF!$D$100:$D$115,0))*INDEX(EF!$H$132:$H$147,MATCH(Emissions!$D79,EF!$D$132:$D$147,0))*kgtoGg</f>
        <v>2.3356218386669245</v>
      </c>
      <c r="T79" s="23">
        <f>INDEX('Activity data'!T$24:T$39,MATCH(Emissions!$D79,'Activity data'!$D$24:$D$39,0))*INDEX(EF!$H$84:$H$99,MATCH(Emissions!$D79,EF!$D$84:$D$99,0))*INDEX(EF!$H$100:$H$115,MATCH(Emissions!$D79,EF!$D$100:$D$115,0))*INDEX(EF!$H$132:$H$147,MATCH(Emissions!$D79,EF!$D$132:$D$147,0))*kgtoGg</f>
        <v>2.3760706670797545</v>
      </c>
      <c r="U79" s="23">
        <f>INDEX('Activity data'!U$24:U$39,MATCH(Emissions!$D79,'Activity data'!$D$24:$D$39,0))*INDEX(EF!$H$84:$H$99,MATCH(Emissions!$D79,EF!$D$84:$D$99,0))*INDEX(EF!$H$100:$H$115,MATCH(Emissions!$D79,EF!$D$100:$D$115,0))*INDEX(EF!$H$132:$H$147,MATCH(Emissions!$D79,EF!$D$132:$D$147,0))*kgtoGg</f>
        <v>1.9071940465634558</v>
      </c>
      <c r="V79" s="23">
        <f>INDEX('Activity data'!V$24:V$39,MATCH(Emissions!$D79,'Activity data'!$D$24:$D$39,0))*INDEX(EF!$H$84:$H$99,MATCH(Emissions!$D79,EF!$D$84:$D$99,0))*INDEX(EF!$H$100:$H$115,MATCH(Emissions!$D79,EF!$D$100:$D$115,0))*INDEX(EF!$H$132:$H$147,MATCH(Emissions!$D79,EF!$D$132:$D$147,0))*kgtoGg</f>
        <v>1.6184696736147095</v>
      </c>
      <c r="W79" s="23">
        <f>INDEX('Activity data'!W$24:W$39,MATCH(Emissions!$D79,'Activity data'!$D$24:$D$39,0))*INDEX(EF!$H$84:$H$99,MATCH(Emissions!$D79,EF!$D$84:$D$99,0))*INDEX(EF!$H$100:$H$115,MATCH(Emissions!$D79,EF!$D$100:$D$115,0))*INDEX(EF!$H$132:$H$147,MATCH(Emissions!$D79,EF!$D$132:$D$147,0))*kgtoGg</f>
        <v>2.5143834094226407</v>
      </c>
      <c r="X79" s="23">
        <f>INDEX('Activity data'!X$24:X$39,MATCH(Emissions!$D79,'Activity data'!$D$24:$D$39,0))*INDEX(EF!$H$84:$H$99,MATCH(Emissions!$D79,EF!$D$84:$D$99,0))*INDEX(EF!$H$100:$H$115,MATCH(Emissions!$D79,EF!$D$100:$D$115,0))*INDEX(EF!$H$132:$H$147,MATCH(Emissions!$D79,EF!$D$132:$D$147,0))*kgtoGg</f>
        <v>2.2148912245879653</v>
      </c>
      <c r="Y79" s="23">
        <f>INDEX('Activity data'!Y$24:Y$39,MATCH(Emissions!$D79,'Activity data'!$D$24:$D$39,0))*INDEX(EF!$H$84:$H$99,MATCH(Emissions!$D79,EF!$D$84:$D$99,0))*INDEX(EF!$H$100:$H$115,MATCH(Emissions!$D79,EF!$D$100:$D$115,0))*INDEX(EF!$H$132:$H$147,MATCH(Emissions!$D79,EF!$D$132:$D$147,0))*kgtoGg</f>
        <v>2.0867105561598827</v>
      </c>
      <c r="Z79" s="23">
        <f>INDEX('Activity data'!Z$24:Z$39,MATCH(Emissions!$D79,'Activity data'!$D$24:$D$39,0))*INDEX(EF!$H$84:$H$99,MATCH(Emissions!$D79,EF!$D$84:$D$99,0))*INDEX(EF!$H$100:$H$115,MATCH(Emissions!$D79,EF!$D$100:$D$115,0))*INDEX(EF!$H$132:$H$147,MATCH(Emissions!$D79,EF!$D$132:$D$147,0))*kgtoGg</f>
        <v>1.9391398796124881</v>
      </c>
      <c r="AA79" s="23">
        <f>INDEX('Activity data'!AA$24:AA$39,MATCH(Emissions!$D79,'Activity data'!$D$24:$D$39,0))*INDEX(EF!$H$84:$H$99,MATCH(Emissions!$D79,EF!$D$84:$D$99,0))*INDEX(EF!$H$100:$H$115,MATCH(Emissions!$D79,EF!$D$100:$D$115,0))*INDEX(EF!$H$132:$H$147,MATCH(Emissions!$D79,EF!$D$132:$D$147,0))*kgtoGg</f>
        <v>2.0058724997690169</v>
      </c>
      <c r="AB79" s="23">
        <f>INDEX('Activity data'!AB$24:AB$39,MATCH(Emissions!$D79,'Activity data'!$D$24:$D$39,0))*INDEX(EF!$H$84:$H$99,MATCH(Emissions!$D79,EF!$D$84:$D$99,0))*INDEX(EF!$H$100:$H$115,MATCH(Emissions!$D79,EF!$D$100:$D$115,0))*INDEX(EF!$H$132:$H$147,MATCH(Emissions!$D79,EF!$D$132:$D$147,0))*kgtoGg</f>
        <v>1.7294926458599997</v>
      </c>
      <c r="AC79" s="23">
        <f>INDEX('Activity data'!AC$24:AC$39,MATCH(Emissions!$D79,'Activity data'!$D$24:$D$39,0))*INDEX(EF!$H$84:$H$99,MATCH(Emissions!$D79,EF!$D$84:$D$99,0))*INDEX(EF!$H$100:$H$115,MATCH(Emissions!$D79,EF!$D$100:$D$115,0))*INDEX(EF!$H$132:$H$147,MATCH(Emissions!$D79,EF!$D$132:$D$147,0))*kgtoGg</f>
        <v>1.7569372791599995</v>
      </c>
      <c r="AD79" s="23">
        <f>INDEX('Activity data'!AD$24:AD$39,MATCH(Emissions!$D79,'Activity data'!$D$24:$D$39,0))*INDEX(EF!$H$84:$H$99,MATCH(Emissions!$D79,EF!$D$84:$D$99,0))*INDEX(EF!$H$100:$H$115,MATCH(Emissions!$D79,EF!$D$100:$D$115,0))*INDEX(EF!$H$132:$H$147,MATCH(Emissions!$D79,EF!$D$132:$D$147,0))*kgtoGg</f>
        <v>1.4641650260999997</v>
      </c>
      <c r="AE79" s="23">
        <f>INDEX('Activity data'!AE$24:AE$39,MATCH(Emissions!$D79,'Activity data'!$D$24:$D$39,0))*INDEX(EF!$H$84:$H$99,MATCH(Emissions!$D79,EF!$D$84:$D$99,0))*INDEX(EF!$H$100:$H$115,MATCH(Emissions!$D79,EF!$D$100:$D$115,0))*INDEX(EF!$H$132:$H$147,MATCH(Emissions!$D79,EF!$D$132:$D$147,0))*kgtoGg</f>
        <v>1.7652235173299999</v>
      </c>
      <c r="AF79" s="23">
        <f>INDEX('Activity data'!AF$24:AF$39,MATCH(Emissions!$D79,'Activity data'!$D$24:$D$39,0))*INDEX(EF!$H$84:$H$99,MATCH(Emissions!$D79,EF!$D$84:$D$99,0))*INDEX(EF!$H$100:$H$115,MATCH(Emissions!$D79,EF!$D$100:$D$115,0))*INDEX(EF!$H$132:$H$147,MATCH(Emissions!$D79,EF!$D$132:$D$147,0))*kgtoGg</f>
        <v>1.5663457422899998</v>
      </c>
      <c r="AG79" s="23">
        <f>INDEX('Activity data'!AG$24:AG$39,MATCH(Emissions!$D79,'Activity data'!$D$24:$D$39,0))*INDEX(EF!$H$84:$H$99,MATCH(Emissions!$D79,EF!$D$84:$D$99,0))*INDEX(EF!$H$100:$H$115,MATCH(Emissions!$D79,EF!$D$100:$D$115,0))*INDEX(EF!$H$132:$H$147,MATCH(Emissions!$D79,EF!$D$132:$D$147,0))*kgtoGg</f>
        <v>1.1212821597599996</v>
      </c>
      <c r="AH79" s="23">
        <f>INDEX('Activity data'!AH$24:AH$39,MATCH(Emissions!$D79,'Activity data'!$D$24:$D$39,0))*INDEX(EF!$H$84:$H$99,MATCH(Emissions!$D79,EF!$D$84:$D$99,0))*INDEX(EF!$H$100:$H$115,MATCH(Emissions!$D79,EF!$D$100:$D$115,0))*INDEX(EF!$H$132:$H$147,MATCH(Emissions!$D79,EF!$D$132:$D$147,0))*kgtoGg</f>
        <v>0.62979741782999987</v>
      </c>
      <c r="AI79" s="23">
        <f>INDEX('Activity data'!AI$24:AI$39,MATCH(Emissions!$D79,'Activity data'!$D$24:$D$39,0))*INDEX(EF!$H$84:$H$99,MATCH(Emissions!$D79,EF!$D$84:$D$99,0))*INDEX(EF!$H$100:$H$115,MATCH(Emissions!$D79,EF!$D$100:$D$115,0))*INDEX(EF!$H$132:$H$147,MATCH(Emissions!$D79,EF!$D$132:$D$147,0))*kgtoGg</f>
        <v>0.6185397481199999</v>
      </c>
      <c r="AJ79" s="23">
        <f>INDEX('Activity data'!AJ$24:AJ$39,MATCH(Emissions!$D79,'Activity data'!$D$24:$D$39,0))*INDEX(EF!$H$84:$H$99,MATCH(Emissions!$D79,EF!$D$84:$D$99,0))*INDEX(EF!$H$100:$H$115,MATCH(Emissions!$D79,EF!$D$100:$D$115,0))*INDEX(EF!$H$132:$H$147,MATCH(Emissions!$D79,EF!$D$132:$D$147,0))*kgtoGg</f>
        <v>2.6757786446549265</v>
      </c>
      <c r="AK79" s="23">
        <f>INDEX('Activity data'!AK$24:AK$39,MATCH(Emissions!$D79,'Activity data'!$D$24:$D$39,0))*INDEX(EF!$H$84:$H$99,MATCH(Emissions!$D79,EF!$D$84:$D$99,0))*INDEX(EF!$H$100:$H$115,MATCH(Emissions!$D79,EF!$D$100:$D$115,0))*INDEX(EF!$H$132:$H$147,MATCH(Emissions!$D79,EF!$D$132:$D$147,0))*kgtoGg</f>
        <v>2.7068635278604778</v>
      </c>
      <c r="AL79" s="23">
        <f>INDEX('Activity data'!AL$24:AL$39,MATCH(Emissions!$D79,'Activity data'!$D$24:$D$39,0))*INDEX(EF!$H$84:$H$99,MATCH(Emissions!$D79,EF!$D$84:$D$99,0))*INDEX(EF!$H$100:$H$115,MATCH(Emissions!$D79,EF!$D$100:$D$115,0))*INDEX(EF!$H$132:$H$147,MATCH(Emissions!$D79,EF!$D$132:$D$147,0))*kgtoGg</f>
        <v>2.7379484110660295</v>
      </c>
      <c r="AM79" s="23">
        <f>INDEX('Activity data'!AM$24:AM$39,MATCH(Emissions!$D79,'Activity data'!$D$24:$D$39,0))*INDEX(EF!$H$84:$H$99,MATCH(Emissions!$D79,EF!$D$84:$D$99,0))*INDEX(EF!$H$100:$H$115,MATCH(Emissions!$D79,EF!$D$100:$D$115,0))*INDEX(EF!$H$132:$H$147,MATCH(Emissions!$D79,EF!$D$132:$D$147,0))*kgtoGg</f>
        <v>2.7690332942715798</v>
      </c>
      <c r="AN79" s="23">
        <f>INDEX('Activity data'!AN$24:AN$39,MATCH(Emissions!$D79,'Activity data'!$D$24:$D$39,0))*INDEX(EF!$H$84:$H$99,MATCH(Emissions!$D79,EF!$D$84:$D$99,0))*INDEX(EF!$H$100:$H$115,MATCH(Emissions!$D79,EF!$D$100:$D$115,0))*INDEX(EF!$H$132:$H$147,MATCH(Emissions!$D79,EF!$D$132:$D$147,0))*kgtoGg</f>
        <v>2.8001181774771315</v>
      </c>
      <c r="AO79" s="23">
        <f>INDEX('Activity data'!AO$24:AO$39,MATCH(Emissions!$D79,'Activity data'!$D$24:$D$39,0))*INDEX(EF!$H$84:$H$99,MATCH(Emissions!$D79,EF!$D$84:$D$99,0))*INDEX(EF!$H$100:$H$115,MATCH(Emissions!$D79,EF!$D$100:$D$115,0))*INDEX(EF!$H$132:$H$147,MATCH(Emissions!$D79,EF!$D$132:$D$147,0))*kgtoGg</f>
        <v>2.8312030606826828</v>
      </c>
      <c r="AP79" s="23">
        <f>INDEX('Activity data'!AP$24:AP$39,MATCH(Emissions!$D79,'Activity data'!$D$24:$D$39,0))*INDEX(EF!$H$84:$H$99,MATCH(Emissions!$D79,EF!$D$84:$D$99,0))*INDEX(EF!$H$100:$H$115,MATCH(Emissions!$D79,EF!$D$100:$D$115,0))*INDEX(EF!$H$132:$H$147,MATCH(Emissions!$D79,EF!$D$132:$D$147,0))*kgtoGg</f>
        <v>2.862287943888234</v>
      </c>
      <c r="AQ79" s="23">
        <f>INDEX('Activity data'!AQ$24:AQ$39,MATCH(Emissions!$D79,'Activity data'!$D$24:$D$39,0))*INDEX(EF!$H$84:$H$99,MATCH(Emissions!$D79,EF!$D$84:$D$99,0))*INDEX(EF!$H$100:$H$115,MATCH(Emissions!$D79,EF!$D$100:$D$115,0))*INDEX(EF!$H$132:$H$147,MATCH(Emissions!$D79,EF!$D$132:$D$147,0))*kgtoGg</f>
        <v>2.8933728270937844</v>
      </c>
      <c r="AR79" s="23">
        <f>INDEX('Activity data'!AR$24:AR$39,MATCH(Emissions!$D79,'Activity data'!$D$24:$D$39,0))*INDEX(EF!$H$84:$H$99,MATCH(Emissions!$D79,EF!$D$84:$D$99,0))*INDEX(EF!$H$100:$H$115,MATCH(Emissions!$D79,EF!$D$100:$D$115,0))*INDEX(EF!$H$132:$H$147,MATCH(Emissions!$D79,EF!$D$132:$D$147,0))*kgtoGg</f>
        <v>2.9244577102993361</v>
      </c>
      <c r="AS79" s="23">
        <f>INDEX('Activity data'!AS$24:AS$39,MATCH(Emissions!$D79,'Activity data'!$D$24:$D$39,0))*INDEX(EF!$H$84:$H$99,MATCH(Emissions!$D79,EF!$D$84:$D$99,0))*INDEX(EF!$H$100:$H$115,MATCH(Emissions!$D79,EF!$D$100:$D$115,0))*INDEX(EF!$H$132:$H$147,MATCH(Emissions!$D79,EF!$D$132:$D$147,0))*kgtoGg</f>
        <v>2.9555425935048869</v>
      </c>
      <c r="AT79" s="23">
        <f>INDEX('Activity data'!AT$24:AT$39,MATCH(Emissions!$D79,'Activity data'!$D$24:$D$39,0))*INDEX(EF!$H$84:$H$99,MATCH(Emissions!$D79,EF!$D$84:$D$99,0))*INDEX(EF!$H$100:$H$115,MATCH(Emissions!$D79,EF!$D$100:$D$115,0))*INDEX(EF!$H$132:$H$147,MATCH(Emissions!$D79,EF!$D$132:$D$147,0))*kgtoGg</f>
        <v>2.9866274767104382</v>
      </c>
      <c r="AU79" s="23">
        <f>INDEX('Activity data'!AU$24:AU$39,MATCH(Emissions!$D79,'Activity data'!$D$24:$D$39,0))*INDEX(EF!$H$84:$H$99,MATCH(Emissions!$D79,EF!$D$84:$D$99,0))*INDEX(EF!$H$100:$H$115,MATCH(Emissions!$D79,EF!$D$100:$D$115,0))*INDEX(EF!$H$132:$H$147,MATCH(Emissions!$D79,EF!$D$132:$D$147,0))*kgtoGg</f>
        <v>3.0177123599159894</v>
      </c>
      <c r="AV79" s="23">
        <f>INDEX('Activity data'!AV$24:AV$39,MATCH(Emissions!$D79,'Activity data'!$D$24:$D$39,0))*INDEX(EF!$H$84:$H$99,MATCH(Emissions!$D79,EF!$D$84:$D$99,0))*INDEX(EF!$H$100:$H$115,MATCH(Emissions!$D79,EF!$D$100:$D$115,0))*INDEX(EF!$H$132:$H$147,MATCH(Emissions!$D79,EF!$D$132:$D$147,0))*kgtoGg</f>
        <v>3.0487972431215407</v>
      </c>
      <c r="AW79" s="23">
        <f>INDEX('Activity data'!AW$24:AW$39,MATCH(Emissions!$D79,'Activity data'!$D$24:$D$39,0))*INDEX(EF!$H$84:$H$99,MATCH(Emissions!$D79,EF!$D$84:$D$99,0))*INDEX(EF!$H$100:$H$115,MATCH(Emissions!$D79,EF!$D$100:$D$115,0))*INDEX(EF!$H$132:$H$147,MATCH(Emissions!$D79,EF!$D$132:$D$147,0))*kgtoGg</f>
        <v>3.0798821263270924</v>
      </c>
      <c r="AX79" s="23">
        <f>INDEX('Activity data'!AX$24:AX$39,MATCH(Emissions!$D79,'Activity data'!$D$24:$D$39,0))*INDEX(EF!$H$84:$H$99,MATCH(Emissions!$D79,EF!$D$84:$D$99,0))*INDEX(EF!$H$100:$H$115,MATCH(Emissions!$D79,EF!$D$100:$D$115,0))*INDEX(EF!$H$132:$H$147,MATCH(Emissions!$D79,EF!$D$132:$D$147,0))*kgtoGg</f>
        <v>3.1109670095326432</v>
      </c>
      <c r="AY79" s="23">
        <f>INDEX('Activity data'!AY$24:AY$39,MATCH(Emissions!$D79,'Activity data'!$D$24:$D$39,0))*INDEX(EF!$H$84:$H$99,MATCH(Emissions!$D79,EF!$D$84:$D$99,0))*INDEX(EF!$H$100:$H$115,MATCH(Emissions!$D79,EF!$D$100:$D$115,0))*INDEX(EF!$H$132:$H$147,MATCH(Emissions!$D79,EF!$D$132:$D$147,0))*kgtoGg</f>
        <v>3.1420518927381949</v>
      </c>
      <c r="AZ79" s="23">
        <f>INDEX('Activity data'!AZ$24:AZ$39,MATCH(Emissions!$D79,'Activity data'!$D$24:$D$39,0))*INDEX(EF!$H$84:$H$99,MATCH(Emissions!$D79,EF!$D$84:$D$99,0))*INDEX(EF!$H$100:$H$115,MATCH(Emissions!$D79,EF!$D$100:$D$115,0))*INDEX(EF!$H$132:$H$147,MATCH(Emissions!$D79,EF!$D$132:$D$147,0))*kgtoGg</f>
        <v>3.173136775943747</v>
      </c>
      <c r="BA79" s="23">
        <f>INDEX('Activity data'!BA$24:BA$39,MATCH(Emissions!$D79,'Activity data'!$D$24:$D$39,0))*INDEX(EF!$H$84:$H$99,MATCH(Emissions!$D79,EF!$D$84:$D$99,0))*INDEX(EF!$H$100:$H$115,MATCH(Emissions!$D79,EF!$D$100:$D$115,0))*INDEX(EF!$H$132:$H$147,MATCH(Emissions!$D79,EF!$D$132:$D$147,0))*kgtoGg</f>
        <v>3.2042216591492982</v>
      </c>
      <c r="BB79" s="23">
        <f>INDEX('Activity data'!BB$24:BB$39,MATCH(Emissions!$D79,'Activity data'!$D$24:$D$39,0))*INDEX(EF!$H$84:$H$99,MATCH(Emissions!$D79,EF!$D$84:$D$99,0))*INDEX(EF!$H$100:$H$115,MATCH(Emissions!$D79,EF!$D$100:$D$115,0))*INDEX(EF!$H$132:$H$147,MATCH(Emissions!$D79,EF!$D$132:$D$147,0))*kgtoGg</f>
        <v>3.2353065423548499</v>
      </c>
      <c r="BC79" s="23">
        <f>INDEX('Activity data'!BC$24:BC$39,MATCH(Emissions!$D79,'Activity data'!$D$24:$D$39,0))*INDEX(EF!$H$84:$H$99,MATCH(Emissions!$D79,EF!$D$84:$D$99,0))*INDEX(EF!$H$100:$H$115,MATCH(Emissions!$D79,EF!$D$100:$D$115,0))*INDEX(EF!$H$132:$H$147,MATCH(Emissions!$D79,EF!$D$132:$D$147,0))*kgtoGg</f>
        <v>3.2663914255604021</v>
      </c>
      <c r="BD79" s="23">
        <f>INDEX('Activity data'!BD$24:BD$39,MATCH(Emissions!$D79,'Activity data'!$D$24:$D$39,0))*INDEX(EF!$H$84:$H$99,MATCH(Emissions!$D79,EF!$D$84:$D$99,0))*INDEX(EF!$H$100:$H$115,MATCH(Emissions!$D79,EF!$D$100:$D$115,0))*INDEX(EF!$H$132:$H$147,MATCH(Emissions!$D79,EF!$D$132:$D$147,0))*kgtoGg</f>
        <v>3.2974763087659533</v>
      </c>
      <c r="BE79" s="23">
        <f>INDEX('Activity data'!BE$24:BE$39,MATCH(Emissions!$D79,'Activity data'!$D$24:$D$39,0))*INDEX(EF!$H$84:$H$99,MATCH(Emissions!$D79,EF!$D$84:$D$99,0))*INDEX(EF!$H$100:$H$115,MATCH(Emissions!$D79,EF!$D$100:$D$115,0))*INDEX(EF!$H$132:$H$147,MATCH(Emissions!$D79,EF!$D$132:$D$147,0))*kgtoGg</f>
        <v>3.328561191971505</v>
      </c>
      <c r="BF79" s="23">
        <f>INDEX('Activity data'!BF$24:BF$39,MATCH(Emissions!$D79,'Activity data'!$D$24:$D$39,0))*INDEX(EF!$H$84:$H$99,MATCH(Emissions!$D79,EF!$D$84:$D$99,0))*INDEX(EF!$H$100:$H$115,MATCH(Emissions!$D79,EF!$D$100:$D$115,0))*INDEX(EF!$H$132:$H$147,MATCH(Emissions!$D79,EF!$D$132:$D$147,0))*kgtoGg</f>
        <v>3.3596460751770572</v>
      </c>
      <c r="BG79" s="23">
        <f>INDEX('Activity data'!BG$24:BG$39,MATCH(Emissions!$D79,'Activity data'!$D$24:$D$39,0))*INDEX(EF!$H$84:$H$99,MATCH(Emissions!$D79,EF!$D$84:$D$99,0))*INDEX(EF!$H$100:$H$115,MATCH(Emissions!$D79,EF!$D$100:$D$115,0))*INDEX(EF!$H$132:$H$147,MATCH(Emissions!$D79,EF!$D$132:$D$147,0))*kgtoGg</f>
        <v>3.3907309583826084</v>
      </c>
      <c r="BH79" s="23">
        <f>INDEX('Activity data'!BH$24:BH$39,MATCH(Emissions!$D79,'Activity data'!$D$24:$D$39,0))*INDEX(EF!$H$84:$H$99,MATCH(Emissions!$D79,EF!$D$84:$D$99,0))*INDEX(EF!$H$100:$H$115,MATCH(Emissions!$D79,EF!$D$100:$D$115,0))*INDEX(EF!$H$132:$H$147,MATCH(Emissions!$D79,EF!$D$132:$D$147,0))*kgtoGg</f>
        <v>3.4218158415881597</v>
      </c>
      <c r="BI79" s="23">
        <f>INDEX('Activity data'!BI$24:BI$39,MATCH(Emissions!$D79,'Activity data'!$D$24:$D$39,0))*INDEX(EF!$H$84:$H$99,MATCH(Emissions!$D79,EF!$D$84:$D$99,0))*INDEX(EF!$H$100:$H$115,MATCH(Emissions!$D79,EF!$D$100:$D$115,0))*INDEX(EF!$H$132:$H$147,MATCH(Emissions!$D79,EF!$D$132:$D$147,0))*kgtoGg</f>
        <v>3.4529007247937118</v>
      </c>
      <c r="BJ79" s="23">
        <f>INDEX('Activity data'!BJ$24:BJ$39,MATCH(Emissions!$D79,'Activity data'!$D$24:$D$39,0))*INDEX(EF!$H$84:$H$99,MATCH(Emissions!$D79,EF!$D$84:$D$99,0))*INDEX(EF!$H$100:$H$115,MATCH(Emissions!$D79,EF!$D$100:$D$115,0))*INDEX(EF!$H$132:$H$147,MATCH(Emissions!$D79,EF!$D$132:$D$147,0))*kgtoGg</f>
        <v>3.483985607999263</v>
      </c>
      <c r="BK79" s="23">
        <f>INDEX('Activity data'!BK$24:BK$39,MATCH(Emissions!$D79,'Activity data'!$D$24:$D$39,0))*INDEX(EF!$H$84:$H$99,MATCH(Emissions!$D79,EF!$D$84:$D$99,0))*INDEX(EF!$H$100:$H$115,MATCH(Emissions!$D79,EF!$D$100:$D$115,0))*INDEX(EF!$H$132:$H$147,MATCH(Emissions!$D79,EF!$D$132:$D$147,0))*kgtoGg</f>
        <v>3.5150704912048147</v>
      </c>
      <c r="BL79" s="23">
        <f>INDEX('Activity data'!BL$24:BL$39,MATCH(Emissions!$D79,'Activity data'!$D$24:$D$39,0))*INDEX(EF!$H$84:$H$99,MATCH(Emissions!$D79,EF!$D$84:$D$99,0))*INDEX(EF!$H$100:$H$115,MATCH(Emissions!$D79,EF!$D$100:$D$115,0))*INDEX(EF!$H$132:$H$147,MATCH(Emissions!$D79,EF!$D$132:$D$147,0))*kgtoGg</f>
        <v>3.5461553744103669</v>
      </c>
      <c r="BM79" s="23">
        <f>INDEX('Activity data'!BM$24:BM$39,MATCH(Emissions!$D79,'Activity data'!$D$24:$D$39,0))*INDEX(EF!$H$84:$H$99,MATCH(Emissions!$D79,EF!$D$84:$D$99,0))*INDEX(EF!$H$100:$H$115,MATCH(Emissions!$D79,EF!$D$100:$D$115,0))*INDEX(EF!$H$132:$H$147,MATCH(Emissions!$D79,EF!$D$132:$D$147,0))*kgtoGg</f>
        <v>3.5772402576159181</v>
      </c>
      <c r="BN79" s="23">
        <f>INDEX('Activity data'!BN$24:BN$39,MATCH(Emissions!$D79,'Activity data'!$D$24:$D$39,0))*INDEX(EF!$H$84:$H$99,MATCH(Emissions!$D79,EF!$D$84:$D$99,0))*INDEX(EF!$H$100:$H$115,MATCH(Emissions!$D79,EF!$D$100:$D$115,0))*INDEX(EF!$H$132:$H$147,MATCH(Emissions!$D79,EF!$D$132:$D$147,0))*kgtoGg</f>
        <v>3.6083251408214703</v>
      </c>
      <c r="BO79" s="23">
        <f>INDEX('Activity data'!BO$24:BO$39,MATCH(Emissions!$D79,'Activity data'!$D$24:$D$39,0))*INDEX(EF!$H$84:$H$99,MATCH(Emissions!$D79,EF!$D$84:$D$99,0))*INDEX(EF!$H$100:$H$115,MATCH(Emissions!$D79,EF!$D$100:$D$115,0))*INDEX(EF!$H$132:$H$147,MATCH(Emissions!$D79,EF!$D$132:$D$147,0))*kgtoGg</f>
        <v>3.6394100240270211</v>
      </c>
      <c r="BP79" s="23">
        <f>INDEX('Activity data'!BP$24:BP$39,MATCH(Emissions!$D79,'Activity data'!$D$24:$D$39,0))*INDEX(EF!$H$84:$H$99,MATCH(Emissions!$D79,EF!$D$84:$D$99,0))*INDEX(EF!$H$100:$H$115,MATCH(Emissions!$D79,EF!$D$100:$D$115,0))*INDEX(EF!$H$132:$H$147,MATCH(Emissions!$D79,EF!$D$132:$D$147,0))*kgtoGg</f>
        <v>3.6704949072325719</v>
      </c>
    </row>
    <row r="80" spans="1:68" x14ac:dyDescent="0.25">
      <c r="A80" t="str">
        <f t="shared" si="19"/>
        <v>3C Aggregated and non-CO2 emissions on land</v>
      </c>
      <c r="B80" t="str">
        <f t="shared" si="26"/>
        <v>3C1 Biomass burning (N2O)</v>
      </c>
      <c r="C80" t="str">
        <f t="shared" si="25"/>
        <v>3C1c Biomass burning in Grasslands</v>
      </c>
      <c r="D80" t="str">
        <f>EF!D110</f>
        <v>Low shrublands</v>
      </c>
      <c r="E80" t="s">
        <v>735</v>
      </c>
      <c r="F80" t="str">
        <f t="shared" si="27"/>
        <v>N2O</v>
      </c>
      <c r="G80" t="str">
        <f t="shared" si="28"/>
        <v>Gg N2O</v>
      </c>
      <c r="H80" s="23">
        <f>INDEX('Activity data'!H$24:H$39,MATCH(Emissions!$D80,'Activity data'!$D$24:$D$39,0))*INDEX(EF!$H$84:$H$99,MATCH(Emissions!$D80,EF!$D$84:$D$99,0))*INDEX(EF!$H$100:$H$115,MATCH(Emissions!$D80,EF!$D$100:$D$115,0))*INDEX(EF!$H$132:$H$147,MATCH(Emissions!$D80,EF!$D$132:$D$147,0))*kgtoGg</f>
        <v>0.10138378574782032</v>
      </c>
      <c r="I80" s="23">
        <f>INDEX('Activity data'!I$24:I$39,MATCH(Emissions!$D80,'Activity data'!$D$24:$D$39,0))*INDEX(EF!$H$84:$H$99,MATCH(Emissions!$D80,EF!$D$84:$D$99,0))*INDEX(EF!$H$100:$H$115,MATCH(Emissions!$D80,EF!$D$100:$D$115,0))*INDEX(EF!$H$132:$H$147,MATCH(Emissions!$D80,EF!$D$132:$D$147,0))*kgtoGg</f>
        <v>0.10138378574782032</v>
      </c>
      <c r="J80" s="23">
        <f>INDEX('Activity data'!J$24:J$39,MATCH(Emissions!$D80,'Activity data'!$D$24:$D$39,0))*INDEX(EF!$H$84:$H$99,MATCH(Emissions!$D80,EF!$D$84:$D$99,0))*INDEX(EF!$H$100:$H$115,MATCH(Emissions!$D80,EF!$D$100:$D$115,0))*INDEX(EF!$H$132:$H$147,MATCH(Emissions!$D80,EF!$D$132:$D$147,0))*kgtoGg</f>
        <v>0.10138378574782032</v>
      </c>
      <c r="K80" s="23">
        <f>INDEX('Activity data'!K$24:K$39,MATCH(Emissions!$D80,'Activity data'!$D$24:$D$39,0))*INDEX(EF!$H$84:$H$99,MATCH(Emissions!$D80,EF!$D$84:$D$99,0))*INDEX(EF!$H$100:$H$115,MATCH(Emissions!$D80,EF!$D$100:$D$115,0))*INDEX(EF!$H$132:$H$147,MATCH(Emissions!$D80,EF!$D$132:$D$147,0))*kgtoGg</f>
        <v>0.10138378574782032</v>
      </c>
      <c r="L80" s="23">
        <f>INDEX('Activity data'!L$24:L$39,MATCH(Emissions!$D80,'Activity data'!$D$24:$D$39,0))*INDEX(EF!$H$84:$H$99,MATCH(Emissions!$D80,EF!$D$84:$D$99,0))*INDEX(EF!$H$100:$H$115,MATCH(Emissions!$D80,EF!$D$100:$D$115,0))*INDEX(EF!$H$132:$H$147,MATCH(Emissions!$D80,EF!$D$132:$D$147,0))*kgtoGg</f>
        <v>0.10138378574782032</v>
      </c>
      <c r="M80" s="23">
        <f>INDEX('Activity data'!M$24:M$39,MATCH(Emissions!$D80,'Activity data'!$D$24:$D$39,0))*INDEX(EF!$H$84:$H$99,MATCH(Emissions!$D80,EF!$D$84:$D$99,0))*INDEX(EF!$H$100:$H$115,MATCH(Emissions!$D80,EF!$D$100:$D$115,0))*INDEX(EF!$H$132:$H$147,MATCH(Emissions!$D80,EF!$D$132:$D$147,0))*kgtoGg</f>
        <v>0.10138378574782032</v>
      </c>
      <c r="N80" s="23">
        <f>INDEX('Activity data'!N$24:N$39,MATCH(Emissions!$D80,'Activity data'!$D$24:$D$39,0))*INDEX(EF!$H$84:$H$99,MATCH(Emissions!$D80,EF!$D$84:$D$99,0))*INDEX(EF!$H$100:$H$115,MATCH(Emissions!$D80,EF!$D$100:$D$115,0))*INDEX(EF!$H$132:$H$147,MATCH(Emissions!$D80,EF!$D$132:$D$147,0))*kgtoGg</f>
        <v>0.10138378574782032</v>
      </c>
      <c r="O80" s="23">
        <f>INDEX('Activity data'!O$24:O$39,MATCH(Emissions!$D80,'Activity data'!$D$24:$D$39,0))*INDEX(EF!$H$84:$H$99,MATCH(Emissions!$D80,EF!$D$84:$D$99,0))*INDEX(EF!$H$100:$H$115,MATCH(Emissions!$D80,EF!$D$100:$D$115,0))*INDEX(EF!$H$132:$H$147,MATCH(Emissions!$D80,EF!$D$132:$D$147,0))*kgtoGg</f>
        <v>0.10138378574782032</v>
      </c>
      <c r="P80" s="23">
        <f>INDEX('Activity data'!P$24:P$39,MATCH(Emissions!$D80,'Activity data'!$D$24:$D$39,0))*INDEX(EF!$H$84:$H$99,MATCH(Emissions!$D80,EF!$D$84:$D$99,0))*INDEX(EF!$H$100:$H$115,MATCH(Emissions!$D80,EF!$D$100:$D$115,0))*INDEX(EF!$H$132:$H$147,MATCH(Emissions!$D80,EF!$D$132:$D$147,0))*kgtoGg</f>
        <v>0.10138378574782032</v>
      </c>
      <c r="Q80" s="23">
        <f>INDEX('Activity data'!Q$24:Q$39,MATCH(Emissions!$D80,'Activity data'!$D$24:$D$39,0))*INDEX(EF!$H$84:$H$99,MATCH(Emissions!$D80,EF!$D$84:$D$99,0))*INDEX(EF!$H$100:$H$115,MATCH(Emissions!$D80,EF!$D$100:$D$115,0))*INDEX(EF!$H$132:$H$147,MATCH(Emissions!$D80,EF!$D$132:$D$147,0))*kgtoGg</f>
        <v>0.10138378574782032</v>
      </c>
      <c r="R80" s="23">
        <f>INDEX('Activity data'!R$24:R$39,MATCH(Emissions!$D80,'Activity data'!$D$24:$D$39,0))*INDEX(EF!$H$84:$H$99,MATCH(Emissions!$D80,EF!$D$84:$D$99,0))*INDEX(EF!$H$100:$H$115,MATCH(Emissions!$D80,EF!$D$100:$D$115,0))*INDEX(EF!$H$132:$H$147,MATCH(Emissions!$D80,EF!$D$132:$D$147,0))*kgtoGg</f>
        <v>8.5231141447125972E-2</v>
      </c>
      <c r="S80" s="23">
        <f>INDEX('Activity data'!S$24:S$39,MATCH(Emissions!$D80,'Activity data'!$D$24:$D$39,0))*INDEX(EF!$H$84:$H$99,MATCH(Emissions!$D80,EF!$D$84:$D$99,0))*INDEX(EF!$H$100:$H$115,MATCH(Emissions!$D80,EF!$D$100:$D$115,0))*INDEX(EF!$H$132:$H$147,MATCH(Emissions!$D80,EF!$D$132:$D$147,0))*kgtoGg</f>
        <v>7.1709459975422038E-2</v>
      </c>
      <c r="T80" s="23">
        <f>INDEX('Activity data'!T$24:T$39,MATCH(Emissions!$D80,'Activity data'!$D$24:$D$39,0))*INDEX(EF!$H$84:$H$99,MATCH(Emissions!$D80,EF!$D$84:$D$99,0))*INDEX(EF!$H$100:$H$115,MATCH(Emissions!$D80,EF!$D$100:$D$115,0))*INDEX(EF!$H$132:$H$147,MATCH(Emissions!$D80,EF!$D$132:$D$147,0))*kgtoGg</f>
        <v>0.17455023310662754</v>
      </c>
      <c r="U80" s="23">
        <f>INDEX('Activity data'!U$24:U$39,MATCH(Emissions!$D80,'Activity data'!$D$24:$D$39,0))*INDEX(EF!$H$84:$H$99,MATCH(Emissions!$D80,EF!$D$84:$D$99,0))*INDEX(EF!$H$100:$H$115,MATCH(Emissions!$D80,EF!$D$100:$D$115,0))*INDEX(EF!$H$132:$H$147,MATCH(Emissions!$D80,EF!$D$132:$D$147,0))*kgtoGg</f>
        <v>0.10888098161808096</v>
      </c>
      <c r="V80" s="23">
        <f>INDEX('Activity data'!V$24:V$39,MATCH(Emissions!$D80,'Activity data'!$D$24:$D$39,0))*INDEX(EF!$H$84:$H$99,MATCH(Emissions!$D80,EF!$D$84:$D$99,0))*INDEX(EF!$H$100:$H$115,MATCH(Emissions!$D80,EF!$D$100:$D$115,0))*INDEX(EF!$H$132:$H$147,MATCH(Emissions!$D80,EF!$D$132:$D$147,0))*kgtoGg</f>
        <v>6.6547112591845162E-2</v>
      </c>
      <c r="W80" s="23">
        <f>INDEX('Activity data'!W$24:W$39,MATCH(Emissions!$D80,'Activity data'!$D$24:$D$39,0))*INDEX(EF!$H$84:$H$99,MATCH(Emissions!$D80,EF!$D$84:$D$99,0))*INDEX(EF!$H$100:$H$115,MATCH(Emissions!$D80,EF!$D$100:$D$115,0))*INDEX(EF!$H$132:$H$147,MATCH(Emissions!$D80,EF!$D$132:$D$147,0))*kgtoGg</f>
        <v>0.112929624616876</v>
      </c>
      <c r="X80" s="23">
        <f>INDEX('Activity data'!X$24:X$39,MATCH(Emissions!$D80,'Activity data'!$D$24:$D$39,0))*INDEX(EF!$H$84:$H$99,MATCH(Emissions!$D80,EF!$D$84:$D$99,0))*INDEX(EF!$H$100:$H$115,MATCH(Emissions!$D80,EF!$D$100:$D$115,0))*INDEX(EF!$H$132:$H$147,MATCH(Emissions!$D80,EF!$D$132:$D$147,0))*kgtoGg</f>
        <v>8.765508628459226E-2</v>
      </c>
      <c r="Y80" s="23">
        <f>INDEX('Activity data'!Y$24:Y$39,MATCH(Emissions!$D80,'Activity data'!$D$24:$D$39,0))*INDEX(EF!$H$84:$H$99,MATCH(Emissions!$D80,EF!$D$84:$D$99,0))*INDEX(EF!$H$100:$H$115,MATCH(Emissions!$D80,EF!$D$100:$D$115,0))*INDEX(EF!$H$132:$H$147,MATCH(Emissions!$D80,EF!$D$132:$D$147,0))*kgtoGg</f>
        <v>7.5430542861045974E-2</v>
      </c>
      <c r="Z80" s="23">
        <f>INDEX('Activity data'!Z$24:Z$39,MATCH(Emissions!$D80,'Activity data'!$D$24:$D$39,0))*INDEX(EF!$H$84:$H$99,MATCH(Emissions!$D80,EF!$D$84:$D$99,0))*INDEX(EF!$H$100:$H$115,MATCH(Emissions!$D80,EF!$D$100:$D$115,0))*INDEX(EF!$H$132:$H$147,MATCH(Emissions!$D80,EF!$D$132:$D$147,0))*kgtoGg</f>
        <v>9.1349964361162508E-2</v>
      </c>
      <c r="AA80" s="23">
        <f>INDEX('Activity data'!AA$24:AA$39,MATCH(Emissions!$D80,'Activity data'!$D$24:$D$39,0))*INDEX(EF!$H$84:$H$99,MATCH(Emissions!$D80,EF!$D$84:$D$99,0))*INDEX(EF!$H$100:$H$115,MATCH(Emissions!$D80,EF!$D$100:$D$115,0))*INDEX(EF!$H$132:$H$147,MATCH(Emissions!$D80,EF!$D$132:$D$147,0))*kgtoGg</f>
        <v>0.12220612702188222</v>
      </c>
      <c r="AB80" s="23">
        <f>INDEX('Activity data'!AB$24:AB$39,MATCH(Emissions!$D80,'Activity data'!$D$24:$D$39,0))*INDEX(EF!$H$84:$H$99,MATCH(Emissions!$D80,EF!$D$84:$D$99,0))*INDEX(EF!$H$100:$H$115,MATCH(Emissions!$D80,EF!$D$100:$D$115,0))*INDEX(EF!$H$132:$H$147,MATCH(Emissions!$D80,EF!$D$132:$D$147,0))*kgtoGg</f>
        <v>0.29256780571200003</v>
      </c>
      <c r="AC80" s="23">
        <f>INDEX('Activity data'!AC$24:AC$39,MATCH(Emissions!$D80,'Activity data'!$D$24:$D$39,0))*INDEX(EF!$H$84:$H$99,MATCH(Emissions!$D80,EF!$D$84:$D$99,0))*INDEX(EF!$H$100:$H$115,MATCH(Emissions!$D80,EF!$D$100:$D$115,0))*INDEX(EF!$H$132:$H$147,MATCH(Emissions!$D80,EF!$D$132:$D$147,0))*kgtoGg</f>
        <v>0.29394949671360004</v>
      </c>
      <c r="AD80" s="23">
        <f>INDEX('Activity data'!AD$24:AD$39,MATCH(Emissions!$D80,'Activity data'!$D$24:$D$39,0))*INDEX(EF!$H$84:$H$99,MATCH(Emissions!$D80,EF!$D$84:$D$99,0))*INDEX(EF!$H$100:$H$115,MATCH(Emissions!$D80,EF!$D$100:$D$115,0))*INDEX(EF!$H$132:$H$147,MATCH(Emissions!$D80,EF!$D$132:$D$147,0))*kgtoGg</f>
        <v>0.40280248270080005</v>
      </c>
      <c r="AE80" s="23">
        <f>INDEX('Activity data'!AE$24:AE$39,MATCH(Emissions!$D80,'Activity data'!$D$24:$D$39,0))*INDEX(EF!$H$84:$H$99,MATCH(Emissions!$D80,EF!$D$84:$D$99,0))*INDEX(EF!$H$100:$H$115,MATCH(Emissions!$D80,EF!$D$100:$D$115,0))*INDEX(EF!$H$132:$H$147,MATCH(Emissions!$D80,EF!$D$132:$D$147,0))*kgtoGg</f>
        <v>0.16581850739999998</v>
      </c>
      <c r="AF80" s="23">
        <f>INDEX('Activity data'!AF$24:AF$39,MATCH(Emissions!$D80,'Activity data'!$D$24:$D$39,0))*INDEX(EF!$H$84:$H$99,MATCH(Emissions!$D80,EF!$D$84:$D$99,0))*INDEX(EF!$H$100:$H$115,MATCH(Emissions!$D80,EF!$D$100:$D$115,0))*INDEX(EF!$H$132:$H$147,MATCH(Emissions!$D80,EF!$D$132:$D$147,0))*kgtoGg</f>
        <v>0.10930368627359999</v>
      </c>
      <c r="AG80" s="23">
        <f>INDEX('Activity data'!AG$24:AG$39,MATCH(Emissions!$D80,'Activity data'!$D$24:$D$39,0))*INDEX(EF!$H$84:$H$99,MATCH(Emissions!$D80,EF!$D$84:$D$99,0))*INDEX(EF!$H$100:$H$115,MATCH(Emissions!$D80,EF!$D$100:$D$115,0))*INDEX(EF!$H$132:$H$147,MATCH(Emissions!$D80,EF!$D$132:$D$147,0))*kgtoGg</f>
        <v>0.1493279057088</v>
      </c>
      <c r="AH80" s="23">
        <f>INDEX('Activity data'!AH$24:AH$39,MATCH(Emissions!$D80,'Activity data'!$D$24:$D$39,0))*INDEX(EF!$H$84:$H$99,MATCH(Emissions!$D80,EF!$D$84:$D$99,0))*INDEX(EF!$H$100:$H$115,MATCH(Emissions!$D80,EF!$D$100:$D$115,0))*INDEX(EF!$H$132:$H$147,MATCH(Emissions!$D80,EF!$D$132:$D$147,0))*kgtoGg</f>
        <v>0.20720295348479997</v>
      </c>
      <c r="AI80" s="23">
        <f>INDEX('Activity data'!AI$24:AI$39,MATCH(Emissions!$D80,'Activity data'!$D$24:$D$39,0))*INDEX(EF!$H$84:$H$99,MATCH(Emissions!$D80,EF!$D$84:$D$99,0))*INDEX(EF!$H$100:$H$115,MATCH(Emissions!$D80,EF!$D$100:$D$115,0))*INDEX(EF!$H$132:$H$147,MATCH(Emissions!$D80,EF!$D$132:$D$147,0))*kgtoGg</f>
        <v>0.15754849699680001</v>
      </c>
      <c r="AJ80" s="23">
        <f>INDEX('Activity data'!AJ$24:AJ$39,MATCH(Emissions!$D80,'Activity data'!$D$24:$D$39,0))*INDEX(EF!$H$84:$H$99,MATCH(Emissions!$D80,EF!$D$84:$D$99,0))*INDEX(EF!$H$100:$H$115,MATCH(Emissions!$D80,EF!$D$100:$D$115,0))*INDEX(EF!$H$132:$H$147,MATCH(Emissions!$D80,EF!$D$132:$D$147,0))*kgtoGg</f>
        <v>0.12059167403086284</v>
      </c>
      <c r="AK80" s="23">
        <f>INDEX('Activity data'!AK$24:AK$39,MATCH(Emissions!$D80,'Activity data'!$D$24:$D$39,0))*INDEX(EF!$H$84:$H$99,MATCH(Emissions!$D80,EF!$D$84:$D$99,0))*INDEX(EF!$H$100:$H$115,MATCH(Emissions!$D80,EF!$D$100:$D$115,0))*INDEX(EF!$H$132:$H$147,MATCH(Emissions!$D80,EF!$D$132:$D$147,0))*kgtoGg</f>
        <v>0.11925502473423973</v>
      </c>
      <c r="AL80" s="23">
        <f>INDEX('Activity data'!AL$24:AL$39,MATCH(Emissions!$D80,'Activity data'!$D$24:$D$39,0))*INDEX(EF!$H$84:$H$99,MATCH(Emissions!$D80,EF!$D$84:$D$99,0))*INDEX(EF!$H$100:$H$115,MATCH(Emissions!$D80,EF!$D$100:$D$115,0))*INDEX(EF!$H$132:$H$147,MATCH(Emissions!$D80,EF!$D$132:$D$147,0))*kgtoGg</f>
        <v>0.11791837543761664</v>
      </c>
      <c r="AM80" s="23">
        <f>INDEX('Activity data'!AM$24:AM$39,MATCH(Emissions!$D80,'Activity data'!$D$24:$D$39,0))*INDEX(EF!$H$84:$H$99,MATCH(Emissions!$D80,EF!$D$84:$D$99,0))*INDEX(EF!$H$100:$H$115,MATCH(Emissions!$D80,EF!$D$100:$D$115,0))*INDEX(EF!$H$132:$H$147,MATCH(Emissions!$D80,EF!$D$132:$D$147,0))*kgtoGg</f>
        <v>0.11658172614099355</v>
      </c>
      <c r="AN80" s="23">
        <f>INDEX('Activity data'!AN$24:AN$39,MATCH(Emissions!$D80,'Activity data'!$D$24:$D$39,0))*INDEX(EF!$H$84:$H$99,MATCH(Emissions!$D80,EF!$D$84:$D$99,0))*INDEX(EF!$H$100:$H$115,MATCH(Emissions!$D80,EF!$D$100:$D$115,0))*INDEX(EF!$H$132:$H$147,MATCH(Emissions!$D80,EF!$D$132:$D$147,0))*kgtoGg</f>
        <v>0.11524507684437044</v>
      </c>
      <c r="AO80" s="23">
        <f>INDEX('Activity data'!AO$24:AO$39,MATCH(Emissions!$D80,'Activity data'!$D$24:$D$39,0))*INDEX(EF!$H$84:$H$99,MATCH(Emissions!$D80,EF!$D$84:$D$99,0))*INDEX(EF!$H$100:$H$115,MATCH(Emissions!$D80,EF!$D$100:$D$115,0))*INDEX(EF!$H$132:$H$147,MATCH(Emissions!$D80,EF!$D$132:$D$147,0))*kgtoGg</f>
        <v>0.11390842754774734</v>
      </c>
      <c r="AP80" s="23">
        <f>INDEX('Activity data'!AP$24:AP$39,MATCH(Emissions!$D80,'Activity data'!$D$24:$D$39,0))*INDEX(EF!$H$84:$H$99,MATCH(Emissions!$D80,EF!$D$84:$D$99,0))*INDEX(EF!$H$100:$H$115,MATCH(Emissions!$D80,EF!$D$100:$D$115,0))*INDEX(EF!$H$132:$H$147,MATCH(Emissions!$D80,EF!$D$132:$D$147,0))*kgtoGg</f>
        <v>0.11257177825112424</v>
      </c>
      <c r="AQ80" s="23">
        <f>INDEX('Activity data'!AQ$24:AQ$39,MATCH(Emissions!$D80,'Activity data'!$D$24:$D$39,0))*INDEX(EF!$H$84:$H$99,MATCH(Emissions!$D80,EF!$D$84:$D$99,0))*INDEX(EF!$H$100:$H$115,MATCH(Emissions!$D80,EF!$D$100:$D$115,0))*INDEX(EF!$H$132:$H$147,MATCH(Emissions!$D80,EF!$D$132:$D$147,0))*kgtoGg</f>
        <v>0.11123512895450116</v>
      </c>
      <c r="AR80" s="23">
        <f>INDEX('Activity data'!AR$24:AR$39,MATCH(Emissions!$D80,'Activity data'!$D$24:$D$39,0))*INDEX(EF!$H$84:$H$99,MATCH(Emissions!$D80,EF!$D$84:$D$99,0))*INDEX(EF!$H$100:$H$115,MATCH(Emissions!$D80,EF!$D$100:$D$115,0))*INDEX(EF!$H$132:$H$147,MATCH(Emissions!$D80,EF!$D$132:$D$147,0))*kgtoGg</f>
        <v>0.10989847965787806</v>
      </c>
      <c r="AS80" s="23">
        <f>INDEX('Activity data'!AS$24:AS$39,MATCH(Emissions!$D80,'Activity data'!$D$24:$D$39,0))*INDEX(EF!$H$84:$H$99,MATCH(Emissions!$D80,EF!$D$84:$D$99,0))*INDEX(EF!$H$100:$H$115,MATCH(Emissions!$D80,EF!$D$100:$D$115,0))*INDEX(EF!$H$132:$H$147,MATCH(Emissions!$D80,EF!$D$132:$D$147,0))*kgtoGg</f>
        <v>0.10856183036125497</v>
      </c>
      <c r="AT80" s="23">
        <f>INDEX('Activity data'!AT$24:AT$39,MATCH(Emissions!$D80,'Activity data'!$D$24:$D$39,0))*INDEX(EF!$H$84:$H$99,MATCH(Emissions!$D80,EF!$D$84:$D$99,0))*INDEX(EF!$H$100:$H$115,MATCH(Emissions!$D80,EF!$D$100:$D$115,0))*INDEX(EF!$H$132:$H$147,MATCH(Emissions!$D80,EF!$D$132:$D$147,0))*kgtoGg</f>
        <v>0.10722518106463187</v>
      </c>
      <c r="AU80" s="23">
        <f>INDEX('Activity data'!AU$24:AU$39,MATCH(Emissions!$D80,'Activity data'!$D$24:$D$39,0))*INDEX(EF!$H$84:$H$99,MATCH(Emissions!$D80,EF!$D$84:$D$99,0))*INDEX(EF!$H$100:$H$115,MATCH(Emissions!$D80,EF!$D$100:$D$115,0))*INDEX(EF!$H$132:$H$147,MATCH(Emissions!$D80,EF!$D$132:$D$147,0))*kgtoGg</f>
        <v>0.10588853176800878</v>
      </c>
      <c r="AV80" s="23">
        <f>INDEX('Activity data'!AV$24:AV$39,MATCH(Emissions!$D80,'Activity data'!$D$24:$D$39,0))*INDEX(EF!$H$84:$H$99,MATCH(Emissions!$D80,EF!$D$84:$D$99,0))*INDEX(EF!$H$100:$H$115,MATCH(Emissions!$D80,EF!$D$100:$D$115,0))*INDEX(EF!$H$132:$H$147,MATCH(Emissions!$D80,EF!$D$132:$D$147,0))*kgtoGg</f>
        <v>0.10455188247138567</v>
      </c>
      <c r="AW80" s="23">
        <f>INDEX('Activity data'!AW$24:AW$39,MATCH(Emissions!$D80,'Activity data'!$D$24:$D$39,0))*INDEX(EF!$H$84:$H$99,MATCH(Emissions!$D80,EF!$D$84:$D$99,0))*INDEX(EF!$H$100:$H$115,MATCH(Emissions!$D80,EF!$D$100:$D$115,0))*INDEX(EF!$H$132:$H$147,MATCH(Emissions!$D80,EF!$D$132:$D$147,0))*kgtoGg</f>
        <v>0.10321523317476258</v>
      </c>
      <c r="AX80" s="23">
        <f>INDEX('Activity data'!AX$24:AX$39,MATCH(Emissions!$D80,'Activity data'!$D$24:$D$39,0))*INDEX(EF!$H$84:$H$99,MATCH(Emissions!$D80,EF!$D$84:$D$99,0))*INDEX(EF!$H$100:$H$115,MATCH(Emissions!$D80,EF!$D$100:$D$115,0))*INDEX(EF!$H$132:$H$147,MATCH(Emissions!$D80,EF!$D$132:$D$147,0))*kgtoGg</f>
        <v>0.1018785838781395</v>
      </c>
      <c r="AY80" s="23">
        <f>INDEX('Activity data'!AY$24:AY$39,MATCH(Emissions!$D80,'Activity data'!$D$24:$D$39,0))*INDEX(EF!$H$84:$H$99,MATCH(Emissions!$D80,EF!$D$84:$D$99,0))*INDEX(EF!$H$100:$H$115,MATCH(Emissions!$D80,EF!$D$100:$D$115,0))*INDEX(EF!$H$132:$H$147,MATCH(Emissions!$D80,EF!$D$132:$D$147,0))*kgtoGg</f>
        <v>0.10054193458151638</v>
      </c>
      <c r="AZ80" s="23">
        <f>INDEX('Activity data'!AZ$24:AZ$39,MATCH(Emissions!$D80,'Activity data'!$D$24:$D$39,0))*INDEX(EF!$H$84:$H$99,MATCH(Emissions!$D80,EF!$D$84:$D$99,0))*INDEX(EF!$H$100:$H$115,MATCH(Emissions!$D80,EF!$D$100:$D$115,0))*INDEX(EF!$H$132:$H$147,MATCH(Emissions!$D80,EF!$D$132:$D$147,0))*kgtoGg</f>
        <v>9.9205285284893308E-2</v>
      </c>
      <c r="BA80" s="23">
        <f>INDEX('Activity data'!BA$24:BA$39,MATCH(Emissions!$D80,'Activity data'!$D$24:$D$39,0))*INDEX(EF!$H$84:$H$99,MATCH(Emissions!$D80,EF!$D$84:$D$99,0))*INDEX(EF!$H$100:$H$115,MATCH(Emissions!$D80,EF!$D$100:$D$115,0))*INDEX(EF!$H$132:$H$147,MATCH(Emissions!$D80,EF!$D$132:$D$147,0))*kgtoGg</f>
        <v>9.7868635988270211E-2</v>
      </c>
      <c r="BB80" s="23">
        <f>INDEX('Activity data'!BB$24:BB$39,MATCH(Emissions!$D80,'Activity data'!$D$24:$D$39,0))*INDEX(EF!$H$84:$H$99,MATCH(Emissions!$D80,EF!$D$84:$D$99,0))*INDEX(EF!$H$100:$H$115,MATCH(Emissions!$D80,EF!$D$100:$D$115,0))*INDEX(EF!$H$132:$H$147,MATCH(Emissions!$D80,EF!$D$132:$D$147,0))*kgtoGg</f>
        <v>9.6531986691647101E-2</v>
      </c>
      <c r="BC80" s="23">
        <f>INDEX('Activity data'!BC$24:BC$39,MATCH(Emissions!$D80,'Activity data'!$D$24:$D$39,0))*INDEX(EF!$H$84:$H$99,MATCH(Emissions!$D80,EF!$D$84:$D$99,0))*INDEX(EF!$H$100:$H$115,MATCH(Emissions!$D80,EF!$D$100:$D$115,0))*INDEX(EF!$H$132:$H$147,MATCH(Emissions!$D80,EF!$D$132:$D$147,0))*kgtoGg</f>
        <v>9.5195337395024018E-2</v>
      </c>
      <c r="BD80" s="23">
        <f>INDEX('Activity data'!BD$24:BD$39,MATCH(Emissions!$D80,'Activity data'!$D$24:$D$39,0))*INDEX(EF!$H$84:$H$99,MATCH(Emissions!$D80,EF!$D$84:$D$99,0))*INDEX(EF!$H$100:$H$115,MATCH(Emissions!$D80,EF!$D$100:$D$115,0))*INDEX(EF!$H$132:$H$147,MATCH(Emissions!$D80,EF!$D$132:$D$147,0))*kgtoGg</f>
        <v>9.3858688098400908E-2</v>
      </c>
      <c r="BE80" s="23">
        <f>INDEX('Activity data'!BE$24:BE$39,MATCH(Emissions!$D80,'Activity data'!$D$24:$D$39,0))*INDEX(EF!$H$84:$H$99,MATCH(Emissions!$D80,EF!$D$84:$D$99,0))*INDEX(EF!$H$100:$H$115,MATCH(Emissions!$D80,EF!$D$100:$D$115,0))*INDEX(EF!$H$132:$H$147,MATCH(Emissions!$D80,EF!$D$132:$D$147,0))*kgtoGg</f>
        <v>9.2522038801777812E-2</v>
      </c>
      <c r="BF80" s="23">
        <f>INDEX('Activity data'!BF$24:BF$39,MATCH(Emissions!$D80,'Activity data'!$D$24:$D$39,0))*INDEX(EF!$H$84:$H$99,MATCH(Emissions!$D80,EF!$D$84:$D$99,0))*INDEX(EF!$H$100:$H$115,MATCH(Emissions!$D80,EF!$D$100:$D$115,0))*INDEX(EF!$H$132:$H$147,MATCH(Emissions!$D80,EF!$D$132:$D$147,0))*kgtoGg</f>
        <v>9.1185389505154743E-2</v>
      </c>
      <c r="BG80" s="23">
        <f>INDEX('Activity data'!BG$24:BG$39,MATCH(Emissions!$D80,'Activity data'!$D$24:$D$39,0))*INDEX(EF!$H$84:$H$99,MATCH(Emissions!$D80,EF!$D$84:$D$99,0))*INDEX(EF!$H$100:$H$115,MATCH(Emissions!$D80,EF!$D$100:$D$115,0))*INDEX(EF!$H$132:$H$147,MATCH(Emissions!$D80,EF!$D$132:$D$147,0))*kgtoGg</f>
        <v>8.9848740208531619E-2</v>
      </c>
      <c r="BH80" s="23">
        <f>INDEX('Activity data'!BH$24:BH$39,MATCH(Emissions!$D80,'Activity data'!$D$24:$D$39,0))*INDEX(EF!$H$84:$H$99,MATCH(Emissions!$D80,EF!$D$84:$D$99,0))*INDEX(EF!$H$100:$H$115,MATCH(Emissions!$D80,EF!$D$100:$D$115,0))*INDEX(EF!$H$132:$H$147,MATCH(Emissions!$D80,EF!$D$132:$D$147,0))*kgtoGg</f>
        <v>8.8512090911908536E-2</v>
      </c>
      <c r="BI80" s="23">
        <f>INDEX('Activity data'!BI$24:BI$39,MATCH(Emissions!$D80,'Activity data'!$D$24:$D$39,0))*INDEX(EF!$H$84:$H$99,MATCH(Emissions!$D80,EF!$D$84:$D$99,0))*INDEX(EF!$H$100:$H$115,MATCH(Emissions!$D80,EF!$D$100:$D$115,0))*INDEX(EF!$H$132:$H$147,MATCH(Emissions!$D80,EF!$D$132:$D$147,0))*kgtoGg</f>
        <v>8.7175441615285454E-2</v>
      </c>
      <c r="BJ80" s="23">
        <f>INDEX('Activity data'!BJ$24:BJ$39,MATCH(Emissions!$D80,'Activity data'!$D$24:$D$39,0))*INDEX(EF!$H$84:$H$99,MATCH(Emissions!$D80,EF!$D$84:$D$99,0))*INDEX(EF!$H$100:$H$115,MATCH(Emissions!$D80,EF!$D$100:$D$115,0))*INDEX(EF!$H$132:$H$147,MATCH(Emissions!$D80,EF!$D$132:$D$147,0))*kgtoGg</f>
        <v>8.5838792318662357E-2</v>
      </c>
      <c r="BK80" s="23">
        <f>INDEX('Activity data'!BK$24:BK$39,MATCH(Emissions!$D80,'Activity data'!$D$24:$D$39,0))*INDEX(EF!$H$84:$H$99,MATCH(Emissions!$D80,EF!$D$84:$D$99,0))*INDEX(EF!$H$100:$H$115,MATCH(Emissions!$D80,EF!$D$100:$D$115,0))*INDEX(EF!$H$132:$H$147,MATCH(Emissions!$D80,EF!$D$132:$D$147,0))*kgtoGg</f>
        <v>8.4502143022039261E-2</v>
      </c>
      <c r="BL80" s="23">
        <f>INDEX('Activity data'!BL$24:BL$39,MATCH(Emissions!$D80,'Activity data'!$D$24:$D$39,0))*INDEX(EF!$H$84:$H$99,MATCH(Emissions!$D80,EF!$D$84:$D$99,0))*INDEX(EF!$H$100:$H$115,MATCH(Emissions!$D80,EF!$D$100:$D$115,0))*INDEX(EF!$H$132:$H$147,MATCH(Emissions!$D80,EF!$D$132:$D$147,0))*kgtoGg</f>
        <v>8.3165493725416192E-2</v>
      </c>
      <c r="BM80" s="23">
        <f>INDEX('Activity data'!BM$24:BM$39,MATCH(Emissions!$D80,'Activity data'!$D$24:$D$39,0))*INDEX(EF!$H$84:$H$99,MATCH(Emissions!$D80,EF!$D$84:$D$99,0))*INDEX(EF!$H$100:$H$115,MATCH(Emissions!$D80,EF!$D$100:$D$115,0))*INDEX(EF!$H$132:$H$147,MATCH(Emissions!$D80,EF!$D$132:$D$147,0))*kgtoGg</f>
        <v>8.1828844428793068E-2</v>
      </c>
      <c r="BN80" s="23">
        <f>INDEX('Activity data'!BN$24:BN$39,MATCH(Emissions!$D80,'Activity data'!$D$24:$D$39,0))*INDEX(EF!$H$84:$H$99,MATCH(Emissions!$D80,EF!$D$84:$D$99,0))*INDEX(EF!$H$100:$H$115,MATCH(Emissions!$D80,EF!$D$100:$D$115,0))*INDEX(EF!$H$132:$H$147,MATCH(Emissions!$D80,EF!$D$132:$D$147,0))*kgtoGg</f>
        <v>8.0492195132169986E-2</v>
      </c>
      <c r="BO80" s="23">
        <f>INDEX('Activity data'!BO$24:BO$39,MATCH(Emissions!$D80,'Activity data'!$D$24:$D$39,0))*INDEX(EF!$H$84:$H$99,MATCH(Emissions!$D80,EF!$D$84:$D$99,0))*INDEX(EF!$H$100:$H$115,MATCH(Emissions!$D80,EF!$D$100:$D$115,0))*INDEX(EF!$H$132:$H$147,MATCH(Emissions!$D80,EF!$D$132:$D$147,0))*kgtoGg</f>
        <v>7.9155545835546903E-2</v>
      </c>
      <c r="BP80" s="23">
        <f>INDEX('Activity data'!BP$24:BP$39,MATCH(Emissions!$D80,'Activity data'!$D$24:$D$39,0))*INDEX(EF!$H$84:$H$99,MATCH(Emissions!$D80,EF!$D$84:$D$99,0))*INDEX(EF!$H$100:$H$115,MATCH(Emissions!$D80,EF!$D$100:$D$115,0))*INDEX(EF!$H$132:$H$147,MATCH(Emissions!$D80,EF!$D$132:$D$147,0))*kgtoGg</f>
        <v>7.7818896538923793E-2</v>
      </c>
    </row>
    <row r="81" spans="1:68" x14ac:dyDescent="0.25">
      <c r="A81" t="str">
        <f t="shared" si="19"/>
        <v>3C Aggregated and non-CO2 emissions on land</v>
      </c>
      <c r="B81" t="str">
        <f t="shared" si="26"/>
        <v>3C1 Biomass burning (N2O)</v>
      </c>
      <c r="C81" t="str">
        <f t="shared" si="25"/>
        <v>3C1c Biomass burning in Grasslands</v>
      </c>
      <c r="D81" t="str">
        <f>EF!D111</f>
        <v>Degraded land</v>
      </c>
      <c r="E81" t="s">
        <v>725</v>
      </c>
      <c r="F81" t="str">
        <f t="shared" si="27"/>
        <v>N2O</v>
      </c>
      <c r="G81" t="str">
        <f t="shared" si="28"/>
        <v>Gg N2O</v>
      </c>
      <c r="H81" s="23">
        <f>INDEX('Activity data'!H$24:H$39,MATCH(Emissions!$D81,'Activity data'!$D$24:$D$39,0))*INDEX(EF!$H$84:$H$99,MATCH(Emissions!$D81,EF!$D$84:$D$99,0))*INDEX(EF!$H$100:$H$115,MATCH(Emissions!$D81,EF!$D$100:$D$115,0))*INDEX(EF!$H$132:$H$147,MATCH(Emissions!$D81,EF!$D$132:$D$147,0))*kgtoGg</f>
        <v>2.5919889901996538E-2</v>
      </c>
      <c r="I81" s="23">
        <f>INDEX('Activity data'!I$24:I$39,MATCH(Emissions!$D81,'Activity data'!$D$24:$D$39,0))*INDEX(EF!$H$84:$H$99,MATCH(Emissions!$D81,EF!$D$84:$D$99,0))*INDEX(EF!$H$100:$H$115,MATCH(Emissions!$D81,EF!$D$100:$D$115,0))*INDEX(EF!$H$132:$H$147,MATCH(Emissions!$D81,EF!$D$132:$D$147,0))*kgtoGg</f>
        <v>2.5919889901996538E-2</v>
      </c>
      <c r="J81" s="23">
        <f>INDEX('Activity data'!J$24:J$39,MATCH(Emissions!$D81,'Activity data'!$D$24:$D$39,0))*INDEX(EF!$H$84:$H$99,MATCH(Emissions!$D81,EF!$D$84:$D$99,0))*INDEX(EF!$H$100:$H$115,MATCH(Emissions!$D81,EF!$D$100:$D$115,0))*INDEX(EF!$H$132:$H$147,MATCH(Emissions!$D81,EF!$D$132:$D$147,0))*kgtoGg</f>
        <v>2.5919889901996538E-2</v>
      </c>
      <c r="K81" s="23">
        <f>INDEX('Activity data'!K$24:K$39,MATCH(Emissions!$D81,'Activity data'!$D$24:$D$39,0))*INDEX(EF!$H$84:$H$99,MATCH(Emissions!$D81,EF!$D$84:$D$99,0))*INDEX(EF!$H$100:$H$115,MATCH(Emissions!$D81,EF!$D$100:$D$115,0))*INDEX(EF!$H$132:$H$147,MATCH(Emissions!$D81,EF!$D$132:$D$147,0))*kgtoGg</f>
        <v>2.5919889901996538E-2</v>
      </c>
      <c r="L81" s="23">
        <f>INDEX('Activity data'!L$24:L$39,MATCH(Emissions!$D81,'Activity data'!$D$24:$D$39,0))*INDEX(EF!$H$84:$H$99,MATCH(Emissions!$D81,EF!$D$84:$D$99,0))*INDEX(EF!$H$100:$H$115,MATCH(Emissions!$D81,EF!$D$100:$D$115,0))*INDEX(EF!$H$132:$H$147,MATCH(Emissions!$D81,EF!$D$132:$D$147,0))*kgtoGg</f>
        <v>2.5919889901996538E-2</v>
      </c>
      <c r="M81" s="23">
        <f>INDEX('Activity data'!M$24:M$39,MATCH(Emissions!$D81,'Activity data'!$D$24:$D$39,0))*INDEX(EF!$H$84:$H$99,MATCH(Emissions!$D81,EF!$D$84:$D$99,0))*INDEX(EF!$H$100:$H$115,MATCH(Emissions!$D81,EF!$D$100:$D$115,0))*INDEX(EF!$H$132:$H$147,MATCH(Emissions!$D81,EF!$D$132:$D$147,0))*kgtoGg</f>
        <v>2.5919889901996538E-2</v>
      </c>
      <c r="N81" s="23">
        <f>INDEX('Activity data'!N$24:N$39,MATCH(Emissions!$D81,'Activity data'!$D$24:$D$39,0))*INDEX(EF!$H$84:$H$99,MATCH(Emissions!$D81,EF!$D$84:$D$99,0))*INDEX(EF!$H$100:$H$115,MATCH(Emissions!$D81,EF!$D$100:$D$115,0))*INDEX(EF!$H$132:$H$147,MATCH(Emissions!$D81,EF!$D$132:$D$147,0))*kgtoGg</f>
        <v>2.5919889901996538E-2</v>
      </c>
      <c r="O81" s="23">
        <f>INDEX('Activity data'!O$24:O$39,MATCH(Emissions!$D81,'Activity data'!$D$24:$D$39,0))*INDEX(EF!$H$84:$H$99,MATCH(Emissions!$D81,EF!$D$84:$D$99,0))*INDEX(EF!$H$100:$H$115,MATCH(Emissions!$D81,EF!$D$100:$D$115,0))*INDEX(EF!$H$132:$H$147,MATCH(Emissions!$D81,EF!$D$132:$D$147,0))*kgtoGg</f>
        <v>2.5919889901996538E-2</v>
      </c>
      <c r="P81" s="23">
        <f>INDEX('Activity data'!P$24:P$39,MATCH(Emissions!$D81,'Activity data'!$D$24:$D$39,0))*INDEX(EF!$H$84:$H$99,MATCH(Emissions!$D81,EF!$D$84:$D$99,0))*INDEX(EF!$H$100:$H$115,MATCH(Emissions!$D81,EF!$D$100:$D$115,0))*INDEX(EF!$H$132:$H$147,MATCH(Emissions!$D81,EF!$D$132:$D$147,0))*kgtoGg</f>
        <v>2.5919889901996538E-2</v>
      </c>
      <c r="Q81" s="23">
        <f>INDEX('Activity data'!Q$24:Q$39,MATCH(Emissions!$D81,'Activity data'!$D$24:$D$39,0))*INDEX(EF!$H$84:$H$99,MATCH(Emissions!$D81,EF!$D$84:$D$99,0))*INDEX(EF!$H$100:$H$115,MATCH(Emissions!$D81,EF!$D$100:$D$115,0))*INDEX(EF!$H$132:$H$147,MATCH(Emissions!$D81,EF!$D$132:$D$147,0))*kgtoGg</f>
        <v>2.5919889901996538E-2</v>
      </c>
      <c r="R81" s="23">
        <f>INDEX('Activity data'!R$24:R$39,MATCH(Emissions!$D81,'Activity data'!$D$24:$D$39,0))*INDEX(EF!$H$84:$H$99,MATCH(Emissions!$D81,EF!$D$84:$D$99,0))*INDEX(EF!$H$100:$H$115,MATCH(Emissions!$D81,EF!$D$100:$D$115,0))*INDEX(EF!$H$132:$H$147,MATCH(Emissions!$D81,EF!$D$132:$D$147,0))*kgtoGg</f>
        <v>2.8520988552148289E-2</v>
      </c>
      <c r="S81" s="23">
        <f>INDEX('Activity data'!S$24:S$39,MATCH(Emissions!$D81,'Activity data'!$D$24:$D$39,0))*INDEX(EF!$H$84:$H$99,MATCH(Emissions!$D81,EF!$D$84:$D$99,0))*INDEX(EF!$H$100:$H$115,MATCH(Emissions!$D81,EF!$D$100:$D$115,0))*INDEX(EF!$H$132:$H$147,MATCH(Emissions!$D81,EF!$D$132:$D$147,0))*kgtoGg</f>
        <v>2.5817163949345238E-2</v>
      </c>
      <c r="T81" s="23">
        <f>INDEX('Activity data'!T$24:T$39,MATCH(Emissions!$D81,'Activity data'!$D$24:$D$39,0))*INDEX(EF!$H$84:$H$99,MATCH(Emissions!$D81,EF!$D$84:$D$99,0))*INDEX(EF!$H$100:$H$115,MATCH(Emissions!$D81,EF!$D$100:$D$115,0))*INDEX(EF!$H$132:$H$147,MATCH(Emissions!$D81,EF!$D$132:$D$147,0))*kgtoGg</f>
        <v>3.4558561052314238E-2</v>
      </c>
      <c r="U81" s="23">
        <f>INDEX('Activity data'!U$24:U$39,MATCH(Emissions!$D81,'Activity data'!$D$24:$D$39,0))*INDEX(EF!$H$84:$H$99,MATCH(Emissions!$D81,EF!$D$84:$D$99,0))*INDEX(EF!$H$100:$H$115,MATCH(Emissions!$D81,EF!$D$100:$D$115,0))*INDEX(EF!$H$132:$H$147,MATCH(Emissions!$D81,EF!$D$132:$D$147,0))*kgtoGg</f>
        <v>1.0165992861435118E-2</v>
      </c>
      <c r="V81" s="23">
        <f>INDEX('Activity data'!V$24:V$39,MATCH(Emissions!$D81,'Activity data'!$D$24:$D$39,0))*INDEX(EF!$H$84:$H$99,MATCH(Emissions!$D81,EF!$D$84:$D$99,0))*INDEX(EF!$H$100:$H$115,MATCH(Emissions!$D81,EF!$D$100:$D$115,0))*INDEX(EF!$H$132:$H$147,MATCH(Emissions!$D81,EF!$D$132:$D$147,0))*kgtoGg</f>
        <v>3.0536743094739811E-2</v>
      </c>
      <c r="W81" s="23">
        <f>INDEX('Activity data'!W$24:W$39,MATCH(Emissions!$D81,'Activity data'!$D$24:$D$39,0))*INDEX(EF!$H$84:$H$99,MATCH(Emissions!$D81,EF!$D$84:$D$99,0))*INDEX(EF!$H$100:$H$115,MATCH(Emissions!$D81,EF!$D$100:$D$115,0))*INDEX(EF!$H$132:$H$147,MATCH(Emissions!$D81,EF!$D$132:$D$147,0))*kgtoGg</f>
        <v>3.7407752569246472E-2</v>
      </c>
      <c r="X81" s="23">
        <f>INDEX('Activity data'!X$24:X$39,MATCH(Emissions!$D81,'Activity data'!$D$24:$D$39,0))*INDEX(EF!$H$84:$H$99,MATCH(Emissions!$D81,EF!$D$84:$D$99,0))*INDEX(EF!$H$100:$H$115,MATCH(Emissions!$D81,EF!$D$100:$D$115,0))*INDEX(EF!$H$132:$H$147,MATCH(Emissions!$D81,EF!$D$132:$D$147,0))*kgtoGg</f>
        <v>5.5423558793658186E-2</v>
      </c>
      <c r="Y81" s="23">
        <f>INDEX('Activity data'!Y$24:Y$39,MATCH(Emissions!$D81,'Activity data'!$D$24:$D$39,0))*INDEX(EF!$H$84:$H$99,MATCH(Emissions!$D81,EF!$D$84:$D$99,0))*INDEX(EF!$H$100:$H$115,MATCH(Emissions!$D81,EF!$D$100:$D$115,0))*INDEX(EF!$H$132:$H$147,MATCH(Emissions!$D81,EF!$D$132:$D$147,0))*kgtoGg</f>
        <v>8.4312810194933779E-3</v>
      </c>
      <c r="Z81" s="23">
        <f>INDEX('Activity data'!Z$24:Z$39,MATCH(Emissions!$D81,'Activity data'!$D$24:$D$39,0))*INDEX(EF!$H$84:$H$99,MATCH(Emissions!$D81,EF!$D$84:$D$99,0))*INDEX(EF!$H$100:$H$115,MATCH(Emissions!$D81,EF!$D$100:$D$115,0))*INDEX(EF!$H$132:$H$147,MATCH(Emissions!$D81,EF!$D$132:$D$147,0))*kgtoGg</f>
        <v>3.9442889367055235E-2</v>
      </c>
      <c r="AA81" s="23">
        <f>INDEX('Activity data'!AA$24:AA$39,MATCH(Emissions!$D81,'Activity data'!$D$24:$D$39,0))*INDEX(EF!$H$84:$H$99,MATCH(Emissions!$D81,EF!$D$84:$D$99,0))*INDEX(EF!$H$100:$H$115,MATCH(Emissions!$D81,EF!$D$100:$D$115,0))*INDEX(EF!$H$132:$H$147,MATCH(Emissions!$D81,EF!$D$132:$D$147,0))*kgtoGg</f>
        <v>2.5603959141955752E-2</v>
      </c>
      <c r="AB81" s="23">
        <f>INDEX('Activity data'!AB$24:AB$39,MATCH(Emissions!$D81,'Activity data'!$D$24:$D$39,0))*INDEX(EF!$H$84:$H$99,MATCH(Emissions!$D81,EF!$D$84:$D$99,0))*INDEX(EF!$H$100:$H$115,MATCH(Emissions!$D81,EF!$D$100:$D$115,0))*INDEX(EF!$H$132:$H$147,MATCH(Emissions!$D81,EF!$D$132:$D$147,0))*kgtoGg</f>
        <v>3.4459387199999997E-2</v>
      </c>
      <c r="AC81" s="23">
        <f>INDEX('Activity data'!AC$24:AC$39,MATCH(Emissions!$D81,'Activity data'!$D$24:$D$39,0))*INDEX(EF!$H$84:$H$99,MATCH(Emissions!$D81,EF!$D$84:$D$99,0))*INDEX(EF!$H$100:$H$115,MATCH(Emissions!$D81,EF!$D$100:$D$115,0))*INDEX(EF!$H$132:$H$147,MATCH(Emissions!$D81,EF!$D$132:$D$147,0))*kgtoGg</f>
        <v>4.0562650800000002E-2</v>
      </c>
      <c r="AD81" s="23">
        <f>INDEX('Activity data'!AD$24:AD$39,MATCH(Emissions!$D81,'Activity data'!$D$24:$D$39,0))*INDEX(EF!$H$84:$H$99,MATCH(Emissions!$D81,EF!$D$84:$D$99,0))*INDEX(EF!$H$100:$H$115,MATCH(Emissions!$D81,EF!$D$100:$D$115,0))*INDEX(EF!$H$132:$H$147,MATCH(Emissions!$D81,EF!$D$132:$D$147,0))*kgtoGg</f>
        <v>1.7234418599999999E-2</v>
      </c>
      <c r="AE81" s="23">
        <f>INDEX('Activity data'!AE$24:AE$39,MATCH(Emissions!$D81,'Activity data'!$D$24:$D$39,0))*INDEX(EF!$H$84:$H$99,MATCH(Emissions!$D81,EF!$D$84:$D$99,0))*INDEX(EF!$H$100:$H$115,MATCH(Emissions!$D81,EF!$D$100:$D$115,0))*INDEX(EF!$H$132:$H$147,MATCH(Emissions!$D81,EF!$D$132:$D$147,0))*kgtoGg</f>
        <v>1.7188000199999998E-2</v>
      </c>
      <c r="AF81" s="23">
        <f>INDEX('Activity data'!AF$24:AF$39,MATCH(Emissions!$D81,'Activity data'!$D$24:$D$39,0))*INDEX(EF!$H$84:$H$99,MATCH(Emissions!$D81,EF!$D$84:$D$99,0))*INDEX(EF!$H$100:$H$115,MATCH(Emissions!$D81,EF!$D$100:$D$115,0))*INDEX(EF!$H$132:$H$147,MATCH(Emissions!$D81,EF!$D$132:$D$147,0))*kgtoGg</f>
        <v>1.49424156E-2</v>
      </c>
      <c r="AG81" s="23">
        <f>INDEX('Activity data'!AG$24:AG$39,MATCH(Emissions!$D81,'Activity data'!$D$24:$D$39,0))*INDEX(EF!$H$84:$H$99,MATCH(Emissions!$D81,EF!$D$84:$D$99,0))*INDEX(EF!$H$100:$H$115,MATCH(Emissions!$D81,EF!$D$100:$D$115,0))*INDEX(EF!$H$132:$H$147,MATCH(Emissions!$D81,EF!$D$132:$D$147,0))*kgtoGg</f>
        <v>1.1034689399999999E-2</v>
      </c>
      <c r="AH81" s="23">
        <f>INDEX('Activity data'!AH$24:AH$39,MATCH(Emissions!$D81,'Activity data'!$D$24:$D$39,0))*INDEX(EF!$H$84:$H$99,MATCH(Emissions!$D81,EF!$D$84:$D$99,0))*INDEX(EF!$H$100:$H$115,MATCH(Emissions!$D81,EF!$D$100:$D$115,0))*INDEX(EF!$H$132:$H$147,MATCH(Emissions!$D81,EF!$D$132:$D$147,0))*kgtoGg</f>
        <v>4.1589071999999991E-3</v>
      </c>
      <c r="AI81" s="23">
        <f>INDEX('Activity data'!AI$24:AI$39,MATCH(Emissions!$D81,'Activity data'!$D$24:$D$39,0))*INDEX(EF!$H$84:$H$99,MATCH(Emissions!$D81,EF!$D$84:$D$99,0))*INDEX(EF!$H$100:$H$115,MATCH(Emissions!$D81,EF!$D$100:$D$115,0))*INDEX(EF!$H$132:$H$147,MATCH(Emissions!$D81,EF!$D$132:$D$147,0))*kgtoGg</f>
        <v>2.7171395999999997E-3</v>
      </c>
      <c r="AJ81" s="23">
        <f>INDEX('Activity data'!AJ$24:AJ$39,MATCH(Emissions!$D81,'Activity data'!$D$24:$D$39,0))*INDEX(EF!$H$84:$H$99,MATCH(Emissions!$D81,EF!$D$84:$D$99,0))*INDEX(EF!$H$100:$H$115,MATCH(Emissions!$D81,EF!$D$100:$D$115,0))*INDEX(EF!$H$132:$H$147,MATCH(Emissions!$D81,EF!$D$132:$D$147,0))*kgtoGg</f>
        <v>4.7692053557848472E-3</v>
      </c>
      <c r="AK81" s="23">
        <f>INDEX('Activity data'!AK$24:AK$39,MATCH(Emissions!$D81,'Activity data'!$D$24:$D$39,0))*INDEX(EF!$H$84:$H$99,MATCH(Emissions!$D81,EF!$D$84:$D$99,0))*INDEX(EF!$H$100:$H$115,MATCH(Emissions!$D81,EF!$D$100:$D$115,0))*INDEX(EF!$H$132:$H$147,MATCH(Emissions!$D81,EF!$D$132:$D$147,0))*kgtoGg</f>
        <v>4.7226324781193662E-3</v>
      </c>
      <c r="AL81" s="23">
        <f>INDEX('Activity data'!AL$24:AL$39,MATCH(Emissions!$D81,'Activity data'!$D$24:$D$39,0))*INDEX(EF!$H$84:$H$99,MATCH(Emissions!$D81,EF!$D$84:$D$99,0))*INDEX(EF!$H$100:$H$115,MATCH(Emissions!$D81,EF!$D$100:$D$115,0))*INDEX(EF!$H$132:$H$147,MATCH(Emissions!$D81,EF!$D$132:$D$147,0))*kgtoGg</f>
        <v>4.6760596004538834E-3</v>
      </c>
      <c r="AM81" s="23">
        <f>INDEX('Activity data'!AM$24:AM$39,MATCH(Emissions!$D81,'Activity data'!$D$24:$D$39,0))*INDEX(EF!$H$84:$H$99,MATCH(Emissions!$D81,EF!$D$84:$D$99,0))*INDEX(EF!$H$100:$H$115,MATCH(Emissions!$D81,EF!$D$100:$D$115,0))*INDEX(EF!$H$132:$H$147,MATCH(Emissions!$D81,EF!$D$132:$D$147,0))*kgtoGg</f>
        <v>4.6294867227884015E-3</v>
      </c>
      <c r="AN81" s="23">
        <f>INDEX('Activity data'!AN$24:AN$39,MATCH(Emissions!$D81,'Activity data'!$D$24:$D$39,0))*INDEX(EF!$H$84:$H$99,MATCH(Emissions!$D81,EF!$D$84:$D$99,0))*INDEX(EF!$H$100:$H$115,MATCH(Emissions!$D81,EF!$D$100:$D$115,0))*INDEX(EF!$H$132:$H$147,MATCH(Emissions!$D81,EF!$D$132:$D$147,0))*kgtoGg</f>
        <v>4.5829138451229188E-3</v>
      </c>
      <c r="AO81" s="23">
        <f>INDEX('Activity data'!AO$24:AO$39,MATCH(Emissions!$D81,'Activity data'!$D$24:$D$39,0))*INDEX(EF!$H$84:$H$99,MATCH(Emissions!$D81,EF!$D$84:$D$99,0))*INDEX(EF!$H$100:$H$115,MATCH(Emissions!$D81,EF!$D$100:$D$115,0))*INDEX(EF!$H$132:$H$147,MATCH(Emissions!$D81,EF!$D$132:$D$147,0))*kgtoGg</f>
        <v>4.5363409674574378E-3</v>
      </c>
      <c r="AP81" s="23">
        <f>INDEX('Activity data'!AP$24:AP$39,MATCH(Emissions!$D81,'Activity data'!$D$24:$D$39,0))*INDEX(EF!$H$84:$H$99,MATCH(Emissions!$D81,EF!$D$84:$D$99,0))*INDEX(EF!$H$100:$H$115,MATCH(Emissions!$D81,EF!$D$100:$D$115,0))*INDEX(EF!$H$132:$H$147,MATCH(Emissions!$D81,EF!$D$132:$D$147,0))*kgtoGg</f>
        <v>4.489768089791955E-3</v>
      </c>
      <c r="AQ81" s="23">
        <f>INDEX('Activity data'!AQ$24:AQ$39,MATCH(Emissions!$D81,'Activity data'!$D$24:$D$39,0))*INDEX(EF!$H$84:$H$99,MATCH(Emissions!$D81,EF!$D$84:$D$99,0))*INDEX(EF!$H$100:$H$115,MATCH(Emissions!$D81,EF!$D$100:$D$115,0))*INDEX(EF!$H$132:$H$147,MATCH(Emissions!$D81,EF!$D$132:$D$147,0))*kgtoGg</f>
        <v>4.443195212126474E-3</v>
      </c>
      <c r="AR81" s="23">
        <f>INDEX('Activity data'!AR$24:AR$39,MATCH(Emissions!$D81,'Activity data'!$D$24:$D$39,0))*INDEX(EF!$H$84:$H$99,MATCH(Emissions!$D81,EF!$D$84:$D$99,0))*INDEX(EF!$H$100:$H$115,MATCH(Emissions!$D81,EF!$D$100:$D$115,0))*INDEX(EF!$H$132:$H$147,MATCH(Emissions!$D81,EF!$D$132:$D$147,0))*kgtoGg</f>
        <v>4.3966223344609921E-3</v>
      </c>
      <c r="AS81" s="23">
        <f>INDEX('Activity data'!AS$24:AS$39,MATCH(Emissions!$D81,'Activity data'!$D$24:$D$39,0))*INDEX(EF!$H$84:$H$99,MATCH(Emissions!$D81,EF!$D$84:$D$99,0))*INDEX(EF!$H$100:$H$115,MATCH(Emissions!$D81,EF!$D$100:$D$115,0))*INDEX(EF!$H$132:$H$147,MATCH(Emissions!$D81,EF!$D$132:$D$147,0))*kgtoGg</f>
        <v>4.3500494567955102E-3</v>
      </c>
      <c r="AT81" s="23">
        <f>INDEX('Activity data'!AT$24:AT$39,MATCH(Emissions!$D81,'Activity data'!$D$24:$D$39,0))*INDEX(EF!$H$84:$H$99,MATCH(Emissions!$D81,EF!$D$84:$D$99,0))*INDEX(EF!$H$100:$H$115,MATCH(Emissions!$D81,EF!$D$100:$D$115,0))*INDEX(EF!$H$132:$H$147,MATCH(Emissions!$D81,EF!$D$132:$D$147,0))*kgtoGg</f>
        <v>4.3034765791300274E-3</v>
      </c>
      <c r="AU81" s="23">
        <f>INDEX('Activity data'!AU$24:AU$39,MATCH(Emissions!$D81,'Activity data'!$D$24:$D$39,0))*INDEX(EF!$H$84:$H$99,MATCH(Emissions!$D81,EF!$D$84:$D$99,0))*INDEX(EF!$H$100:$H$115,MATCH(Emissions!$D81,EF!$D$100:$D$115,0))*INDEX(EF!$H$132:$H$147,MATCH(Emissions!$D81,EF!$D$132:$D$147,0))*kgtoGg</f>
        <v>4.2569037014645464E-3</v>
      </c>
      <c r="AV81" s="23">
        <f>INDEX('Activity data'!AV$24:AV$39,MATCH(Emissions!$D81,'Activity data'!$D$24:$D$39,0))*INDEX(EF!$H$84:$H$99,MATCH(Emissions!$D81,EF!$D$84:$D$99,0))*INDEX(EF!$H$100:$H$115,MATCH(Emissions!$D81,EF!$D$100:$D$115,0))*INDEX(EF!$H$132:$H$147,MATCH(Emissions!$D81,EF!$D$132:$D$147,0))*kgtoGg</f>
        <v>4.2103308237990645E-3</v>
      </c>
      <c r="AW81" s="23">
        <f>INDEX('Activity data'!AW$24:AW$39,MATCH(Emissions!$D81,'Activity data'!$D$24:$D$39,0))*INDEX(EF!$H$84:$H$99,MATCH(Emissions!$D81,EF!$D$84:$D$99,0))*INDEX(EF!$H$100:$H$115,MATCH(Emissions!$D81,EF!$D$100:$D$115,0))*INDEX(EF!$H$132:$H$147,MATCH(Emissions!$D81,EF!$D$132:$D$147,0))*kgtoGg</f>
        <v>4.1637579461335826E-3</v>
      </c>
      <c r="AX81" s="23">
        <f>INDEX('Activity data'!AX$24:AX$39,MATCH(Emissions!$D81,'Activity data'!$D$24:$D$39,0))*INDEX(EF!$H$84:$H$99,MATCH(Emissions!$D81,EF!$D$84:$D$99,0))*INDEX(EF!$H$100:$H$115,MATCH(Emissions!$D81,EF!$D$100:$D$115,0))*INDEX(EF!$H$132:$H$147,MATCH(Emissions!$D81,EF!$D$132:$D$147,0))*kgtoGg</f>
        <v>4.1171850684681007E-3</v>
      </c>
      <c r="AY81" s="23">
        <f>INDEX('Activity data'!AY$24:AY$39,MATCH(Emissions!$D81,'Activity data'!$D$24:$D$39,0))*INDEX(EF!$H$84:$H$99,MATCH(Emissions!$D81,EF!$D$84:$D$99,0))*INDEX(EF!$H$100:$H$115,MATCH(Emissions!$D81,EF!$D$100:$D$115,0))*INDEX(EF!$H$132:$H$147,MATCH(Emissions!$D81,EF!$D$132:$D$147,0))*kgtoGg</f>
        <v>4.0706121908026189E-3</v>
      </c>
      <c r="AZ81" s="23">
        <f>INDEX('Activity data'!AZ$24:AZ$39,MATCH(Emissions!$D81,'Activity data'!$D$24:$D$39,0))*INDEX(EF!$H$84:$H$99,MATCH(Emissions!$D81,EF!$D$84:$D$99,0))*INDEX(EF!$H$100:$H$115,MATCH(Emissions!$D81,EF!$D$100:$D$115,0))*INDEX(EF!$H$132:$H$147,MATCH(Emissions!$D81,EF!$D$132:$D$147,0))*kgtoGg</f>
        <v>4.024039313137137E-3</v>
      </c>
      <c r="BA81" s="23">
        <f>INDEX('Activity data'!BA$24:BA$39,MATCH(Emissions!$D81,'Activity data'!$D$24:$D$39,0))*INDEX(EF!$H$84:$H$99,MATCH(Emissions!$D81,EF!$D$84:$D$99,0))*INDEX(EF!$H$100:$H$115,MATCH(Emissions!$D81,EF!$D$100:$D$115,0))*INDEX(EF!$H$132:$H$147,MATCH(Emissions!$D81,EF!$D$132:$D$147,0))*kgtoGg</f>
        <v>3.9774664354716551E-3</v>
      </c>
      <c r="BB81" s="23">
        <f>INDEX('Activity data'!BB$24:BB$39,MATCH(Emissions!$D81,'Activity data'!$D$24:$D$39,0))*INDEX(EF!$H$84:$H$99,MATCH(Emissions!$D81,EF!$D$84:$D$99,0))*INDEX(EF!$H$100:$H$115,MATCH(Emissions!$D81,EF!$D$100:$D$115,0))*INDEX(EF!$H$132:$H$147,MATCH(Emissions!$D81,EF!$D$132:$D$147,0))*kgtoGg</f>
        <v>3.9308935578061732E-3</v>
      </c>
      <c r="BC81" s="23">
        <f>INDEX('Activity data'!BC$24:BC$39,MATCH(Emissions!$D81,'Activity data'!$D$24:$D$39,0))*INDEX(EF!$H$84:$H$99,MATCH(Emissions!$D81,EF!$D$84:$D$99,0))*INDEX(EF!$H$100:$H$115,MATCH(Emissions!$D81,EF!$D$100:$D$115,0))*INDEX(EF!$H$132:$H$147,MATCH(Emissions!$D81,EF!$D$132:$D$147,0))*kgtoGg</f>
        <v>3.8843206801406917E-3</v>
      </c>
      <c r="BD81" s="23">
        <f>INDEX('Activity data'!BD$24:BD$39,MATCH(Emissions!$D81,'Activity data'!$D$24:$D$39,0))*INDEX(EF!$H$84:$H$99,MATCH(Emissions!$D81,EF!$D$84:$D$99,0))*INDEX(EF!$H$100:$H$115,MATCH(Emissions!$D81,EF!$D$100:$D$115,0))*INDEX(EF!$H$132:$H$147,MATCH(Emissions!$D81,EF!$D$132:$D$147,0))*kgtoGg</f>
        <v>3.8377478024752094E-3</v>
      </c>
      <c r="BE81" s="23">
        <f>INDEX('Activity data'!BE$24:BE$39,MATCH(Emissions!$D81,'Activity data'!$D$24:$D$39,0))*INDEX(EF!$H$84:$H$99,MATCH(Emissions!$D81,EF!$D$84:$D$99,0))*INDEX(EF!$H$100:$H$115,MATCH(Emissions!$D81,EF!$D$100:$D$115,0))*INDEX(EF!$H$132:$H$147,MATCH(Emissions!$D81,EF!$D$132:$D$147,0))*kgtoGg</f>
        <v>3.7911749248097271E-3</v>
      </c>
      <c r="BF81" s="23">
        <f>INDEX('Activity data'!BF$24:BF$39,MATCH(Emissions!$D81,'Activity data'!$D$24:$D$39,0))*INDEX(EF!$H$84:$H$99,MATCH(Emissions!$D81,EF!$D$84:$D$99,0))*INDEX(EF!$H$100:$H$115,MATCH(Emissions!$D81,EF!$D$100:$D$115,0))*INDEX(EF!$H$132:$H$147,MATCH(Emissions!$D81,EF!$D$132:$D$147,0))*kgtoGg</f>
        <v>3.7446020471442456E-3</v>
      </c>
      <c r="BG81" s="23">
        <f>INDEX('Activity data'!BG$24:BG$39,MATCH(Emissions!$D81,'Activity data'!$D$24:$D$39,0))*INDEX(EF!$H$84:$H$99,MATCH(Emissions!$D81,EF!$D$84:$D$99,0))*INDEX(EF!$H$100:$H$115,MATCH(Emissions!$D81,EF!$D$100:$D$115,0))*INDEX(EF!$H$132:$H$147,MATCH(Emissions!$D81,EF!$D$132:$D$147,0))*kgtoGg</f>
        <v>3.6980291694787646E-3</v>
      </c>
      <c r="BH81" s="23">
        <f>INDEX('Activity data'!BH$24:BH$39,MATCH(Emissions!$D81,'Activity data'!$D$24:$D$39,0))*INDEX(EF!$H$84:$H$99,MATCH(Emissions!$D81,EF!$D$84:$D$99,0))*INDEX(EF!$H$100:$H$115,MATCH(Emissions!$D81,EF!$D$100:$D$115,0))*INDEX(EF!$H$132:$H$147,MATCH(Emissions!$D81,EF!$D$132:$D$147,0))*kgtoGg</f>
        <v>3.6514562918132823E-3</v>
      </c>
      <c r="BI81" s="23">
        <f>INDEX('Activity data'!BI$24:BI$39,MATCH(Emissions!$D81,'Activity data'!$D$24:$D$39,0))*INDEX(EF!$H$84:$H$99,MATCH(Emissions!$D81,EF!$D$84:$D$99,0))*INDEX(EF!$H$100:$H$115,MATCH(Emissions!$D81,EF!$D$100:$D$115,0))*INDEX(EF!$H$132:$H$147,MATCH(Emissions!$D81,EF!$D$132:$D$147,0))*kgtoGg</f>
        <v>3.6048834141478E-3</v>
      </c>
      <c r="BJ81" s="23">
        <f>INDEX('Activity data'!BJ$24:BJ$39,MATCH(Emissions!$D81,'Activity data'!$D$24:$D$39,0))*INDEX(EF!$H$84:$H$99,MATCH(Emissions!$D81,EF!$D$84:$D$99,0))*INDEX(EF!$H$100:$H$115,MATCH(Emissions!$D81,EF!$D$100:$D$115,0))*INDEX(EF!$H$132:$H$147,MATCH(Emissions!$D81,EF!$D$132:$D$147,0))*kgtoGg</f>
        <v>3.5583105364823181E-3</v>
      </c>
      <c r="BK81" s="23">
        <f>INDEX('Activity data'!BK$24:BK$39,MATCH(Emissions!$D81,'Activity data'!$D$24:$D$39,0))*INDEX(EF!$H$84:$H$99,MATCH(Emissions!$D81,EF!$D$84:$D$99,0))*INDEX(EF!$H$100:$H$115,MATCH(Emissions!$D81,EF!$D$100:$D$115,0))*INDEX(EF!$H$132:$H$147,MATCH(Emissions!$D81,EF!$D$132:$D$147,0))*kgtoGg</f>
        <v>3.5117376588168366E-3</v>
      </c>
      <c r="BL81" s="23">
        <f>INDEX('Activity data'!BL$24:BL$39,MATCH(Emissions!$D81,'Activity data'!$D$24:$D$39,0))*INDEX(EF!$H$84:$H$99,MATCH(Emissions!$D81,EF!$D$84:$D$99,0))*INDEX(EF!$H$100:$H$115,MATCH(Emissions!$D81,EF!$D$100:$D$115,0))*INDEX(EF!$H$132:$H$147,MATCH(Emissions!$D81,EF!$D$132:$D$147,0))*kgtoGg</f>
        <v>3.4651647811513538E-3</v>
      </c>
      <c r="BM81" s="23">
        <f>INDEX('Activity data'!BM$24:BM$39,MATCH(Emissions!$D81,'Activity data'!$D$24:$D$39,0))*INDEX(EF!$H$84:$H$99,MATCH(Emissions!$D81,EF!$D$84:$D$99,0))*INDEX(EF!$H$100:$H$115,MATCH(Emissions!$D81,EF!$D$100:$D$115,0))*INDEX(EF!$H$132:$H$147,MATCH(Emissions!$D81,EF!$D$132:$D$147,0))*kgtoGg</f>
        <v>3.4185919034858724E-3</v>
      </c>
      <c r="BN81" s="23">
        <f>INDEX('Activity data'!BN$24:BN$39,MATCH(Emissions!$D81,'Activity data'!$D$24:$D$39,0))*INDEX(EF!$H$84:$H$99,MATCH(Emissions!$D81,EF!$D$84:$D$99,0))*INDEX(EF!$H$100:$H$115,MATCH(Emissions!$D81,EF!$D$100:$D$115,0))*INDEX(EF!$H$132:$H$147,MATCH(Emissions!$D81,EF!$D$132:$D$147,0))*kgtoGg</f>
        <v>3.3720190258203901E-3</v>
      </c>
      <c r="BO81" s="23">
        <f>INDEX('Activity data'!BO$24:BO$39,MATCH(Emissions!$D81,'Activity data'!$D$24:$D$39,0))*INDEX(EF!$H$84:$H$99,MATCH(Emissions!$D81,EF!$D$84:$D$99,0))*INDEX(EF!$H$100:$H$115,MATCH(Emissions!$D81,EF!$D$100:$D$115,0))*INDEX(EF!$H$132:$H$147,MATCH(Emissions!$D81,EF!$D$132:$D$147,0))*kgtoGg</f>
        <v>3.3254461481549077E-3</v>
      </c>
      <c r="BP81" s="23">
        <f>INDEX('Activity data'!BP$24:BP$39,MATCH(Emissions!$D81,'Activity data'!$D$24:$D$39,0))*INDEX(EF!$H$84:$H$99,MATCH(Emissions!$D81,EF!$D$84:$D$99,0))*INDEX(EF!$H$100:$H$115,MATCH(Emissions!$D81,EF!$D$100:$D$115,0))*INDEX(EF!$H$132:$H$147,MATCH(Emissions!$D81,EF!$D$132:$D$147,0))*kgtoGg</f>
        <v>3.2788732704894267E-3</v>
      </c>
    </row>
    <row r="82" spans="1:68" x14ac:dyDescent="0.25">
      <c r="A82" t="str">
        <f t="shared" si="19"/>
        <v>3C Aggregated and non-CO2 emissions on land</v>
      </c>
      <c r="B82" t="str">
        <f t="shared" si="26"/>
        <v>3C1 Biomass burning (N2O)</v>
      </c>
      <c r="C82" t="str">
        <f t="shared" si="25"/>
        <v>3C1d Biomass burning in Wetlands</v>
      </c>
      <c r="D82" t="str">
        <f>EF!D112</f>
        <v>Wetlands</v>
      </c>
      <c r="E82" t="s">
        <v>736</v>
      </c>
      <c r="F82" t="str">
        <f t="shared" si="27"/>
        <v>N2O</v>
      </c>
      <c r="G82" t="str">
        <f t="shared" si="28"/>
        <v>Gg N2O</v>
      </c>
      <c r="H82" s="23">
        <f>INDEX('Activity data'!H$24:H$39,MATCH(Emissions!$D82,'Activity data'!$D$24:$D$39,0))*INDEX(EF!$H$84:$H$99,MATCH(Emissions!$D82,EF!$D$84:$D$99,0))*INDEX(EF!$H$100:$H$115,MATCH(Emissions!$D82,EF!$D$100:$D$115,0))*INDEX(EF!$H$132:$H$147,MATCH(Emissions!$D82,EF!$D$132:$D$147,0))*kgtoGg</f>
        <v>7.357077670844267E-2</v>
      </c>
      <c r="I82" s="23">
        <f>INDEX('Activity data'!I$24:I$39,MATCH(Emissions!$D82,'Activity data'!$D$24:$D$39,0))*INDEX(EF!$H$84:$H$99,MATCH(Emissions!$D82,EF!$D$84:$D$99,0))*INDEX(EF!$H$100:$H$115,MATCH(Emissions!$D82,EF!$D$100:$D$115,0))*INDEX(EF!$H$132:$H$147,MATCH(Emissions!$D82,EF!$D$132:$D$147,0))*kgtoGg</f>
        <v>7.357077670844267E-2</v>
      </c>
      <c r="J82" s="23">
        <f>INDEX('Activity data'!J$24:J$39,MATCH(Emissions!$D82,'Activity data'!$D$24:$D$39,0))*INDEX(EF!$H$84:$H$99,MATCH(Emissions!$D82,EF!$D$84:$D$99,0))*INDEX(EF!$H$100:$H$115,MATCH(Emissions!$D82,EF!$D$100:$D$115,0))*INDEX(EF!$H$132:$H$147,MATCH(Emissions!$D82,EF!$D$132:$D$147,0))*kgtoGg</f>
        <v>7.357077670844267E-2</v>
      </c>
      <c r="K82" s="23">
        <f>INDEX('Activity data'!K$24:K$39,MATCH(Emissions!$D82,'Activity data'!$D$24:$D$39,0))*INDEX(EF!$H$84:$H$99,MATCH(Emissions!$D82,EF!$D$84:$D$99,0))*INDEX(EF!$H$100:$H$115,MATCH(Emissions!$D82,EF!$D$100:$D$115,0))*INDEX(EF!$H$132:$H$147,MATCH(Emissions!$D82,EF!$D$132:$D$147,0))*kgtoGg</f>
        <v>7.357077670844267E-2</v>
      </c>
      <c r="L82" s="23">
        <f>INDEX('Activity data'!L$24:L$39,MATCH(Emissions!$D82,'Activity data'!$D$24:$D$39,0))*INDEX(EF!$H$84:$H$99,MATCH(Emissions!$D82,EF!$D$84:$D$99,0))*INDEX(EF!$H$100:$H$115,MATCH(Emissions!$D82,EF!$D$100:$D$115,0))*INDEX(EF!$H$132:$H$147,MATCH(Emissions!$D82,EF!$D$132:$D$147,0))*kgtoGg</f>
        <v>7.357077670844267E-2</v>
      </c>
      <c r="M82" s="23">
        <f>INDEX('Activity data'!M$24:M$39,MATCH(Emissions!$D82,'Activity data'!$D$24:$D$39,0))*INDEX(EF!$H$84:$H$99,MATCH(Emissions!$D82,EF!$D$84:$D$99,0))*INDEX(EF!$H$100:$H$115,MATCH(Emissions!$D82,EF!$D$100:$D$115,0))*INDEX(EF!$H$132:$H$147,MATCH(Emissions!$D82,EF!$D$132:$D$147,0))*kgtoGg</f>
        <v>7.357077670844267E-2</v>
      </c>
      <c r="N82" s="23">
        <f>INDEX('Activity data'!N$24:N$39,MATCH(Emissions!$D82,'Activity data'!$D$24:$D$39,0))*INDEX(EF!$H$84:$H$99,MATCH(Emissions!$D82,EF!$D$84:$D$99,0))*INDEX(EF!$H$100:$H$115,MATCH(Emissions!$D82,EF!$D$100:$D$115,0))*INDEX(EF!$H$132:$H$147,MATCH(Emissions!$D82,EF!$D$132:$D$147,0))*kgtoGg</f>
        <v>7.357077670844267E-2</v>
      </c>
      <c r="O82" s="23">
        <f>INDEX('Activity data'!O$24:O$39,MATCH(Emissions!$D82,'Activity data'!$D$24:$D$39,0))*INDEX(EF!$H$84:$H$99,MATCH(Emissions!$D82,EF!$D$84:$D$99,0))*INDEX(EF!$H$100:$H$115,MATCH(Emissions!$D82,EF!$D$100:$D$115,0))*INDEX(EF!$H$132:$H$147,MATCH(Emissions!$D82,EF!$D$132:$D$147,0))*kgtoGg</f>
        <v>7.357077670844267E-2</v>
      </c>
      <c r="P82" s="23">
        <f>INDEX('Activity data'!P$24:P$39,MATCH(Emissions!$D82,'Activity data'!$D$24:$D$39,0))*INDEX(EF!$H$84:$H$99,MATCH(Emissions!$D82,EF!$D$84:$D$99,0))*INDEX(EF!$H$100:$H$115,MATCH(Emissions!$D82,EF!$D$100:$D$115,0))*INDEX(EF!$H$132:$H$147,MATCH(Emissions!$D82,EF!$D$132:$D$147,0))*kgtoGg</f>
        <v>7.357077670844267E-2</v>
      </c>
      <c r="Q82" s="23">
        <f>INDEX('Activity data'!Q$24:Q$39,MATCH(Emissions!$D82,'Activity data'!$D$24:$D$39,0))*INDEX(EF!$H$84:$H$99,MATCH(Emissions!$D82,EF!$D$84:$D$99,0))*INDEX(EF!$H$100:$H$115,MATCH(Emissions!$D82,EF!$D$100:$D$115,0))*INDEX(EF!$H$132:$H$147,MATCH(Emissions!$D82,EF!$D$132:$D$147,0))*kgtoGg</f>
        <v>7.357077670844267E-2</v>
      </c>
      <c r="R82" s="23">
        <f>INDEX('Activity data'!R$24:R$39,MATCH(Emissions!$D82,'Activity data'!$D$24:$D$39,0))*INDEX(EF!$H$84:$H$99,MATCH(Emissions!$D82,EF!$D$84:$D$99,0))*INDEX(EF!$H$100:$H$115,MATCH(Emissions!$D82,EF!$D$100:$D$115,0))*INDEX(EF!$H$132:$H$147,MATCH(Emissions!$D82,EF!$D$132:$D$147,0))*kgtoGg</f>
        <v>6.5083674793923713E-2</v>
      </c>
      <c r="S82" s="23">
        <f>INDEX('Activity data'!S$24:S$39,MATCH(Emissions!$D82,'Activity data'!$D$24:$D$39,0))*INDEX(EF!$H$84:$H$99,MATCH(Emissions!$D82,EF!$D$84:$D$99,0))*INDEX(EF!$H$100:$H$115,MATCH(Emissions!$D82,EF!$D$100:$D$115,0))*INDEX(EF!$H$132:$H$147,MATCH(Emissions!$D82,EF!$D$132:$D$147,0))*kgtoGg</f>
        <v>7.8612973491927987E-2</v>
      </c>
      <c r="T82" s="23">
        <f>INDEX('Activity data'!T$24:T$39,MATCH(Emissions!$D82,'Activity data'!$D$24:$D$39,0))*INDEX(EF!$H$84:$H$99,MATCH(Emissions!$D82,EF!$D$84:$D$99,0))*INDEX(EF!$H$100:$H$115,MATCH(Emissions!$D82,EF!$D$100:$D$115,0))*INDEX(EF!$H$132:$H$147,MATCH(Emissions!$D82,EF!$D$132:$D$147,0))*kgtoGg</f>
        <v>8.8983449145904836E-2</v>
      </c>
      <c r="U82" s="23">
        <f>INDEX('Activity data'!U$24:U$39,MATCH(Emissions!$D82,'Activity data'!$D$24:$D$39,0))*INDEX(EF!$H$84:$H$99,MATCH(Emissions!$D82,EF!$D$84:$D$99,0))*INDEX(EF!$H$100:$H$115,MATCH(Emissions!$D82,EF!$D$100:$D$115,0))*INDEX(EF!$H$132:$H$147,MATCH(Emissions!$D82,EF!$D$132:$D$147,0))*kgtoGg</f>
        <v>7.2791997693814531E-2</v>
      </c>
      <c r="V82" s="23">
        <f>INDEX('Activity data'!V$24:V$39,MATCH(Emissions!$D82,'Activity data'!$D$24:$D$39,0))*INDEX(EF!$H$84:$H$99,MATCH(Emissions!$D82,EF!$D$84:$D$99,0))*INDEX(EF!$H$100:$H$115,MATCH(Emissions!$D82,EF!$D$100:$D$115,0))*INDEX(EF!$H$132:$H$147,MATCH(Emissions!$D82,EF!$D$132:$D$147,0))*kgtoGg</f>
        <v>6.2381788416642367E-2</v>
      </c>
      <c r="W82" s="23">
        <f>INDEX('Activity data'!W$24:W$39,MATCH(Emissions!$D82,'Activity data'!$D$24:$D$39,0))*INDEX(EF!$H$84:$H$99,MATCH(Emissions!$D82,EF!$D$84:$D$99,0))*INDEX(EF!$H$100:$H$115,MATCH(Emissions!$D82,EF!$D$100:$D$115,0))*INDEX(EF!$H$132:$H$147,MATCH(Emissions!$D82,EF!$D$132:$D$147,0))*kgtoGg</f>
        <v>9.2301206682713535E-2</v>
      </c>
      <c r="X82" s="23">
        <f>INDEX('Activity data'!X$24:X$39,MATCH(Emissions!$D82,'Activity data'!$D$24:$D$39,0))*INDEX(EF!$H$84:$H$99,MATCH(Emissions!$D82,EF!$D$84:$D$99,0))*INDEX(EF!$H$100:$H$115,MATCH(Emissions!$D82,EF!$D$100:$D$115,0))*INDEX(EF!$H$132:$H$147,MATCH(Emissions!$D82,EF!$D$132:$D$147,0))*kgtoGg</f>
        <v>8.1930731028736672E-2</v>
      </c>
      <c r="Y82" s="23">
        <f>INDEX('Activity data'!Y$24:Y$39,MATCH(Emissions!$D82,'Activity data'!$D$24:$D$39,0))*INDEX(EF!$H$84:$H$99,MATCH(Emissions!$D82,EF!$D$84:$D$99,0))*INDEX(EF!$H$100:$H$115,MATCH(Emissions!$D82,EF!$D$100:$D$115,0))*INDEX(EF!$H$132:$H$147,MATCH(Emissions!$D82,EF!$D$132:$D$147,0))*kgtoGg</f>
        <v>7.2176126534287191E-2</v>
      </c>
      <c r="Z82" s="23">
        <f>INDEX('Activity data'!Z$24:Z$39,MATCH(Emissions!$D82,'Activity data'!$D$24:$D$39,0))*INDEX(EF!$H$84:$H$99,MATCH(Emissions!$D82,EF!$D$84:$D$99,0))*INDEX(EF!$H$100:$H$115,MATCH(Emissions!$D82,EF!$D$100:$D$115,0))*INDEX(EF!$H$132:$H$147,MATCH(Emissions!$D82,EF!$D$132:$D$147,0))*kgtoGg</f>
        <v>6.5818746823036997E-2</v>
      </c>
      <c r="AA82" s="23">
        <f>INDEX('Activity data'!AA$24:AA$39,MATCH(Emissions!$D82,'Activity data'!$D$24:$D$39,0))*INDEX(EF!$H$84:$H$99,MATCH(Emissions!$D82,EF!$D$84:$D$99,0))*INDEX(EF!$H$100:$H$115,MATCH(Emissions!$D82,EF!$D$100:$D$115,0))*INDEX(EF!$H$132:$H$147,MATCH(Emissions!$D82,EF!$D$132:$D$147,0))*kgtoGg</f>
        <v>7.3924405954880992E-2</v>
      </c>
      <c r="AB82" s="23">
        <f>INDEX('Activity data'!AB$24:AB$39,MATCH(Emissions!$D82,'Activity data'!$D$24:$D$39,0))*INDEX(EF!$H$84:$H$99,MATCH(Emissions!$D82,EF!$D$84:$D$99,0))*INDEX(EF!$H$100:$H$115,MATCH(Emissions!$D82,EF!$D$100:$D$115,0))*INDEX(EF!$H$132:$H$147,MATCH(Emissions!$D82,EF!$D$132:$D$147,0))*kgtoGg</f>
        <v>9.8940084389999974E-2</v>
      </c>
      <c r="AC82" s="23">
        <f>INDEX('Activity data'!AC$24:AC$39,MATCH(Emissions!$D82,'Activity data'!$D$24:$D$39,0))*INDEX(EF!$H$84:$H$99,MATCH(Emissions!$D82,EF!$D$84:$D$99,0))*INDEX(EF!$H$100:$H$115,MATCH(Emissions!$D82,EF!$D$100:$D$115,0))*INDEX(EF!$H$132:$H$147,MATCH(Emissions!$D82,EF!$D$132:$D$147,0))*kgtoGg</f>
        <v>0.10685917493999998</v>
      </c>
      <c r="AD82" s="23">
        <f>INDEX('Activity data'!AD$24:AD$39,MATCH(Emissions!$D82,'Activity data'!$D$24:$D$39,0))*INDEX(EF!$H$84:$H$99,MATCH(Emissions!$D82,EF!$D$84:$D$99,0))*INDEX(EF!$H$100:$H$115,MATCH(Emissions!$D82,EF!$D$100:$D$115,0))*INDEX(EF!$H$132:$H$147,MATCH(Emissions!$D82,EF!$D$132:$D$147,0))*kgtoGg</f>
        <v>8.5146631919999979E-2</v>
      </c>
      <c r="AE82" s="23">
        <f>INDEX('Activity data'!AE$24:AE$39,MATCH(Emissions!$D82,'Activity data'!$D$24:$D$39,0))*INDEX(EF!$H$84:$H$99,MATCH(Emissions!$D82,EF!$D$84:$D$99,0))*INDEX(EF!$H$100:$H$115,MATCH(Emissions!$D82,EF!$D$100:$D$115,0))*INDEX(EF!$H$132:$H$147,MATCH(Emissions!$D82,EF!$D$132:$D$147,0))*kgtoGg</f>
        <v>9.9585576089999989E-2</v>
      </c>
      <c r="AF82" s="23">
        <f>INDEX('Activity data'!AF$24:AF$39,MATCH(Emissions!$D82,'Activity data'!$D$24:$D$39,0))*INDEX(EF!$H$84:$H$99,MATCH(Emissions!$D82,EF!$D$84:$D$99,0))*INDEX(EF!$H$100:$H$115,MATCH(Emissions!$D82,EF!$D$100:$D$115,0))*INDEX(EF!$H$132:$H$147,MATCH(Emissions!$D82,EF!$D$132:$D$147,0))*kgtoGg</f>
        <v>9.5053495949999983E-2</v>
      </c>
      <c r="AG82" s="23">
        <f>INDEX('Activity data'!AG$24:AG$39,MATCH(Emissions!$D82,'Activity data'!$D$24:$D$39,0))*INDEX(EF!$H$84:$H$99,MATCH(Emissions!$D82,EF!$D$84:$D$99,0))*INDEX(EF!$H$100:$H$115,MATCH(Emissions!$D82,EF!$D$100:$D$115,0))*INDEX(EF!$H$132:$H$147,MATCH(Emissions!$D82,EF!$D$132:$D$147,0))*kgtoGg</f>
        <v>8.8302567149999969E-2</v>
      </c>
      <c r="AH82" s="23">
        <f>INDEX('Activity data'!AH$24:AH$39,MATCH(Emissions!$D82,'Activity data'!$D$24:$D$39,0))*INDEX(EF!$H$84:$H$99,MATCH(Emissions!$D82,EF!$D$84:$D$99,0))*INDEX(EF!$H$100:$H$115,MATCH(Emissions!$D82,EF!$D$100:$D$115,0))*INDEX(EF!$H$132:$H$147,MATCH(Emissions!$D82,EF!$D$132:$D$147,0))*kgtoGg</f>
        <v>4.6387296269999996E-2</v>
      </c>
      <c r="AI82" s="23">
        <f>INDEX('Activity data'!AI$24:AI$39,MATCH(Emissions!$D82,'Activity data'!$D$24:$D$39,0))*INDEX(EF!$H$84:$H$99,MATCH(Emissions!$D82,EF!$D$84:$D$99,0))*INDEX(EF!$H$100:$H$115,MATCH(Emissions!$D82,EF!$D$100:$D$115,0))*INDEX(EF!$H$132:$H$147,MATCH(Emissions!$D82,EF!$D$132:$D$147,0))*kgtoGg</f>
        <v>4.4362172609999993E-2</v>
      </c>
      <c r="AJ82" s="23">
        <f>INDEX('Activity data'!AJ$24:AJ$39,MATCH(Emissions!$D82,'Activity data'!$D$24:$D$39,0))*INDEX(EF!$H$84:$H$99,MATCH(Emissions!$D82,EF!$D$84:$D$99,0))*INDEX(EF!$H$100:$H$115,MATCH(Emissions!$D82,EF!$D$100:$D$115,0))*INDEX(EF!$H$132:$H$147,MATCH(Emissions!$D82,EF!$D$132:$D$147,0))*kgtoGg</f>
        <v>4.3778724306360824E-2</v>
      </c>
      <c r="AK82" s="23">
        <f>INDEX('Activity data'!AK$24:AK$39,MATCH(Emissions!$D82,'Activity data'!$D$24:$D$39,0))*INDEX(EF!$H$84:$H$99,MATCH(Emissions!$D82,EF!$D$84:$D$99,0))*INDEX(EF!$H$100:$H$115,MATCH(Emissions!$D82,EF!$D$100:$D$115,0))*INDEX(EF!$H$132:$H$147,MATCH(Emissions!$D82,EF!$D$132:$D$147,0))*kgtoGg</f>
        <v>4.3088119527535843E-2</v>
      </c>
      <c r="AL82" s="23">
        <f>INDEX('Activity data'!AL$24:AL$39,MATCH(Emissions!$D82,'Activity data'!$D$24:$D$39,0))*INDEX(EF!$H$84:$H$99,MATCH(Emissions!$D82,EF!$D$84:$D$99,0))*INDEX(EF!$H$100:$H$115,MATCH(Emissions!$D82,EF!$D$100:$D$115,0))*INDEX(EF!$H$132:$H$147,MATCH(Emissions!$D82,EF!$D$132:$D$147,0))*kgtoGg</f>
        <v>4.2397514748710868E-2</v>
      </c>
      <c r="AM82" s="23">
        <f>INDEX('Activity data'!AM$24:AM$39,MATCH(Emissions!$D82,'Activity data'!$D$24:$D$39,0))*INDEX(EF!$H$84:$H$99,MATCH(Emissions!$D82,EF!$D$84:$D$99,0))*INDEX(EF!$H$100:$H$115,MATCH(Emissions!$D82,EF!$D$100:$D$115,0))*INDEX(EF!$H$132:$H$147,MATCH(Emissions!$D82,EF!$D$132:$D$147,0))*kgtoGg</f>
        <v>4.170690996988588E-2</v>
      </c>
      <c r="AN82" s="23">
        <f>INDEX('Activity data'!AN$24:AN$39,MATCH(Emissions!$D82,'Activity data'!$D$24:$D$39,0))*INDEX(EF!$H$84:$H$99,MATCH(Emissions!$D82,EF!$D$84:$D$99,0))*INDEX(EF!$H$100:$H$115,MATCH(Emissions!$D82,EF!$D$100:$D$115,0))*INDEX(EF!$H$132:$H$147,MATCH(Emissions!$D82,EF!$D$132:$D$147,0))*kgtoGg</f>
        <v>4.1016305191060913E-2</v>
      </c>
      <c r="AO82" s="23">
        <f>INDEX('Activity data'!AO$24:AO$39,MATCH(Emissions!$D82,'Activity data'!$D$24:$D$39,0))*INDEX(EF!$H$84:$H$99,MATCH(Emissions!$D82,EF!$D$84:$D$99,0))*INDEX(EF!$H$100:$H$115,MATCH(Emissions!$D82,EF!$D$100:$D$115,0))*INDEX(EF!$H$132:$H$147,MATCH(Emissions!$D82,EF!$D$132:$D$147,0))*kgtoGg</f>
        <v>4.0325700412235932E-2</v>
      </c>
      <c r="AP82" s="23">
        <f>INDEX('Activity data'!AP$24:AP$39,MATCH(Emissions!$D82,'Activity data'!$D$24:$D$39,0))*INDEX(EF!$H$84:$H$99,MATCH(Emissions!$D82,EF!$D$84:$D$99,0))*INDEX(EF!$H$100:$H$115,MATCH(Emissions!$D82,EF!$D$100:$D$115,0))*INDEX(EF!$H$132:$H$147,MATCH(Emissions!$D82,EF!$D$132:$D$147,0))*kgtoGg</f>
        <v>3.9635095633410965E-2</v>
      </c>
      <c r="AQ82" s="23">
        <f>INDEX('Activity data'!AQ$24:AQ$39,MATCH(Emissions!$D82,'Activity data'!$D$24:$D$39,0))*INDEX(EF!$H$84:$H$99,MATCH(Emissions!$D82,EF!$D$84:$D$99,0))*INDEX(EF!$H$100:$H$115,MATCH(Emissions!$D82,EF!$D$100:$D$115,0))*INDEX(EF!$H$132:$H$147,MATCH(Emissions!$D82,EF!$D$132:$D$147,0))*kgtoGg</f>
        <v>3.8944490854585984E-2</v>
      </c>
      <c r="AR82" s="23">
        <f>INDEX('Activity data'!AR$24:AR$39,MATCH(Emissions!$D82,'Activity data'!$D$24:$D$39,0))*INDEX(EF!$H$84:$H$99,MATCH(Emissions!$D82,EF!$D$84:$D$99,0))*INDEX(EF!$H$100:$H$115,MATCH(Emissions!$D82,EF!$D$100:$D$115,0))*INDEX(EF!$H$132:$H$147,MATCH(Emissions!$D82,EF!$D$132:$D$147,0))*kgtoGg</f>
        <v>3.8253886075761009E-2</v>
      </c>
      <c r="AS82" s="23">
        <f>INDEX('Activity data'!AS$24:AS$39,MATCH(Emissions!$D82,'Activity data'!$D$24:$D$39,0))*INDEX(EF!$H$84:$H$99,MATCH(Emissions!$D82,EF!$D$84:$D$99,0))*INDEX(EF!$H$100:$H$115,MATCH(Emissions!$D82,EF!$D$100:$D$115,0))*INDEX(EF!$H$132:$H$147,MATCH(Emissions!$D82,EF!$D$132:$D$147,0))*kgtoGg</f>
        <v>3.7563281296936028E-2</v>
      </c>
      <c r="AT82" s="23">
        <f>INDEX('Activity data'!AT$24:AT$39,MATCH(Emissions!$D82,'Activity data'!$D$24:$D$39,0))*INDEX(EF!$H$84:$H$99,MATCH(Emissions!$D82,EF!$D$84:$D$99,0))*INDEX(EF!$H$100:$H$115,MATCH(Emissions!$D82,EF!$D$100:$D$115,0))*INDEX(EF!$H$132:$H$147,MATCH(Emissions!$D82,EF!$D$132:$D$147,0))*kgtoGg</f>
        <v>3.6872676518111054E-2</v>
      </c>
      <c r="AU82" s="23">
        <f>INDEX('Activity data'!AU$24:AU$39,MATCH(Emissions!$D82,'Activity data'!$D$24:$D$39,0))*INDEX(EF!$H$84:$H$99,MATCH(Emissions!$D82,EF!$D$84:$D$99,0))*INDEX(EF!$H$100:$H$115,MATCH(Emissions!$D82,EF!$D$100:$D$115,0))*INDEX(EF!$H$132:$H$147,MATCH(Emissions!$D82,EF!$D$132:$D$147,0))*kgtoGg</f>
        <v>3.6182071739286073E-2</v>
      </c>
      <c r="AV82" s="23">
        <f>INDEX('Activity data'!AV$24:AV$39,MATCH(Emissions!$D82,'Activity data'!$D$24:$D$39,0))*INDEX(EF!$H$84:$H$99,MATCH(Emissions!$D82,EF!$D$84:$D$99,0))*INDEX(EF!$H$100:$H$115,MATCH(Emissions!$D82,EF!$D$100:$D$115,0))*INDEX(EF!$H$132:$H$147,MATCH(Emissions!$D82,EF!$D$132:$D$147,0))*kgtoGg</f>
        <v>3.5491466960461099E-2</v>
      </c>
      <c r="AW82" s="23">
        <f>INDEX('Activity data'!AW$24:AW$39,MATCH(Emissions!$D82,'Activity data'!$D$24:$D$39,0))*INDEX(EF!$H$84:$H$99,MATCH(Emissions!$D82,EF!$D$84:$D$99,0))*INDEX(EF!$H$100:$H$115,MATCH(Emissions!$D82,EF!$D$100:$D$115,0))*INDEX(EF!$H$132:$H$147,MATCH(Emissions!$D82,EF!$D$132:$D$147,0))*kgtoGg</f>
        <v>3.4800862181636118E-2</v>
      </c>
      <c r="AX82" s="23">
        <f>INDEX('Activity data'!AX$24:AX$39,MATCH(Emissions!$D82,'Activity data'!$D$24:$D$39,0))*INDEX(EF!$H$84:$H$99,MATCH(Emissions!$D82,EF!$D$84:$D$99,0))*INDEX(EF!$H$100:$H$115,MATCH(Emissions!$D82,EF!$D$100:$D$115,0))*INDEX(EF!$H$132:$H$147,MATCH(Emissions!$D82,EF!$D$132:$D$147,0))*kgtoGg</f>
        <v>3.4110257402811157E-2</v>
      </c>
      <c r="AY82" s="23">
        <f>INDEX('Activity data'!AY$24:AY$39,MATCH(Emissions!$D82,'Activity data'!$D$24:$D$39,0))*INDEX(EF!$H$84:$H$99,MATCH(Emissions!$D82,EF!$D$84:$D$99,0))*INDEX(EF!$H$100:$H$115,MATCH(Emissions!$D82,EF!$D$100:$D$115,0))*INDEX(EF!$H$132:$H$147,MATCH(Emissions!$D82,EF!$D$132:$D$147,0))*kgtoGg</f>
        <v>3.3419652623986183E-2</v>
      </c>
      <c r="AZ82" s="23">
        <f>INDEX('Activity data'!AZ$24:AZ$39,MATCH(Emissions!$D82,'Activity data'!$D$24:$D$39,0))*INDEX(EF!$H$84:$H$99,MATCH(Emissions!$D82,EF!$D$84:$D$99,0))*INDEX(EF!$H$100:$H$115,MATCH(Emissions!$D82,EF!$D$100:$D$115,0))*INDEX(EF!$H$132:$H$147,MATCH(Emissions!$D82,EF!$D$132:$D$147,0))*kgtoGg</f>
        <v>3.2729047845161209E-2</v>
      </c>
      <c r="BA82" s="23">
        <f>INDEX('Activity data'!BA$24:BA$39,MATCH(Emissions!$D82,'Activity data'!$D$24:$D$39,0))*INDEX(EF!$H$84:$H$99,MATCH(Emissions!$D82,EF!$D$84:$D$99,0))*INDEX(EF!$H$100:$H$115,MATCH(Emissions!$D82,EF!$D$100:$D$115,0))*INDEX(EF!$H$132:$H$147,MATCH(Emissions!$D82,EF!$D$132:$D$147,0))*kgtoGg</f>
        <v>3.2038443066336242E-2</v>
      </c>
      <c r="BB82" s="23">
        <f>INDEX('Activity data'!BB$24:BB$39,MATCH(Emissions!$D82,'Activity data'!$D$24:$D$39,0))*INDEX(EF!$H$84:$H$99,MATCH(Emissions!$D82,EF!$D$84:$D$99,0))*INDEX(EF!$H$100:$H$115,MATCH(Emissions!$D82,EF!$D$100:$D$115,0))*INDEX(EF!$H$132:$H$147,MATCH(Emissions!$D82,EF!$D$132:$D$147,0))*kgtoGg</f>
        <v>3.1347838287511268E-2</v>
      </c>
      <c r="BC82" s="23">
        <f>INDEX('Activity data'!BC$24:BC$39,MATCH(Emissions!$D82,'Activity data'!$D$24:$D$39,0))*INDEX(EF!$H$84:$H$99,MATCH(Emissions!$D82,EF!$D$84:$D$99,0))*INDEX(EF!$H$100:$H$115,MATCH(Emissions!$D82,EF!$D$100:$D$115,0))*INDEX(EF!$H$132:$H$147,MATCH(Emissions!$D82,EF!$D$132:$D$147,0))*kgtoGg</f>
        <v>3.065723350868629E-2</v>
      </c>
      <c r="BD82" s="23">
        <f>INDEX('Activity data'!BD$24:BD$39,MATCH(Emissions!$D82,'Activity data'!$D$24:$D$39,0))*INDEX(EF!$H$84:$H$99,MATCH(Emissions!$D82,EF!$D$84:$D$99,0))*INDEX(EF!$H$100:$H$115,MATCH(Emissions!$D82,EF!$D$100:$D$115,0))*INDEX(EF!$H$132:$H$147,MATCH(Emissions!$D82,EF!$D$132:$D$147,0))*kgtoGg</f>
        <v>2.9966628729861323E-2</v>
      </c>
      <c r="BE82" s="23">
        <f>INDEX('Activity data'!BE$24:BE$39,MATCH(Emissions!$D82,'Activity data'!$D$24:$D$39,0))*INDEX(EF!$H$84:$H$99,MATCH(Emissions!$D82,EF!$D$84:$D$99,0))*INDEX(EF!$H$100:$H$115,MATCH(Emissions!$D82,EF!$D$100:$D$115,0))*INDEX(EF!$H$132:$H$147,MATCH(Emissions!$D82,EF!$D$132:$D$147,0))*kgtoGg</f>
        <v>2.9276023951036352E-2</v>
      </c>
      <c r="BF82" s="23">
        <f>INDEX('Activity data'!BF$24:BF$39,MATCH(Emissions!$D82,'Activity data'!$D$24:$D$39,0))*INDEX(EF!$H$84:$H$99,MATCH(Emissions!$D82,EF!$D$84:$D$99,0))*INDEX(EF!$H$100:$H$115,MATCH(Emissions!$D82,EF!$D$100:$D$115,0))*INDEX(EF!$H$132:$H$147,MATCH(Emissions!$D82,EF!$D$132:$D$147,0))*kgtoGg</f>
        <v>2.8585419172211378E-2</v>
      </c>
      <c r="BG82" s="23">
        <f>INDEX('Activity data'!BG$24:BG$39,MATCH(Emissions!$D82,'Activity data'!$D$24:$D$39,0))*INDEX(EF!$H$84:$H$99,MATCH(Emissions!$D82,EF!$D$84:$D$99,0))*INDEX(EF!$H$100:$H$115,MATCH(Emissions!$D82,EF!$D$100:$D$115,0))*INDEX(EF!$H$132:$H$147,MATCH(Emissions!$D82,EF!$D$132:$D$147,0))*kgtoGg</f>
        <v>2.7894814393386407E-2</v>
      </c>
      <c r="BH82" s="23">
        <f>INDEX('Activity data'!BH$24:BH$39,MATCH(Emissions!$D82,'Activity data'!$D$24:$D$39,0))*INDEX(EF!$H$84:$H$99,MATCH(Emissions!$D82,EF!$D$84:$D$99,0))*INDEX(EF!$H$100:$H$115,MATCH(Emissions!$D82,EF!$D$100:$D$115,0))*INDEX(EF!$H$132:$H$147,MATCH(Emissions!$D82,EF!$D$132:$D$147,0))*kgtoGg</f>
        <v>2.7204209614561433E-2</v>
      </c>
      <c r="BI82" s="23">
        <f>INDEX('Activity data'!BI$24:BI$39,MATCH(Emissions!$D82,'Activity data'!$D$24:$D$39,0))*INDEX(EF!$H$84:$H$99,MATCH(Emissions!$D82,EF!$D$84:$D$99,0))*INDEX(EF!$H$100:$H$115,MATCH(Emissions!$D82,EF!$D$100:$D$115,0))*INDEX(EF!$H$132:$H$147,MATCH(Emissions!$D82,EF!$D$132:$D$147,0))*kgtoGg</f>
        <v>2.6513604835736462E-2</v>
      </c>
      <c r="BJ82" s="23">
        <f>INDEX('Activity data'!BJ$24:BJ$39,MATCH(Emissions!$D82,'Activity data'!$D$24:$D$39,0))*INDEX(EF!$H$84:$H$99,MATCH(Emissions!$D82,EF!$D$84:$D$99,0))*INDEX(EF!$H$100:$H$115,MATCH(Emissions!$D82,EF!$D$100:$D$115,0))*INDEX(EF!$H$132:$H$147,MATCH(Emissions!$D82,EF!$D$132:$D$147,0))*kgtoGg</f>
        <v>2.5823000056911488E-2</v>
      </c>
      <c r="BK82" s="23">
        <f>INDEX('Activity data'!BK$24:BK$39,MATCH(Emissions!$D82,'Activity data'!$D$24:$D$39,0))*INDEX(EF!$H$84:$H$99,MATCH(Emissions!$D82,EF!$D$84:$D$99,0))*INDEX(EF!$H$100:$H$115,MATCH(Emissions!$D82,EF!$D$100:$D$115,0))*INDEX(EF!$H$132:$H$147,MATCH(Emissions!$D82,EF!$D$132:$D$147,0))*kgtoGg</f>
        <v>2.5132395278086517E-2</v>
      </c>
      <c r="BL82" s="23">
        <f>INDEX('Activity data'!BL$24:BL$39,MATCH(Emissions!$D82,'Activity data'!$D$24:$D$39,0))*INDEX(EF!$H$84:$H$99,MATCH(Emissions!$D82,EF!$D$84:$D$99,0))*INDEX(EF!$H$100:$H$115,MATCH(Emissions!$D82,EF!$D$100:$D$115,0))*INDEX(EF!$H$132:$H$147,MATCH(Emissions!$D82,EF!$D$132:$D$147,0))*kgtoGg</f>
        <v>2.4441790499261543E-2</v>
      </c>
      <c r="BM82" s="23">
        <f>INDEX('Activity data'!BM$24:BM$39,MATCH(Emissions!$D82,'Activity data'!$D$24:$D$39,0))*INDEX(EF!$H$84:$H$99,MATCH(Emissions!$D82,EF!$D$84:$D$99,0))*INDEX(EF!$H$100:$H$115,MATCH(Emissions!$D82,EF!$D$100:$D$115,0))*INDEX(EF!$H$132:$H$147,MATCH(Emissions!$D82,EF!$D$132:$D$147,0))*kgtoGg</f>
        <v>2.3751185720436573E-2</v>
      </c>
      <c r="BN82" s="23">
        <f>INDEX('Activity data'!BN$24:BN$39,MATCH(Emissions!$D82,'Activity data'!$D$24:$D$39,0))*INDEX(EF!$H$84:$H$99,MATCH(Emissions!$D82,EF!$D$84:$D$99,0))*INDEX(EF!$H$100:$H$115,MATCH(Emissions!$D82,EF!$D$100:$D$115,0))*INDEX(EF!$H$132:$H$147,MATCH(Emissions!$D82,EF!$D$132:$D$147,0))*kgtoGg</f>
        <v>2.3060580941611602E-2</v>
      </c>
      <c r="BO82" s="23">
        <f>INDEX('Activity data'!BO$24:BO$39,MATCH(Emissions!$D82,'Activity data'!$D$24:$D$39,0))*INDEX(EF!$H$84:$H$99,MATCH(Emissions!$D82,EF!$D$84:$D$99,0))*INDEX(EF!$H$100:$H$115,MATCH(Emissions!$D82,EF!$D$100:$D$115,0))*INDEX(EF!$H$132:$H$147,MATCH(Emissions!$D82,EF!$D$132:$D$147,0))*kgtoGg</f>
        <v>2.2369976162786628E-2</v>
      </c>
      <c r="BP82" s="23">
        <f>INDEX('Activity data'!BP$24:BP$39,MATCH(Emissions!$D82,'Activity data'!$D$24:$D$39,0))*INDEX(EF!$H$84:$H$99,MATCH(Emissions!$D82,EF!$D$84:$D$99,0))*INDEX(EF!$H$100:$H$115,MATCH(Emissions!$D82,EF!$D$100:$D$115,0))*INDEX(EF!$H$132:$H$147,MATCH(Emissions!$D82,EF!$D$132:$D$147,0))*kgtoGg</f>
        <v>2.1679371383961657E-2</v>
      </c>
    </row>
    <row r="83" spans="1:68" x14ac:dyDescent="0.25">
      <c r="A83" t="str">
        <f t="shared" si="19"/>
        <v>3C Aggregated and non-CO2 emissions on land</v>
      </c>
      <c r="B83" t="str">
        <f t="shared" si="26"/>
        <v>3C1 Biomass burning (N2O)</v>
      </c>
      <c r="C83" t="str">
        <f t="shared" si="25"/>
        <v>3C1e Biomass burning in Settlements</v>
      </c>
      <c r="D83" t="str">
        <f>EF!D113</f>
        <v>Settlements</v>
      </c>
      <c r="E83" t="s">
        <v>737</v>
      </c>
      <c r="F83" t="str">
        <f t="shared" si="27"/>
        <v>N2O</v>
      </c>
      <c r="G83" t="str">
        <f t="shared" si="28"/>
        <v>Gg N2O</v>
      </c>
      <c r="H83" s="23">
        <f>INDEX('Activity data'!H$24:H$39,MATCH(Emissions!$D83,'Activity data'!$D$24:$D$39,0))*INDEX(EF!$H$84:$H$99,MATCH(Emissions!$D83,EF!$D$84:$D$99,0))*INDEX(EF!$H$100:$H$115,MATCH(Emissions!$D83,EF!$D$100:$D$115,0))*INDEX(EF!$H$132:$H$147,MATCH(Emissions!$D83,EF!$D$132:$D$147,0))*kgtoGg</f>
        <v>4.462880557297625E-2</v>
      </c>
      <c r="I83" s="23">
        <f>INDEX('Activity data'!I$24:I$39,MATCH(Emissions!$D83,'Activity data'!$D$24:$D$39,0))*INDEX(EF!$H$84:$H$99,MATCH(Emissions!$D83,EF!$D$84:$D$99,0))*INDEX(EF!$H$100:$H$115,MATCH(Emissions!$D83,EF!$D$100:$D$115,0))*INDEX(EF!$H$132:$H$147,MATCH(Emissions!$D83,EF!$D$132:$D$147,0))*kgtoGg</f>
        <v>4.462880557297625E-2</v>
      </c>
      <c r="J83" s="23">
        <f>INDEX('Activity data'!J$24:J$39,MATCH(Emissions!$D83,'Activity data'!$D$24:$D$39,0))*INDEX(EF!$H$84:$H$99,MATCH(Emissions!$D83,EF!$D$84:$D$99,0))*INDEX(EF!$H$100:$H$115,MATCH(Emissions!$D83,EF!$D$100:$D$115,0))*INDEX(EF!$H$132:$H$147,MATCH(Emissions!$D83,EF!$D$132:$D$147,0))*kgtoGg</f>
        <v>4.462880557297625E-2</v>
      </c>
      <c r="K83" s="23">
        <f>INDEX('Activity data'!K$24:K$39,MATCH(Emissions!$D83,'Activity data'!$D$24:$D$39,0))*INDEX(EF!$H$84:$H$99,MATCH(Emissions!$D83,EF!$D$84:$D$99,0))*INDEX(EF!$H$100:$H$115,MATCH(Emissions!$D83,EF!$D$100:$D$115,0))*INDEX(EF!$H$132:$H$147,MATCH(Emissions!$D83,EF!$D$132:$D$147,0))*kgtoGg</f>
        <v>4.462880557297625E-2</v>
      </c>
      <c r="L83" s="23">
        <f>INDEX('Activity data'!L$24:L$39,MATCH(Emissions!$D83,'Activity data'!$D$24:$D$39,0))*INDEX(EF!$H$84:$H$99,MATCH(Emissions!$D83,EF!$D$84:$D$99,0))*INDEX(EF!$H$100:$H$115,MATCH(Emissions!$D83,EF!$D$100:$D$115,0))*INDEX(EF!$H$132:$H$147,MATCH(Emissions!$D83,EF!$D$132:$D$147,0))*kgtoGg</f>
        <v>4.462880557297625E-2</v>
      </c>
      <c r="M83" s="23">
        <f>INDEX('Activity data'!M$24:M$39,MATCH(Emissions!$D83,'Activity data'!$D$24:$D$39,0))*INDEX(EF!$H$84:$H$99,MATCH(Emissions!$D83,EF!$D$84:$D$99,0))*INDEX(EF!$H$100:$H$115,MATCH(Emissions!$D83,EF!$D$100:$D$115,0))*INDEX(EF!$H$132:$H$147,MATCH(Emissions!$D83,EF!$D$132:$D$147,0))*kgtoGg</f>
        <v>4.462880557297625E-2</v>
      </c>
      <c r="N83" s="23">
        <f>INDEX('Activity data'!N$24:N$39,MATCH(Emissions!$D83,'Activity data'!$D$24:$D$39,0))*INDEX(EF!$H$84:$H$99,MATCH(Emissions!$D83,EF!$D$84:$D$99,0))*INDEX(EF!$H$100:$H$115,MATCH(Emissions!$D83,EF!$D$100:$D$115,0))*INDEX(EF!$H$132:$H$147,MATCH(Emissions!$D83,EF!$D$132:$D$147,0))*kgtoGg</f>
        <v>4.462880557297625E-2</v>
      </c>
      <c r="O83" s="23">
        <f>INDEX('Activity data'!O$24:O$39,MATCH(Emissions!$D83,'Activity data'!$D$24:$D$39,0))*INDEX(EF!$H$84:$H$99,MATCH(Emissions!$D83,EF!$D$84:$D$99,0))*INDEX(EF!$H$100:$H$115,MATCH(Emissions!$D83,EF!$D$100:$D$115,0))*INDEX(EF!$H$132:$H$147,MATCH(Emissions!$D83,EF!$D$132:$D$147,0))*kgtoGg</f>
        <v>4.462880557297625E-2</v>
      </c>
      <c r="P83" s="23">
        <f>INDEX('Activity data'!P$24:P$39,MATCH(Emissions!$D83,'Activity data'!$D$24:$D$39,0))*INDEX(EF!$H$84:$H$99,MATCH(Emissions!$D83,EF!$D$84:$D$99,0))*INDEX(EF!$H$100:$H$115,MATCH(Emissions!$D83,EF!$D$100:$D$115,0))*INDEX(EF!$H$132:$H$147,MATCH(Emissions!$D83,EF!$D$132:$D$147,0))*kgtoGg</f>
        <v>4.462880557297625E-2</v>
      </c>
      <c r="Q83" s="23">
        <f>INDEX('Activity data'!Q$24:Q$39,MATCH(Emissions!$D83,'Activity data'!$D$24:$D$39,0))*INDEX(EF!$H$84:$H$99,MATCH(Emissions!$D83,EF!$D$84:$D$99,0))*INDEX(EF!$H$100:$H$115,MATCH(Emissions!$D83,EF!$D$100:$D$115,0))*INDEX(EF!$H$132:$H$147,MATCH(Emissions!$D83,EF!$D$132:$D$147,0))*kgtoGg</f>
        <v>4.462880557297625E-2</v>
      </c>
      <c r="R83" s="23">
        <f>INDEX('Activity data'!R$24:R$39,MATCH(Emissions!$D83,'Activity data'!$D$24:$D$39,0))*INDEX(EF!$H$84:$H$99,MATCH(Emissions!$D83,EF!$D$84:$D$99,0))*INDEX(EF!$H$100:$H$115,MATCH(Emissions!$D83,EF!$D$100:$D$115,0))*INDEX(EF!$H$132:$H$147,MATCH(Emissions!$D83,EF!$D$132:$D$147,0))*kgtoGg</f>
        <v>4.8614087979466203E-2</v>
      </c>
      <c r="S83" s="23">
        <f>INDEX('Activity data'!S$24:S$39,MATCH(Emissions!$D83,'Activity data'!$D$24:$D$39,0))*INDEX(EF!$H$84:$H$99,MATCH(Emissions!$D83,EF!$D$84:$D$99,0))*INDEX(EF!$H$100:$H$115,MATCH(Emissions!$D83,EF!$D$100:$D$115,0))*INDEX(EF!$H$132:$H$147,MATCH(Emissions!$D83,EF!$D$132:$D$147,0))*kgtoGg</f>
        <v>5.3839059429649942E-2</v>
      </c>
      <c r="T83" s="23">
        <f>INDEX('Activity data'!T$24:T$39,MATCH(Emissions!$D83,'Activity data'!$D$24:$D$39,0))*INDEX(EF!$H$84:$H$99,MATCH(Emissions!$D83,EF!$D$84:$D$99,0))*INDEX(EF!$H$100:$H$115,MATCH(Emissions!$D83,EF!$D$100:$D$115,0))*INDEX(EF!$H$132:$H$147,MATCH(Emissions!$D83,EF!$D$132:$D$147,0))*kgtoGg</f>
        <v>4.76008805879857E-2</v>
      </c>
      <c r="U83" s="23">
        <f>INDEX('Activity data'!U$24:U$39,MATCH(Emissions!$D83,'Activity data'!$D$24:$D$39,0))*INDEX(EF!$H$84:$H$99,MATCH(Emissions!$D83,EF!$D$84:$D$99,0))*INDEX(EF!$H$100:$H$115,MATCH(Emissions!$D83,EF!$D$100:$D$115,0))*INDEX(EF!$H$132:$H$147,MATCH(Emissions!$D83,EF!$D$132:$D$147,0))*kgtoGg</f>
        <v>4.1064699572356617E-2</v>
      </c>
      <c r="V83" s="23">
        <f>INDEX('Activity data'!V$24:V$39,MATCH(Emissions!$D83,'Activity data'!$D$24:$D$39,0))*INDEX(EF!$H$84:$H$99,MATCH(Emissions!$D83,EF!$D$84:$D$99,0))*INDEX(EF!$H$100:$H$115,MATCH(Emissions!$D83,EF!$D$100:$D$115,0))*INDEX(EF!$H$132:$H$147,MATCH(Emissions!$D83,EF!$D$132:$D$147,0))*kgtoGg</f>
        <v>3.2025300295422769E-2</v>
      </c>
      <c r="W83" s="23">
        <f>INDEX('Activity data'!W$24:W$39,MATCH(Emissions!$D83,'Activity data'!$D$24:$D$39,0))*INDEX(EF!$H$84:$H$99,MATCH(Emissions!$D83,EF!$D$84:$D$99,0))*INDEX(EF!$H$100:$H$115,MATCH(Emissions!$D83,EF!$D$100:$D$115,0))*INDEX(EF!$H$132:$H$147,MATCH(Emissions!$D83,EF!$D$132:$D$147,0))*kgtoGg</f>
        <v>7.2513862331447368E-2</v>
      </c>
      <c r="X83" s="23">
        <f>INDEX('Activity data'!X$24:X$39,MATCH(Emissions!$D83,'Activity data'!$D$24:$D$39,0))*INDEX(EF!$H$84:$H$99,MATCH(Emissions!$D83,EF!$D$84:$D$99,0))*INDEX(EF!$H$100:$H$115,MATCH(Emissions!$D83,EF!$D$100:$D$115,0))*INDEX(EF!$H$132:$H$147,MATCH(Emissions!$D83,EF!$D$132:$D$147,0))*kgtoGg</f>
        <v>6.3514196677708815E-2</v>
      </c>
      <c r="Y83" s="23">
        <f>INDEX('Activity data'!Y$24:Y$39,MATCH(Emissions!$D83,'Activity data'!$D$24:$D$39,0))*INDEX(EF!$H$84:$H$99,MATCH(Emissions!$D83,EF!$D$84:$D$99,0))*INDEX(EF!$H$100:$H$115,MATCH(Emissions!$D83,EF!$D$100:$D$115,0))*INDEX(EF!$H$132:$H$147,MATCH(Emissions!$D83,EF!$D$132:$D$147,0))*kgtoGg</f>
        <v>7.0249045809314473E-2</v>
      </c>
      <c r="Z83" s="23">
        <f>INDEX('Activity data'!Z$24:Z$39,MATCH(Emissions!$D83,'Activity data'!$D$24:$D$39,0))*INDEX(EF!$H$84:$H$99,MATCH(Emissions!$D83,EF!$D$84:$D$99,0))*INDEX(EF!$H$100:$H$115,MATCH(Emissions!$D83,EF!$D$100:$D$115,0))*INDEX(EF!$H$132:$H$147,MATCH(Emissions!$D83,EF!$D$132:$D$147,0))*kgtoGg</f>
        <v>4.3369249717684813E-2</v>
      </c>
      <c r="AA83" s="23">
        <f>INDEX('Activity data'!AA$24:AA$39,MATCH(Emissions!$D83,'Activity data'!$D$24:$D$39,0))*INDEX(EF!$H$84:$H$99,MATCH(Emissions!$D83,EF!$D$84:$D$99,0))*INDEX(EF!$H$100:$H$115,MATCH(Emissions!$D83,EF!$D$100:$D$115,0))*INDEX(EF!$H$132:$H$147,MATCH(Emissions!$D83,EF!$D$132:$D$147,0))*kgtoGg</f>
        <v>5.2190114067044435E-2</v>
      </c>
      <c r="AB83" s="23">
        <f>INDEX('Activity data'!AB$24:AB$39,MATCH(Emissions!$D83,'Activity data'!$D$24:$D$39,0))*INDEX(EF!$H$84:$H$99,MATCH(Emissions!$D83,EF!$D$84:$D$99,0))*INDEX(EF!$H$100:$H$115,MATCH(Emissions!$D83,EF!$D$100:$D$115,0))*INDEX(EF!$H$132:$H$147,MATCH(Emissions!$D83,EF!$D$132:$D$147,0))*kgtoGg</f>
        <v>3.9028768379999995E-2</v>
      </c>
      <c r="AC83" s="23">
        <f>INDEX('Activity data'!AC$24:AC$39,MATCH(Emissions!$D83,'Activity data'!$D$24:$D$39,0))*INDEX(EF!$H$84:$H$99,MATCH(Emissions!$D83,EF!$D$84:$D$99,0))*INDEX(EF!$H$100:$H$115,MATCH(Emissions!$D83,EF!$D$100:$D$115,0))*INDEX(EF!$H$132:$H$147,MATCH(Emissions!$D83,EF!$D$132:$D$147,0))*kgtoGg</f>
        <v>2.72036394E-2</v>
      </c>
      <c r="AD83" s="23">
        <f>INDEX('Activity data'!AD$24:AD$39,MATCH(Emissions!$D83,'Activity data'!$D$24:$D$39,0))*INDEX(EF!$H$84:$H$99,MATCH(Emissions!$D83,EF!$D$84:$D$99,0))*INDEX(EF!$H$100:$H$115,MATCH(Emissions!$D83,EF!$D$100:$D$115,0))*INDEX(EF!$H$132:$H$147,MATCH(Emissions!$D83,EF!$D$132:$D$147,0))*kgtoGg</f>
        <v>2.6492746139999999E-2</v>
      </c>
      <c r="AE83" s="23">
        <f>INDEX('Activity data'!AE$24:AE$39,MATCH(Emissions!$D83,'Activity data'!$D$24:$D$39,0))*INDEX(EF!$H$84:$H$99,MATCH(Emissions!$D83,EF!$D$84:$D$99,0))*INDEX(EF!$H$100:$H$115,MATCH(Emissions!$D83,EF!$D$100:$D$115,0))*INDEX(EF!$H$132:$H$147,MATCH(Emissions!$D83,EF!$D$132:$D$147,0))*kgtoGg</f>
        <v>2.8485866429999993E-2</v>
      </c>
      <c r="AF83" s="23">
        <f>INDEX('Activity data'!AF$24:AF$39,MATCH(Emissions!$D83,'Activity data'!$D$24:$D$39,0))*INDEX(EF!$H$84:$H$99,MATCH(Emissions!$D83,EF!$D$84:$D$99,0))*INDEX(EF!$H$100:$H$115,MATCH(Emissions!$D83,EF!$D$100:$D$115,0))*INDEX(EF!$H$132:$H$147,MATCH(Emissions!$D83,EF!$D$132:$D$147,0))*kgtoGg</f>
        <v>2.9785606199999995E-2</v>
      </c>
      <c r="AG83" s="23">
        <f>INDEX('Activity data'!AG$24:AG$39,MATCH(Emissions!$D83,'Activity data'!$D$24:$D$39,0))*INDEX(EF!$H$84:$H$99,MATCH(Emissions!$D83,EF!$D$84:$D$99,0))*INDEX(EF!$H$100:$H$115,MATCH(Emissions!$D83,EF!$D$100:$D$115,0))*INDEX(EF!$H$132:$H$147,MATCH(Emissions!$D83,EF!$D$132:$D$147,0))*kgtoGg</f>
        <v>1.932569604E-2</v>
      </c>
      <c r="AH83" s="23">
        <f>INDEX('Activity data'!AH$24:AH$39,MATCH(Emissions!$D83,'Activity data'!$D$24:$D$39,0))*INDEX(EF!$H$84:$H$99,MATCH(Emissions!$D83,EF!$D$84:$D$99,0))*INDEX(EF!$H$100:$H$115,MATCH(Emissions!$D83,EF!$D$100:$D$115,0))*INDEX(EF!$H$132:$H$147,MATCH(Emissions!$D83,EF!$D$132:$D$147,0))*kgtoGg</f>
        <v>7.071117479999999E-3</v>
      </c>
      <c r="AI83" s="23">
        <f>INDEX('Activity data'!AI$24:AI$39,MATCH(Emissions!$D83,'Activity data'!$D$24:$D$39,0))*INDEX(EF!$H$84:$H$99,MATCH(Emissions!$D83,EF!$D$84:$D$99,0))*INDEX(EF!$H$100:$H$115,MATCH(Emissions!$D83,EF!$D$100:$D$115,0))*INDEX(EF!$H$132:$H$147,MATCH(Emissions!$D83,EF!$D$132:$D$147,0))*kgtoGg</f>
        <v>6.8506584299999991E-3</v>
      </c>
      <c r="AJ83" s="23">
        <f>INDEX('Activity data'!AJ$24:AJ$39,MATCH(Emissions!$D83,'Activity data'!$D$24:$D$39,0))*INDEX(EF!$H$84:$H$99,MATCH(Emissions!$D83,EF!$D$84:$D$99,0))*INDEX(EF!$H$100:$H$115,MATCH(Emissions!$D83,EF!$D$100:$D$115,0))*INDEX(EF!$H$132:$H$147,MATCH(Emissions!$D83,EF!$D$132:$D$147,0))*kgtoGg</f>
        <v>4.2302353356709184E-2</v>
      </c>
      <c r="AK83" s="23">
        <f>INDEX('Activity data'!AK$24:AK$39,MATCH(Emissions!$D83,'Activity data'!$D$24:$D$39,0))*INDEX(EF!$H$84:$H$99,MATCH(Emissions!$D83,EF!$D$84:$D$99,0))*INDEX(EF!$H$100:$H$115,MATCH(Emissions!$D83,EF!$D$100:$D$115,0))*INDEX(EF!$H$132:$H$147,MATCH(Emissions!$D83,EF!$D$132:$D$147,0))*kgtoGg</f>
        <v>4.2481933237718345E-2</v>
      </c>
      <c r="AL83" s="23">
        <f>INDEX('Activity data'!AL$24:AL$39,MATCH(Emissions!$D83,'Activity data'!$D$24:$D$39,0))*INDEX(EF!$H$84:$H$99,MATCH(Emissions!$D83,EF!$D$84:$D$99,0))*INDEX(EF!$H$100:$H$115,MATCH(Emissions!$D83,EF!$D$100:$D$115,0))*INDEX(EF!$H$132:$H$147,MATCH(Emissions!$D83,EF!$D$132:$D$147,0))*kgtoGg</f>
        <v>4.2661513118727519E-2</v>
      </c>
      <c r="AM83" s="23">
        <f>INDEX('Activity data'!AM$24:AM$39,MATCH(Emissions!$D83,'Activity data'!$D$24:$D$39,0))*INDEX(EF!$H$84:$H$99,MATCH(Emissions!$D83,EF!$D$84:$D$99,0))*INDEX(EF!$H$100:$H$115,MATCH(Emissions!$D83,EF!$D$100:$D$115,0))*INDEX(EF!$H$132:$H$147,MATCH(Emissions!$D83,EF!$D$132:$D$147,0))*kgtoGg</f>
        <v>4.284109299973668E-2</v>
      </c>
      <c r="AN83" s="23">
        <f>INDEX('Activity data'!AN$24:AN$39,MATCH(Emissions!$D83,'Activity data'!$D$24:$D$39,0))*INDEX(EF!$H$84:$H$99,MATCH(Emissions!$D83,EF!$D$84:$D$99,0))*INDEX(EF!$H$100:$H$115,MATCH(Emissions!$D83,EF!$D$100:$D$115,0))*INDEX(EF!$H$132:$H$147,MATCH(Emissions!$D83,EF!$D$132:$D$147,0))*kgtoGg</f>
        <v>4.302067288074584E-2</v>
      </c>
      <c r="AO83" s="23">
        <f>INDEX('Activity data'!AO$24:AO$39,MATCH(Emissions!$D83,'Activity data'!$D$24:$D$39,0))*INDEX(EF!$H$84:$H$99,MATCH(Emissions!$D83,EF!$D$84:$D$99,0))*INDEX(EF!$H$100:$H$115,MATCH(Emissions!$D83,EF!$D$100:$D$115,0))*INDEX(EF!$H$132:$H$147,MATCH(Emissions!$D83,EF!$D$132:$D$147,0))*kgtoGg</f>
        <v>4.3200252761755015E-2</v>
      </c>
      <c r="AP83" s="23">
        <f>INDEX('Activity data'!AP$24:AP$39,MATCH(Emissions!$D83,'Activity data'!$D$24:$D$39,0))*INDEX(EF!$H$84:$H$99,MATCH(Emissions!$D83,EF!$D$84:$D$99,0))*INDEX(EF!$H$100:$H$115,MATCH(Emissions!$D83,EF!$D$100:$D$115,0))*INDEX(EF!$H$132:$H$147,MATCH(Emissions!$D83,EF!$D$132:$D$147,0))*kgtoGg</f>
        <v>4.3379832642764168E-2</v>
      </c>
      <c r="AQ83" s="23">
        <f>INDEX('Activity data'!AQ$24:AQ$39,MATCH(Emissions!$D83,'Activity data'!$D$24:$D$39,0))*INDEX(EF!$H$84:$H$99,MATCH(Emissions!$D83,EF!$D$84:$D$99,0))*INDEX(EF!$H$100:$H$115,MATCH(Emissions!$D83,EF!$D$100:$D$115,0))*INDEX(EF!$H$132:$H$147,MATCH(Emissions!$D83,EF!$D$132:$D$147,0))*kgtoGg</f>
        <v>4.3559412523773336E-2</v>
      </c>
      <c r="AR83" s="23">
        <f>INDEX('Activity data'!AR$24:AR$39,MATCH(Emissions!$D83,'Activity data'!$D$24:$D$39,0))*INDEX(EF!$H$84:$H$99,MATCH(Emissions!$D83,EF!$D$84:$D$99,0))*INDEX(EF!$H$100:$H$115,MATCH(Emissions!$D83,EF!$D$100:$D$115,0))*INDEX(EF!$H$132:$H$147,MATCH(Emissions!$D83,EF!$D$132:$D$147,0))*kgtoGg</f>
        <v>4.373899240478251E-2</v>
      </c>
      <c r="AS83" s="23">
        <f>INDEX('Activity data'!AS$24:AS$39,MATCH(Emissions!$D83,'Activity data'!$D$24:$D$39,0))*INDEX(EF!$H$84:$H$99,MATCH(Emissions!$D83,EF!$D$84:$D$99,0))*INDEX(EF!$H$100:$H$115,MATCH(Emissions!$D83,EF!$D$100:$D$115,0))*INDEX(EF!$H$132:$H$147,MATCH(Emissions!$D83,EF!$D$132:$D$147,0))*kgtoGg</f>
        <v>4.3918572285791671E-2</v>
      </c>
      <c r="AT83" s="23">
        <f>INDEX('Activity data'!AT$24:AT$39,MATCH(Emissions!$D83,'Activity data'!$D$24:$D$39,0))*INDEX(EF!$H$84:$H$99,MATCH(Emissions!$D83,EF!$D$84:$D$99,0))*INDEX(EF!$H$100:$H$115,MATCH(Emissions!$D83,EF!$D$100:$D$115,0))*INDEX(EF!$H$132:$H$147,MATCH(Emissions!$D83,EF!$D$132:$D$147,0))*kgtoGg</f>
        <v>4.4098152166800825E-2</v>
      </c>
      <c r="AU83" s="23">
        <f>INDEX('Activity data'!AU$24:AU$39,MATCH(Emissions!$D83,'Activity data'!$D$24:$D$39,0))*INDEX(EF!$H$84:$H$99,MATCH(Emissions!$D83,EF!$D$84:$D$99,0))*INDEX(EF!$H$100:$H$115,MATCH(Emissions!$D83,EF!$D$100:$D$115,0))*INDEX(EF!$H$132:$H$147,MATCH(Emissions!$D83,EF!$D$132:$D$147,0))*kgtoGg</f>
        <v>4.4277732047809999E-2</v>
      </c>
      <c r="AV83" s="23">
        <f>INDEX('Activity data'!AV$24:AV$39,MATCH(Emissions!$D83,'Activity data'!$D$24:$D$39,0))*INDEX(EF!$H$84:$H$99,MATCH(Emissions!$D83,EF!$D$84:$D$99,0))*INDEX(EF!$H$100:$H$115,MATCH(Emissions!$D83,EF!$D$100:$D$115,0))*INDEX(EF!$H$132:$H$147,MATCH(Emissions!$D83,EF!$D$132:$D$147,0))*kgtoGg</f>
        <v>4.4457311928819167E-2</v>
      </c>
      <c r="AW83" s="23">
        <f>INDEX('Activity data'!AW$24:AW$39,MATCH(Emissions!$D83,'Activity data'!$D$24:$D$39,0))*INDEX(EF!$H$84:$H$99,MATCH(Emissions!$D83,EF!$D$84:$D$99,0))*INDEX(EF!$H$100:$H$115,MATCH(Emissions!$D83,EF!$D$100:$D$115,0))*INDEX(EF!$H$132:$H$147,MATCH(Emissions!$D83,EF!$D$132:$D$147,0))*kgtoGg</f>
        <v>4.463689180982832E-2</v>
      </c>
      <c r="AX83" s="23">
        <f>INDEX('Activity data'!AX$24:AX$39,MATCH(Emissions!$D83,'Activity data'!$D$24:$D$39,0))*INDEX(EF!$H$84:$H$99,MATCH(Emissions!$D83,EF!$D$84:$D$99,0))*INDEX(EF!$H$100:$H$115,MATCH(Emissions!$D83,EF!$D$100:$D$115,0))*INDEX(EF!$H$132:$H$147,MATCH(Emissions!$D83,EF!$D$132:$D$147,0))*kgtoGg</f>
        <v>4.4816471690837488E-2</v>
      </c>
      <c r="AY83" s="23">
        <f>INDEX('Activity data'!AY$24:AY$39,MATCH(Emissions!$D83,'Activity data'!$D$24:$D$39,0))*INDEX(EF!$H$84:$H$99,MATCH(Emissions!$D83,EF!$D$84:$D$99,0))*INDEX(EF!$H$100:$H$115,MATCH(Emissions!$D83,EF!$D$100:$D$115,0))*INDEX(EF!$H$132:$H$147,MATCH(Emissions!$D83,EF!$D$132:$D$147,0))*kgtoGg</f>
        <v>4.4996051571846656E-2</v>
      </c>
      <c r="AZ83" s="23">
        <f>INDEX('Activity data'!AZ$24:AZ$39,MATCH(Emissions!$D83,'Activity data'!$D$24:$D$39,0))*INDEX(EF!$H$84:$H$99,MATCH(Emissions!$D83,EF!$D$84:$D$99,0))*INDEX(EF!$H$100:$H$115,MATCH(Emissions!$D83,EF!$D$100:$D$115,0))*INDEX(EF!$H$132:$H$147,MATCH(Emissions!$D83,EF!$D$132:$D$147,0))*kgtoGg</f>
        <v>4.5175631452855816E-2</v>
      </c>
      <c r="BA83" s="23">
        <f>INDEX('Activity data'!BA$24:BA$39,MATCH(Emissions!$D83,'Activity data'!$D$24:$D$39,0))*INDEX(EF!$H$84:$H$99,MATCH(Emissions!$D83,EF!$D$84:$D$99,0))*INDEX(EF!$H$100:$H$115,MATCH(Emissions!$D83,EF!$D$100:$D$115,0))*INDEX(EF!$H$132:$H$147,MATCH(Emissions!$D83,EF!$D$132:$D$147,0))*kgtoGg</f>
        <v>4.5355211333864984E-2</v>
      </c>
      <c r="BB83" s="23">
        <f>INDEX('Activity data'!BB$24:BB$39,MATCH(Emissions!$D83,'Activity data'!$D$24:$D$39,0))*INDEX(EF!$H$84:$H$99,MATCH(Emissions!$D83,EF!$D$84:$D$99,0))*INDEX(EF!$H$100:$H$115,MATCH(Emissions!$D83,EF!$D$100:$D$115,0))*INDEX(EF!$H$132:$H$147,MATCH(Emissions!$D83,EF!$D$132:$D$147,0))*kgtoGg</f>
        <v>4.5534791214874151E-2</v>
      </c>
      <c r="BC83" s="23">
        <f>INDEX('Activity data'!BC$24:BC$39,MATCH(Emissions!$D83,'Activity data'!$D$24:$D$39,0))*INDEX(EF!$H$84:$H$99,MATCH(Emissions!$D83,EF!$D$84:$D$99,0))*INDEX(EF!$H$100:$H$115,MATCH(Emissions!$D83,EF!$D$100:$D$115,0))*INDEX(EF!$H$132:$H$147,MATCH(Emissions!$D83,EF!$D$132:$D$147,0))*kgtoGg</f>
        <v>4.5714371095883319E-2</v>
      </c>
      <c r="BD83" s="23">
        <f>INDEX('Activity data'!BD$24:BD$39,MATCH(Emissions!$D83,'Activity data'!$D$24:$D$39,0))*INDEX(EF!$H$84:$H$99,MATCH(Emissions!$D83,EF!$D$84:$D$99,0))*INDEX(EF!$H$100:$H$115,MATCH(Emissions!$D83,EF!$D$100:$D$115,0))*INDEX(EF!$H$132:$H$147,MATCH(Emissions!$D83,EF!$D$132:$D$147,0))*kgtoGg</f>
        <v>4.5893950976892472E-2</v>
      </c>
      <c r="BE83" s="23">
        <f>INDEX('Activity data'!BE$24:BE$39,MATCH(Emissions!$D83,'Activity data'!$D$24:$D$39,0))*INDEX(EF!$H$84:$H$99,MATCH(Emissions!$D83,EF!$D$84:$D$99,0))*INDEX(EF!$H$100:$H$115,MATCH(Emissions!$D83,EF!$D$100:$D$115,0))*INDEX(EF!$H$132:$H$147,MATCH(Emissions!$D83,EF!$D$132:$D$147,0))*kgtoGg</f>
        <v>4.607353085790164E-2</v>
      </c>
      <c r="BF83" s="23">
        <f>INDEX('Activity data'!BF$24:BF$39,MATCH(Emissions!$D83,'Activity data'!$D$24:$D$39,0))*INDEX(EF!$H$84:$H$99,MATCH(Emissions!$D83,EF!$D$84:$D$99,0))*INDEX(EF!$H$100:$H$115,MATCH(Emissions!$D83,EF!$D$100:$D$115,0))*INDEX(EF!$H$132:$H$147,MATCH(Emissions!$D83,EF!$D$132:$D$147,0))*kgtoGg</f>
        <v>4.6253110738910815E-2</v>
      </c>
      <c r="BG83" s="23">
        <f>INDEX('Activity data'!BG$24:BG$39,MATCH(Emissions!$D83,'Activity data'!$D$24:$D$39,0))*INDEX(EF!$H$84:$H$99,MATCH(Emissions!$D83,EF!$D$84:$D$99,0))*INDEX(EF!$H$100:$H$115,MATCH(Emissions!$D83,EF!$D$100:$D$115,0))*INDEX(EF!$H$132:$H$147,MATCH(Emissions!$D83,EF!$D$132:$D$147,0))*kgtoGg</f>
        <v>4.6432690619919968E-2</v>
      </c>
      <c r="BH83" s="23">
        <f>INDEX('Activity data'!BH$24:BH$39,MATCH(Emissions!$D83,'Activity data'!$D$24:$D$39,0))*INDEX(EF!$H$84:$H$99,MATCH(Emissions!$D83,EF!$D$84:$D$99,0))*INDEX(EF!$H$100:$H$115,MATCH(Emissions!$D83,EF!$D$100:$D$115,0))*INDEX(EF!$H$132:$H$147,MATCH(Emissions!$D83,EF!$D$132:$D$147,0))*kgtoGg</f>
        <v>4.6612270500929136E-2</v>
      </c>
      <c r="BI83" s="23">
        <f>INDEX('Activity data'!BI$24:BI$39,MATCH(Emissions!$D83,'Activity data'!$D$24:$D$39,0))*INDEX(EF!$H$84:$H$99,MATCH(Emissions!$D83,EF!$D$84:$D$99,0))*INDEX(EF!$H$100:$H$115,MATCH(Emissions!$D83,EF!$D$100:$D$115,0))*INDEX(EF!$H$132:$H$147,MATCH(Emissions!$D83,EF!$D$132:$D$147,0))*kgtoGg</f>
        <v>4.6791850381938303E-2</v>
      </c>
      <c r="BJ83" s="23">
        <f>INDEX('Activity data'!BJ$24:BJ$39,MATCH(Emissions!$D83,'Activity data'!$D$24:$D$39,0))*INDEX(EF!$H$84:$H$99,MATCH(Emissions!$D83,EF!$D$84:$D$99,0))*INDEX(EF!$H$100:$H$115,MATCH(Emissions!$D83,EF!$D$100:$D$115,0))*INDEX(EF!$H$132:$H$147,MATCH(Emissions!$D83,EF!$D$132:$D$147,0))*kgtoGg</f>
        <v>4.6971430262947471E-2</v>
      </c>
      <c r="BK83" s="23">
        <f>INDEX('Activity data'!BK$24:BK$39,MATCH(Emissions!$D83,'Activity data'!$D$24:$D$39,0))*INDEX(EF!$H$84:$H$99,MATCH(Emissions!$D83,EF!$D$84:$D$99,0))*INDEX(EF!$H$100:$H$115,MATCH(Emissions!$D83,EF!$D$100:$D$115,0))*INDEX(EF!$H$132:$H$147,MATCH(Emissions!$D83,EF!$D$132:$D$147,0))*kgtoGg</f>
        <v>4.7151010143956625E-2</v>
      </c>
      <c r="BL83" s="23">
        <f>INDEX('Activity data'!BL$24:BL$39,MATCH(Emissions!$D83,'Activity data'!$D$24:$D$39,0))*INDEX(EF!$H$84:$H$99,MATCH(Emissions!$D83,EF!$D$84:$D$99,0))*INDEX(EF!$H$100:$H$115,MATCH(Emissions!$D83,EF!$D$100:$D$115,0))*INDEX(EF!$H$132:$H$147,MATCH(Emissions!$D83,EF!$D$132:$D$147,0))*kgtoGg</f>
        <v>4.7330590024965799E-2</v>
      </c>
      <c r="BM83" s="23">
        <f>INDEX('Activity data'!BM$24:BM$39,MATCH(Emissions!$D83,'Activity data'!$D$24:$D$39,0))*INDEX(EF!$H$84:$H$99,MATCH(Emissions!$D83,EF!$D$84:$D$99,0))*INDEX(EF!$H$100:$H$115,MATCH(Emissions!$D83,EF!$D$100:$D$115,0))*INDEX(EF!$H$132:$H$147,MATCH(Emissions!$D83,EF!$D$132:$D$147,0))*kgtoGg</f>
        <v>4.751016990597496E-2</v>
      </c>
      <c r="BN83" s="23">
        <f>INDEX('Activity data'!BN$24:BN$39,MATCH(Emissions!$D83,'Activity data'!$D$24:$D$39,0))*INDEX(EF!$H$84:$H$99,MATCH(Emissions!$D83,EF!$D$84:$D$99,0))*INDEX(EF!$H$100:$H$115,MATCH(Emissions!$D83,EF!$D$100:$D$115,0))*INDEX(EF!$H$132:$H$147,MATCH(Emissions!$D83,EF!$D$132:$D$147,0))*kgtoGg</f>
        <v>4.768974978698412E-2</v>
      </c>
      <c r="BO83" s="23">
        <f>INDEX('Activity data'!BO$24:BO$39,MATCH(Emissions!$D83,'Activity data'!$D$24:$D$39,0))*INDEX(EF!$H$84:$H$99,MATCH(Emissions!$D83,EF!$D$84:$D$99,0))*INDEX(EF!$H$100:$H$115,MATCH(Emissions!$D83,EF!$D$100:$D$115,0))*INDEX(EF!$H$132:$H$147,MATCH(Emissions!$D83,EF!$D$132:$D$147,0))*kgtoGg</f>
        <v>4.7869329667993295E-2</v>
      </c>
      <c r="BP83" s="23">
        <f>INDEX('Activity data'!BP$24:BP$39,MATCH(Emissions!$D83,'Activity data'!$D$24:$D$39,0))*INDEX(EF!$H$84:$H$99,MATCH(Emissions!$D83,EF!$D$84:$D$99,0))*INDEX(EF!$H$100:$H$115,MATCH(Emissions!$D83,EF!$D$100:$D$115,0))*INDEX(EF!$H$132:$H$147,MATCH(Emissions!$D83,EF!$D$132:$D$147,0))*kgtoGg</f>
        <v>4.8048909549002455E-2</v>
      </c>
    </row>
    <row r="84" spans="1:68" x14ac:dyDescent="0.25">
      <c r="A84" t="str">
        <f t="shared" si="19"/>
        <v>3C Aggregated and non-CO2 emissions on land</v>
      </c>
      <c r="B84" t="str">
        <f t="shared" si="26"/>
        <v>3C1 Biomass burning (N2O)</v>
      </c>
      <c r="C84" t="str">
        <f t="shared" si="25"/>
        <v>3C1e Biomass burning in Settlements</v>
      </c>
      <c r="D84" t="str">
        <f>EF!D114</f>
        <v>Mines</v>
      </c>
      <c r="E84" t="s">
        <v>738</v>
      </c>
      <c r="F84" t="str">
        <f t="shared" si="27"/>
        <v>N2O</v>
      </c>
      <c r="G84" t="str">
        <f t="shared" si="28"/>
        <v>Gg N2O</v>
      </c>
      <c r="H84" s="23">
        <f>INDEX('Activity data'!H$24:H$39,MATCH(Emissions!$D84,'Activity data'!$D$24:$D$39,0))*INDEX(EF!$H$84:$H$99,MATCH(Emissions!$D84,EF!$D$84:$D$99,0))*INDEX(EF!$H$100:$H$115,MATCH(Emissions!$D84,EF!$D$100:$D$115,0))*INDEX(EF!$H$132:$H$147,MATCH(Emissions!$D84,EF!$D$132:$D$147,0))*kgtoGg</f>
        <v>0</v>
      </c>
      <c r="I84" s="23">
        <f>INDEX('Activity data'!I$24:I$39,MATCH(Emissions!$D84,'Activity data'!$D$24:$D$39,0))*INDEX(EF!$H$84:$H$99,MATCH(Emissions!$D84,EF!$D$84:$D$99,0))*INDEX(EF!$H$100:$H$115,MATCH(Emissions!$D84,EF!$D$100:$D$115,0))*INDEX(EF!$H$132:$H$147,MATCH(Emissions!$D84,EF!$D$132:$D$147,0))*kgtoGg</f>
        <v>0</v>
      </c>
      <c r="J84" s="23">
        <f>INDEX('Activity data'!J$24:J$39,MATCH(Emissions!$D84,'Activity data'!$D$24:$D$39,0))*INDEX(EF!$H$84:$H$99,MATCH(Emissions!$D84,EF!$D$84:$D$99,0))*INDEX(EF!$H$100:$H$115,MATCH(Emissions!$D84,EF!$D$100:$D$115,0))*INDEX(EF!$H$132:$H$147,MATCH(Emissions!$D84,EF!$D$132:$D$147,0))*kgtoGg</f>
        <v>0</v>
      </c>
      <c r="K84" s="23">
        <f>INDEX('Activity data'!K$24:K$39,MATCH(Emissions!$D84,'Activity data'!$D$24:$D$39,0))*INDEX(EF!$H$84:$H$99,MATCH(Emissions!$D84,EF!$D$84:$D$99,0))*INDEX(EF!$H$100:$H$115,MATCH(Emissions!$D84,EF!$D$100:$D$115,0))*INDEX(EF!$H$132:$H$147,MATCH(Emissions!$D84,EF!$D$132:$D$147,0))*kgtoGg</f>
        <v>0</v>
      </c>
      <c r="L84" s="23">
        <f>INDEX('Activity data'!L$24:L$39,MATCH(Emissions!$D84,'Activity data'!$D$24:$D$39,0))*INDEX(EF!$H$84:$H$99,MATCH(Emissions!$D84,EF!$D$84:$D$99,0))*INDEX(EF!$H$100:$H$115,MATCH(Emissions!$D84,EF!$D$100:$D$115,0))*INDEX(EF!$H$132:$H$147,MATCH(Emissions!$D84,EF!$D$132:$D$147,0))*kgtoGg</f>
        <v>0</v>
      </c>
      <c r="M84" s="23">
        <f>INDEX('Activity data'!M$24:M$39,MATCH(Emissions!$D84,'Activity data'!$D$24:$D$39,0))*INDEX(EF!$H$84:$H$99,MATCH(Emissions!$D84,EF!$D$84:$D$99,0))*INDEX(EF!$H$100:$H$115,MATCH(Emissions!$D84,EF!$D$100:$D$115,0))*INDEX(EF!$H$132:$H$147,MATCH(Emissions!$D84,EF!$D$132:$D$147,0))*kgtoGg</f>
        <v>0</v>
      </c>
      <c r="N84" s="23">
        <f>INDEX('Activity data'!N$24:N$39,MATCH(Emissions!$D84,'Activity data'!$D$24:$D$39,0))*INDEX(EF!$H$84:$H$99,MATCH(Emissions!$D84,EF!$D$84:$D$99,0))*INDEX(EF!$H$100:$H$115,MATCH(Emissions!$D84,EF!$D$100:$D$115,0))*INDEX(EF!$H$132:$H$147,MATCH(Emissions!$D84,EF!$D$132:$D$147,0))*kgtoGg</f>
        <v>0</v>
      </c>
      <c r="O84" s="23">
        <f>INDEX('Activity data'!O$24:O$39,MATCH(Emissions!$D84,'Activity data'!$D$24:$D$39,0))*INDEX(EF!$H$84:$H$99,MATCH(Emissions!$D84,EF!$D$84:$D$99,0))*INDEX(EF!$H$100:$H$115,MATCH(Emissions!$D84,EF!$D$100:$D$115,0))*INDEX(EF!$H$132:$H$147,MATCH(Emissions!$D84,EF!$D$132:$D$147,0))*kgtoGg</f>
        <v>0</v>
      </c>
      <c r="P84" s="23">
        <f>INDEX('Activity data'!P$24:P$39,MATCH(Emissions!$D84,'Activity data'!$D$24:$D$39,0))*INDEX(EF!$H$84:$H$99,MATCH(Emissions!$D84,EF!$D$84:$D$99,0))*INDEX(EF!$H$100:$H$115,MATCH(Emissions!$D84,EF!$D$100:$D$115,0))*INDEX(EF!$H$132:$H$147,MATCH(Emissions!$D84,EF!$D$132:$D$147,0))*kgtoGg</f>
        <v>0</v>
      </c>
      <c r="Q84" s="23">
        <f>INDEX('Activity data'!Q$24:Q$39,MATCH(Emissions!$D84,'Activity data'!$D$24:$D$39,0))*INDEX(EF!$H$84:$H$99,MATCH(Emissions!$D84,EF!$D$84:$D$99,0))*INDEX(EF!$H$100:$H$115,MATCH(Emissions!$D84,EF!$D$100:$D$115,0))*INDEX(EF!$H$132:$H$147,MATCH(Emissions!$D84,EF!$D$132:$D$147,0))*kgtoGg</f>
        <v>0</v>
      </c>
      <c r="R84" s="23">
        <f>INDEX('Activity data'!R$24:R$39,MATCH(Emissions!$D84,'Activity data'!$D$24:$D$39,0))*INDEX(EF!$H$84:$H$99,MATCH(Emissions!$D84,EF!$D$84:$D$99,0))*INDEX(EF!$H$100:$H$115,MATCH(Emissions!$D84,EF!$D$100:$D$115,0))*INDEX(EF!$H$132:$H$147,MATCH(Emissions!$D84,EF!$D$132:$D$147,0))*kgtoGg</f>
        <v>0</v>
      </c>
      <c r="S84" s="23">
        <f>INDEX('Activity data'!S$24:S$39,MATCH(Emissions!$D84,'Activity data'!$D$24:$D$39,0))*INDEX(EF!$H$84:$H$99,MATCH(Emissions!$D84,EF!$D$84:$D$99,0))*INDEX(EF!$H$100:$H$115,MATCH(Emissions!$D84,EF!$D$100:$D$115,0))*INDEX(EF!$H$132:$H$147,MATCH(Emissions!$D84,EF!$D$132:$D$147,0))*kgtoGg</f>
        <v>0</v>
      </c>
      <c r="T84" s="23">
        <f>INDEX('Activity data'!T$24:T$39,MATCH(Emissions!$D84,'Activity data'!$D$24:$D$39,0))*INDEX(EF!$H$84:$H$99,MATCH(Emissions!$D84,EF!$D$84:$D$99,0))*INDEX(EF!$H$100:$H$115,MATCH(Emissions!$D84,EF!$D$100:$D$115,0))*INDEX(EF!$H$132:$H$147,MATCH(Emissions!$D84,EF!$D$132:$D$147,0))*kgtoGg</f>
        <v>0</v>
      </c>
      <c r="U84" s="23">
        <f>INDEX('Activity data'!U$24:U$39,MATCH(Emissions!$D84,'Activity data'!$D$24:$D$39,0))*INDEX(EF!$H$84:$H$99,MATCH(Emissions!$D84,EF!$D$84:$D$99,0))*INDEX(EF!$H$100:$H$115,MATCH(Emissions!$D84,EF!$D$100:$D$115,0))*INDEX(EF!$H$132:$H$147,MATCH(Emissions!$D84,EF!$D$132:$D$147,0))*kgtoGg</f>
        <v>0</v>
      </c>
      <c r="V84" s="23">
        <f>INDEX('Activity data'!V$24:V$39,MATCH(Emissions!$D84,'Activity data'!$D$24:$D$39,0))*INDEX(EF!$H$84:$H$99,MATCH(Emissions!$D84,EF!$D$84:$D$99,0))*INDEX(EF!$H$100:$H$115,MATCH(Emissions!$D84,EF!$D$100:$D$115,0))*INDEX(EF!$H$132:$H$147,MATCH(Emissions!$D84,EF!$D$132:$D$147,0))*kgtoGg</f>
        <v>0</v>
      </c>
      <c r="W84" s="23">
        <f>INDEX('Activity data'!W$24:W$39,MATCH(Emissions!$D84,'Activity data'!$D$24:$D$39,0))*INDEX(EF!$H$84:$H$99,MATCH(Emissions!$D84,EF!$D$84:$D$99,0))*INDEX(EF!$H$100:$H$115,MATCH(Emissions!$D84,EF!$D$100:$D$115,0))*INDEX(EF!$H$132:$H$147,MATCH(Emissions!$D84,EF!$D$132:$D$147,0))*kgtoGg</f>
        <v>0</v>
      </c>
      <c r="X84" s="23">
        <f>INDEX('Activity data'!X$24:X$39,MATCH(Emissions!$D84,'Activity data'!$D$24:$D$39,0))*INDEX(EF!$H$84:$H$99,MATCH(Emissions!$D84,EF!$D$84:$D$99,0))*INDEX(EF!$H$100:$H$115,MATCH(Emissions!$D84,EF!$D$100:$D$115,0))*INDEX(EF!$H$132:$H$147,MATCH(Emissions!$D84,EF!$D$132:$D$147,0))*kgtoGg</f>
        <v>0</v>
      </c>
      <c r="Y84" s="23">
        <f>INDEX('Activity data'!Y$24:Y$39,MATCH(Emissions!$D84,'Activity data'!$D$24:$D$39,0))*INDEX(EF!$H$84:$H$99,MATCH(Emissions!$D84,EF!$D$84:$D$99,0))*INDEX(EF!$H$100:$H$115,MATCH(Emissions!$D84,EF!$D$100:$D$115,0))*INDEX(EF!$H$132:$H$147,MATCH(Emissions!$D84,EF!$D$132:$D$147,0))*kgtoGg</f>
        <v>0</v>
      </c>
      <c r="Z84" s="23">
        <f>INDEX('Activity data'!Z$24:Z$39,MATCH(Emissions!$D84,'Activity data'!$D$24:$D$39,0))*INDEX(EF!$H$84:$H$99,MATCH(Emissions!$D84,EF!$D$84:$D$99,0))*INDEX(EF!$H$100:$H$115,MATCH(Emissions!$D84,EF!$D$100:$D$115,0))*INDEX(EF!$H$132:$H$147,MATCH(Emissions!$D84,EF!$D$132:$D$147,0))*kgtoGg</f>
        <v>0</v>
      </c>
      <c r="AA84" s="23">
        <f>INDEX('Activity data'!AA$24:AA$39,MATCH(Emissions!$D84,'Activity data'!$D$24:$D$39,0))*INDEX(EF!$H$84:$H$99,MATCH(Emissions!$D84,EF!$D$84:$D$99,0))*INDEX(EF!$H$100:$H$115,MATCH(Emissions!$D84,EF!$D$100:$D$115,0))*INDEX(EF!$H$132:$H$147,MATCH(Emissions!$D84,EF!$D$132:$D$147,0))*kgtoGg</f>
        <v>0</v>
      </c>
      <c r="AB84" s="23">
        <f>INDEX('Activity data'!AB$24:AB$39,MATCH(Emissions!$D84,'Activity data'!$D$24:$D$39,0))*INDEX(EF!$H$84:$H$99,MATCH(Emissions!$D84,EF!$D$84:$D$99,0))*INDEX(EF!$H$100:$H$115,MATCH(Emissions!$D84,EF!$D$100:$D$115,0))*INDEX(EF!$H$132:$H$147,MATCH(Emissions!$D84,EF!$D$132:$D$147,0))*kgtoGg</f>
        <v>0</v>
      </c>
      <c r="AC84" s="23">
        <f>INDEX('Activity data'!AC$24:AC$39,MATCH(Emissions!$D84,'Activity data'!$D$24:$D$39,0))*INDEX(EF!$H$84:$H$99,MATCH(Emissions!$D84,EF!$D$84:$D$99,0))*INDEX(EF!$H$100:$H$115,MATCH(Emissions!$D84,EF!$D$100:$D$115,0))*INDEX(EF!$H$132:$H$147,MATCH(Emissions!$D84,EF!$D$132:$D$147,0))*kgtoGg</f>
        <v>0</v>
      </c>
      <c r="AD84" s="23">
        <f>INDEX('Activity data'!AD$24:AD$39,MATCH(Emissions!$D84,'Activity data'!$D$24:$D$39,0))*INDEX(EF!$H$84:$H$99,MATCH(Emissions!$D84,EF!$D$84:$D$99,0))*INDEX(EF!$H$100:$H$115,MATCH(Emissions!$D84,EF!$D$100:$D$115,0))*INDEX(EF!$H$132:$H$147,MATCH(Emissions!$D84,EF!$D$132:$D$147,0))*kgtoGg</f>
        <v>0</v>
      </c>
      <c r="AE84" s="23">
        <f>INDEX('Activity data'!AE$24:AE$39,MATCH(Emissions!$D84,'Activity data'!$D$24:$D$39,0))*INDEX(EF!$H$84:$H$99,MATCH(Emissions!$D84,EF!$D$84:$D$99,0))*INDEX(EF!$H$100:$H$115,MATCH(Emissions!$D84,EF!$D$100:$D$115,0))*INDEX(EF!$H$132:$H$147,MATCH(Emissions!$D84,EF!$D$132:$D$147,0))*kgtoGg</f>
        <v>0</v>
      </c>
      <c r="AF84" s="23">
        <f>INDEX('Activity data'!AF$24:AF$39,MATCH(Emissions!$D84,'Activity data'!$D$24:$D$39,0))*INDEX(EF!$H$84:$H$99,MATCH(Emissions!$D84,EF!$D$84:$D$99,0))*INDEX(EF!$H$100:$H$115,MATCH(Emissions!$D84,EF!$D$100:$D$115,0))*INDEX(EF!$H$132:$H$147,MATCH(Emissions!$D84,EF!$D$132:$D$147,0))*kgtoGg</f>
        <v>0</v>
      </c>
      <c r="AG84" s="23">
        <f>INDEX('Activity data'!AG$24:AG$39,MATCH(Emissions!$D84,'Activity data'!$D$24:$D$39,0))*INDEX(EF!$H$84:$H$99,MATCH(Emissions!$D84,EF!$D$84:$D$99,0))*INDEX(EF!$H$100:$H$115,MATCH(Emissions!$D84,EF!$D$100:$D$115,0))*INDEX(EF!$H$132:$H$147,MATCH(Emissions!$D84,EF!$D$132:$D$147,0))*kgtoGg</f>
        <v>0</v>
      </c>
      <c r="AH84" s="23">
        <f>INDEX('Activity data'!AH$24:AH$39,MATCH(Emissions!$D84,'Activity data'!$D$24:$D$39,0))*INDEX(EF!$H$84:$H$99,MATCH(Emissions!$D84,EF!$D$84:$D$99,0))*INDEX(EF!$H$100:$H$115,MATCH(Emissions!$D84,EF!$D$100:$D$115,0))*INDEX(EF!$H$132:$H$147,MATCH(Emissions!$D84,EF!$D$132:$D$147,0))*kgtoGg</f>
        <v>0</v>
      </c>
      <c r="AI84" s="23">
        <f>INDEX('Activity data'!AI$24:AI$39,MATCH(Emissions!$D84,'Activity data'!$D$24:$D$39,0))*INDEX(EF!$H$84:$H$99,MATCH(Emissions!$D84,EF!$D$84:$D$99,0))*INDEX(EF!$H$100:$H$115,MATCH(Emissions!$D84,EF!$D$100:$D$115,0))*INDEX(EF!$H$132:$H$147,MATCH(Emissions!$D84,EF!$D$132:$D$147,0))*kgtoGg</f>
        <v>0</v>
      </c>
      <c r="AJ84" s="23">
        <f>INDEX('Activity data'!AJ$24:AJ$39,MATCH(Emissions!$D84,'Activity data'!$D$24:$D$39,0))*INDEX(EF!$H$84:$H$99,MATCH(Emissions!$D84,EF!$D$84:$D$99,0))*INDEX(EF!$H$100:$H$115,MATCH(Emissions!$D84,EF!$D$100:$D$115,0))*INDEX(EF!$H$132:$H$147,MATCH(Emissions!$D84,EF!$D$132:$D$147,0))*kgtoGg</f>
        <v>0</v>
      </c>
      <c r="AK84" s="23">
        <f>INDEX('Activity data'!AK$24:AK$39,MATCH(Emissions!$D84,'Activity data'!$D$24:$D$39,0))*INDEX(EF!$H$84:$H$99,MATCH(Emissions!$D84,EF!$D$84:$D$99,0))*INDEX(EF!$H$100:$H$115,MATCH(Emissions!$D84,EF!$D$100:$D$115,0))*INDEX(EF!$H$132:$H$147,MATCH(Emissions!$D84,EF!$D$132:$D$147,0))*kgtoGg</f>
        <v>0</v>
      </c>
      <c r="AL84" s="23">
        <f>INDEX('Activity data'!AL$24:AL$39,MATCH(Emissions!$D84,'Activity data'!$D$24:$D$39,0))*INDEX(EF!$H$84:$H$99,MATCH(Emissions!$D84,EF!$D$84:$D$99,0))*INDEX(EF!$H$100:$H$115,MATCH(Emissions!$D84,EF!$D$100:$D$115,0))*INDEX(EF!$H$132:$H$147,MATCH(Emissions!$D84,EF!$D$132:$D$147,0))*kgtoGg</f>
        <v>0</v>
      </c>
      <c r="AM84" s="23">
        <f>INDEX('Activity data'!AM$24:AM$39,MATCH(Emissions!$D84,'Activity data'!$D$24:$D$39,0))*INDEX(EF!$H$84:$H$99,MATCH(Emissions!$D84,EF!$D$84:$D$99,0))*INDEX(EF!$H$100:$H$115,MATCH(Emissions!$D84,EF!$D$100:$D$115,0))*INDEX(EF!$H$132:$H$147,MATCH(Emissions!$D84,EF!$D$132:$D$147,0))*kgtoGg</f>
        <v>0</v>
      </c>
      <c r="AN84" s="23">
        <f>INDEX('Activity data'!AN$24:AN$39,MATCH(Emissions!$D84,'Activity data'!$D$24:$D$39,0))*INDEX(EF!$H$84:$H$99,MATCH(Emissions!$D84,EF!$D$84:$D$99,0))*INDEX(EF!$H$100:$H$115,MATCH(Emissions!$D84,EF!$D$100:$D$115,0))*INDEX(EF!$H$132:$H$147,MATCH(Emissions!$D84,EF!$D$132:$D$147,0))*kgtoGg</f>
        <v>0</v>
      </c>
      <c r="AO84" s="23">
        <f>INDEX('Activity data'!AO$24:AO$39,MATCH(Emissions!$D84,'Activity data'!$D$24:$D$39,0))*INDEX(EF!$H$84:$H$99,MATCH(Emissions!$D84,EF!$D$84:$D$99,0))*INDEX(EF!$H$100:$H$115,MATCH(Emissions!$D84,EF!$D$100:$D$115,0))*INDEX(EF!$H$132:$H$147,MATCH(Emissions!$D84,EF!$D$132:$D$147,0))*kgtoGg</f>
        <v>0</v>
      </c>
      <c r="AP84" s="23">
        <f>INDEX('Activity data'!AP$24:AP$39,MATCH(Emissions!$D84,'Activity data'!$D$24:$D$39,0))*INDEX(EF!$H$84:$H$99,MATCH(Emissions!$D84,EF!$D$84:$D$99,0))*INDEX(EF!$H$100:$H$115,MATCH(Emissions!$D84,EF!$D$100:$D$115,0))*INDEX(EF!$H$132:$H$147,MATCH(Emissions!$D84,EF!$D$132:$D$147,0))*kgtoGg</f>
        <v>0</v>
      </c>
      <c r="AQ84" s="23">
        <f>INDEX('Activity data'!AQ$24:AQ$39,MATCH(Emissions!$D84,'Activity data'!$D$24:$D$39,0))*INDEX(EF!$H$84:$H$99,MATCH(Emissions!$D84,EF!$D$84:$D$99,0))*INDEX(EF!$H$100:$H$115,MATCH(Emissions!$D84,EF!$D$100:$D$115,0))*INDEX(EF!$H$132:$H$147,MATCH(Emissions!$D84,EF!$D$132:$D$147,0))*kgtoGg</f>
        <v>0</v>
      </c>
      <c r="AR84" s="23">
        <f>INDEX('Activity data'!AR$24:AR$39,MATCH(Emissions!$D84,'Activity data'!$D$24:$D$39,0))*INDEX(EF!$H$84:$H$99,MATCH(Emissions!$D84,EF!$D$84:$D$99,0))*INDEX(EF!$H$100:$H$115,MATCH(Emissions!$D84,EF!$D$100:$D$115,0))*INDEX(EF!$H$132:$H$147,MATCH(Emissions!$D84,EF!$D$132:$D$147,0))*kgtoGg</f>
        <v>0</v>
      </c>
      <c r="AS84" s="23">
        <f>INDEX('Activity data'!AS$24:AS$39,MATCH(Emissions!$D84,'Activity data'!$D$24:$D$39,0))*INDEX(EF!$H$84:$H$99,MATCH(Emissions!$D84,EF!$D$84:$D$99,0))*INDEX(EF!$H$100:$H$115,MATCH(Emissions!$D84,EF!$D$100:$D$115,0))*INDEX(EF!$H$132:$H$147,MATCH(Emissions!$D84,EF!$D$132:$D$147,0))*kgtoGg</f>
        <v>0</v>
      </c>
      <c r="AT84" s="23">
        <f>INDEX('Activity data'!AT$24:AT$39,MATCH(Emissions!$D84,'Activity data'!$D$24:$D$39,0))*INDEX(EF!$H$84:$H$99,MATCH(Emissions!$D84,EF!$D$84:$D$99,0))*INDEX(EF!$H$100:$H$115,MATCH(Emissions!$D84,EF!$D$100:$D$115,0))*INDEX(EF!$H$132:$H$147,MATCH(Emissions!$D84,EF!$D$132:$D$147,0))*kgtoGg</f>
        <v>0</v>
      </c>
      <c r="AU84" s="23">
        <f>INDEX('Activity data'!AU$24:AU$39,MATCH(Emissions!$D84,'Activity data'!$D$24:$D$39,0))*INDEX(EF!$H$84:$H$99,MATCH(Emissions!$D84,EF!$D$84:$D$99,0))*INDEX(EF!$H$100:$H$115,MATCH(Emissions!$D84,EF!$D$100:$D$115,0))*INDEX(EF!$H$132:$H$147,MATCH(Emissions!$D84,EF!$D$132:$D$147,0))*kgtoGg</f>
        <v>0</v>
      </c>
      <c r="AV84" s="23">
        <f>INDEX('Activity data'!AV$24:AV$39,MATCH(Emissions!$D84,'Activity data'!$D$24:$D$39,0))*INDEX(EF!$H$84:$H$99,MATCH(Emissions!$D84,EF!$D$84:$D$99,0))*INDEX(EF!$H$100:$H$115,MATCH(Emissions!$D84,EF!$D$100:$D$115,0))*INDEX(EF!$H$132:$H$147,MATCH(Emissions!$D84,EF!$D$132:$D$147,0))*kgtoGg</f>
        <v>0</v>
      </c>
      <c r="AW84" s="23">
        <f>INDEX('Activity data'!AW$24:AW$39,MATCH(Emissions!$D84,'Activity data'!$D$24:$D$39,0))*INDEX(EF!$H$84:$H$99,MATCH(Emissions!$D84,EF!$D$84:$D$99,0))*INDEX(EF!$H$100:$H$115,MATCH(Emissions!$D84,EF!$D$100:$D$115,0))*INDEX(EF!$H$132:$H$147,MATCH(Emissions!$D84,EF!$D$132:$D$147,0))*kgtoGg</f>
        <v>0</v>
      </c>
      <c r="AX84" s="23">
        <f>INDEX('Activity data'!AX$24:AX$39,MATCH(Emissions!$D84,'Activity data'!$D$24:$D$39,0))*INDEX(EF!$H$84:$H$99,MATCH(Emissions!$D84,EF!$D$84:$D$99,0))*INDEX(EF!$H$100:$H$115,MATCH(Emissions!$D84,EF!$D$100:$D$115,0))*INDEX(EF!$H$132:$H$147,MATCH(Emissions!$D84,EF!$D$132:$D$147,0))*kgtoGg</f>
        <v>0</v>
      </c>
      <c r="AY84" s="23">
        <f>INDEX('Activity data'!AY$24:AY$39,MATCH(Emissions!$D84,'Activity data'!$D$24:$D$39,0))*INDEX(EF!$H$84:$H$99,MATCH(Emissions!$D84,EF!$D$84:$D$99,0))*INDEX(EF!$H$100:$H$115,MATCH(Emissions!$D84,EF!$D$100:$D$115,0))*INDEX(EF!$H$132:$H$147,MATCH(Emissions!$D84,EF!$D$132:$D$147,0))*kgtoGg</f>
        <v>0</v>
      </c>
      <c r="AZ84" s="23">
        <f>INDEX('Activity data'!AZ$24:AZ$39,MATCH(Emissions!$D84,'Activity data'!$D$24:$D$39,0))*INDEX(EF!$H$84:$H$99,MATCH(Emissions!$D84,EF!$D$84:$D$99,0))*INDEX(EF!$H$100:$H$115,MATCH(Emissions!$D84,EF!$D$100:$D$115,0))*INDEX(EF!$H$132:$H$147,MATCH(Emissions!$D84,EF!$D$132:$D$147,0))*kgtoGg</f>
        <v>0</v>
      </c>
      <c r="BA84" s="23">
        <f>INDEX('Activity data'!BA$24:BA$39,MATCH(Emissions!$D84,'Activity data'!$D$24:$D$39,0))*INDEX(EF!$H$84:$H$99,MATCH(Emissions!$D84,EF!$D$84:$D$99,0))*INDEX(EF!$H$100:$H$115,MATCH(Emissions!$D84,EF!$D$100:$D$115,0))*INDEX(EF!$H$132:$H$147,MATCH(Emissions!$D84,EF!$D$132:$D$147,0))*kgtoGg</f>
        <v>0</v>
      </c>
      <c r="BB84" s="23">
        <f>INDEX('Activity data'!BB$24:BB$39,MATCH(Emissions!$D84,'Activity data'!$D$24:$D$39,0))*INDEX(EF!$H$84:$H$99,MATCH(Emissions!$D84,EF!$D$84:$D$99,0))*INDEX(EF!$H$100:$H$115,MATCH(Emissions!$D84,EF!$D$100:$D$115,0))*INDEX(EF!$H$132:$H$147,MATCH(Emissions!$D84,EF!$D$132:$D$147,0))*kgtoGg</f>
        <v>0</v>
      </c>
      <c r="BC84" s="23">
        <f>INDEX('Activity data'!BC$24:BC$39,MATCH(Emissions!$D84,'Activity data'!$D$24:$D$39,0))*INDEX(EF!$H$84:$H$99,MATCH(Emissions!$D84,EF!$D$84:$D$99,0))*INDEX(EF!$H$100:$H$115,MATCH(Emissions!$D84,EF!$D$100:$D$115,0))*INDEX(EF!$H$132:$H$147,MATCH(Emissions!$D84,EF!$D$132:$D$147,0))*kgtoGg</f>
        <v>0</v>
      </c>
      <c r="BD84" s="23">
        <f>INDEX('Activity data'!BD$24:BD$39,MATCH(Emissions!$D84,'Activity data'!$D$24:$D$39,0))*INDEX(EF!$H$84:$H$99,MATCH(Emissions!$D84,EF!$D$84:$D$99,0))*INDEX(EF!$H$100:$H$115,MATCH(Emissions!$D84,EF!$D$100:$D$115,0))*INDEX(EF!$H$132:$H$147,MATCH(Emissions!$D84,EF!$D$132:$D$147,0))*kgtoGg</f>
        <v>0</v>
      </c>
      <c r="BE84" s="23">
        <f>INDEX('Activity data'!BE$24:BE$39,MATCH(Emissions!$D84,'Activity data'!$D$24:$D$39,0))*INDEX(EF!$H$84:$H$99,MATCH(Emissions!$D84,EF!$D$84:$D$99,0))*INDEX(EF!$H$100:$H$115,MATCH(Emissions!$D84,EF!$D$100:$D$115,0))*INDEX(EF!$H$132:$H$147,MATCH(Emissions!$D84,EF!$D$132:$D$147,0))*kgtoGg</f>
        <v>0</v>
      </c>
      <c r="BF84" s="23">
        <f>INDEX('Activity data'!BF$24:BF$39,MATCH(Emissions!$D84,'Activity data'!$D$24:$D$39,0))*INDEX(EF!$H$84:$H$99,MATCH(Emissions!$D84,EF!$D$84:$D$99,0))*INDEX(EF!$H$100:$H$115,MATCH(Emissions!$D84,EF!$D$100:$D$115,0))*INDEX(EF!$H$132:$H$147,MATCH(Emissions!$D84,EF!$D$132:$D$147,0))*kgtoGg</f>
        <v>0</v>
      </c>
      <c r="BG84" s="23">
        <f>INDEX('Activity data'!BG$24:BG$39,MATCH(Emissions!$D84,'Activity data'!$D$24:$D$39,0))*INDEX(EF!$H$84:$H$99,MATCH(Emissions!$D84,EF!$D$84:$D$99,0))*INDEX(EF!$H$100:$H$115,MATCH(Emissions!$D84,EF!$D$100:$D$115,0))*INDEX(EF!$H$132:$H$147,MATCH(Emissions!$D84,EF!$D$132:$D$147,0))*kgtoGg</f>
        <v>0</v>
      </c>
      <c r="BH84" s="23">
        <f>INDEX('Activity data'!BH$24:BH$39,MATCH(Emissions!$D84,'Activity data'!$D$24:$D$39,0))*INDEX(EF!$H$84:$H$99,MATCH(Emissions!$D84,EF!$D$84:$D$99,0))*INDEX(EF!$H$100:$H$115,MATCH(Emissions!$D84,EF!$D$100:$D$115,0))*INDEX(EF!$H$132:$H$147,MATCH(Emissions!$D84,EF!$D$132:$D$147,0))*kgtoGg</f>
        <v>0</v>
      </c>
      <c r="BI84" s="23">
        <f>INDEX('Activity data'!BI$24:BI$39,MATCH(Emissions!$D84,'Activity data'!$D$24:$D$39,0))*INDEX(EF!$H$84:$H$99,MATCH(Emissions!$D84,EF!$D$84:$D$99,0))*INDEX(EF!$H$100:$H$115,MATCH(Emissions!$D84,EF!$D$100:$D$115,0))*INDEX(EF!$H$132:$H$147,MATCH(Emissions!$D84,EF!$D$132:$D$147,0))*kgtoGg</f>
        <v>0</v>
      </c>
      <c r="BJ84" s="23">
        <f>INDEX('Activity data'!BJ$24:BJ$39,MATCH(Emissions!$D84,'Activity data'!$D$24:$D$39,0))*INDEX(EF!$H$84:$H$99,MATCH(Emissions!$D84,EF!$D$84:$D$99,0))*INDEX(EF!$H$100:$H$115,MATCH(Emissions!$D84,EF!$D$100:$D$115,0))*INDEX(EF!$H$132:$H$147,MATCH(Emissions!$D84,EF!$D$132:$D$147,0))*kgtoGg</f>
        <v>0</v>
      </c>
      <c r="BK84" s="23">
        <f>INDEX('Activity data'!BK$24:BK$39,MATCH(Emissions!$D84,'Activity data'!$D$24:$D$39,0))*INDEX(EF!$H$84:$H$99,MATCH(Emissions!$D84,EF!$D$84:$D$99,0))*INDEX(EF!$H$100:$H$115,MATCH(Emissions!$D84,EF!$D$100:$D$115,0))*INDEX(EF!$H$132:$H$147,MATCH(Emissions!$D84,EF!$D$132:$D$147,0))*kgtoGg</f>
        <v>0</v>
      </c>
      <c r="BL84" s="23">
        <f>INDEX('Activity data'!BL$24:BL$39,MATCH(Emissions!$D84,'Activity data'!$D$24:$D$39,0))*INDEX(EF!$H$84:$H$99,MATCH(Emissions!$D84,EF!$D$84:$D$99,0))*INDEX(EF!$H$100:$H$115,MATCH(Emissions!$D84,EF!$D$100:$D$115,0))*INDEX(EF!$H$132:$H$147,MATCH(Emissions!$D84,EF!$D$132:$D$147,0))*kgtoGg</f>
        <v>0</v>
      </c>
      <c r="BM84" s="23">
        <f>INDEX('Activity data'!BM$24:BM$39,MATCH(Emissions!$D84,'Activity data'!$D$24:$D$39,0))*INDEX(EF!$H$84:$H$99,MATCH(Emissions!$D84,EF!$D$84:$D$99,0))*INDEX(EF!$H$100:$H$115,MATCH(Emissions!$D84,EF!$D$100:$D$115,0))*INDEX(EF!$H$132:$H$147,MATCH(Emissions!$D84,EF!$D$132:$D$147,0))*kgtoGg</f>
        <v>0</v>
      </c>
      <c r="BN84" s="23">
        <f>INDEX('Activity data'!BN$24:BN$39,MATCH(Emissions!$D84,'Activity data'!$D$24:$D$39,0))*INDEX(EF!$H$84:$H$99,MATCH(Emissions!$D84,EF!$D$84:$D$99,0))*INDEX(EF!$H$100:$H$115,MATCH(Emissions!$D84,EF!$D$100:$D$115,0))*INDEX(EF!$H$132:$H$147,MATCH(Emissions!$D84,EF!$D$132:$D$147,0))*kgtoGg</f>
        <v>0</v>
      </c>
      <c r="BO84" s="23">
        <f>INDEX('Activity data'!BO$24:BO$39,MATCH(Emissions!$D84,'Activity data'!$D$24:$D$39,0))*INDEX(EF!$H$84:$H$99,MATCH(Emissions!$D84,EF!$D$84:$D$99,0))*INDEX(EF!$H$100:$H$115,MATCH(Emissions!$D84,EF!$D$100:$D$115,0))*INDEX(EF!$H$132:$H$147,MATCH(Emissions!$D84,EF!$D$132:$D$147,0))*kgtoGg</f>
        <v>0</v>
      </c>
      <c r="BP84" s="23">
        <f>INDEX('Activity data'!BP$24:BP$39,MATCH(Emissions!$D84,'Activity data'!$D$24:$D$39,0))*INDEX(EF!$H$84:$H$99,MATCH(Emissions!$D84,EF!$D$84:$D$99,0))*INDEX(EF!$H$100:$H$115,MATCH(Emissions!$D84,EF!$D$100:$D$115,0))*INDEX(EF!$H$132:$H$147,MATCH(Emissions!$D84,EF!$D$132:$D$147,0))*kgtoGg</f>
        <v>0</v>
      </c>
    </row>
    <row r="85" spans="1:68" x14ac:dyDescent="0.25">
      <c r="A85" t="str">
        <f t="shared" si="19"/>
        <v>3C Aggregated and non-CO2 emissions on land</v>
      </c>
      <c r="B85" t="str">
        <f t="shared" si="26"/>
        <v>3C1 Biomass burning (N2O)</v>
      </c>
      <c r="C85" t="str">
        <f t="shared" si="25"/>
        <v>3C1f Biomass burning in Other lands</v>
      </c>
      <c r="D85" t="str">
        <f>EF!D115</f>
        <v>Bare ground</v>
      </c>
      <c r="E85" t="s">
        <v>739</v>
      </c>
      <c r="F85" t="str">
        <f t="shared" si="27"/>
        <v>N2O</v>
      </c>
      <c r="G85" t="str">
        <f t="shared" si="28"/>
        <v>Gg N2O</v>
      </c>
      <c r="H85" s="23">
        <f>INDEX('Activity data'!H$24:H$39,MATCH(Emissions!$D85,'Activity data'!$D$24:$D$39,0))*INDEX(EF!$H$84:$H$99,MATCH(Emissions!$D85,EF!$D$84:$D$99,0))*INDEX(EF!$H$100:$H$115,MATCH(Emissions!$D85,EF!$D$100:$D$115,0))*INDEX(EF!$H$132:$H$147,MATCH(Emissions!$D85,EF!$D$132:$D$147,0))*kgtoGg</f>
        <v>0</v>
      </c>
      <c r="I85" s="23">
        <f>INDEX('Activity data'!I$24:I$39,MATCH(Emissions!$D85,'Activity data'!$D$24:$D$39,0))*INDEX(EF!$H$84:$H$99,MATCH(Emissions!$D85,EF!$D$84:$D$99,0))*INDEX(EF!$H$100:$H$115,MATCH(Emissions!$D85,EF!$D$100:$D$115,0))*INDEX(EF!$H$132:$H$147,MATCH(Emissions!$D85,EF!$D$132:$D$147,0))*kgtoGg</f>
        <v>0</v>
      </c>
      <c r="J85" s="23">
        <f>INDEX('Activity data'!J$24:J$39,MATCH(Emissions!$D85,'Activity data'!$D$24:$D$39,0))*INDEX(EF!$H$84:$H$99,MATCH(Emissions!$D85,EF!$D$84:$D$99,0))*INDEX(EF!$H$100:$H$115,MATCH(Emissions!$D85,EF!$D$100:$D$115,0))*INDEX(EF!$H$132:$H$147,MATCH(Emissions!$D85,EF!$D$132:$D$147,0))*kgtoGg</f>
        <v>0</v>
      </c>
      <c r="K85" s="23">
        <f>INDEX('Activity data'!K$24:K$39,MATCH(Emissions!$D85,'Activity data'!$D$24:$D$39,0))*INDEX(EF!$H$84:$H$99,MATCH(Emissions!$D85,EF!$D$84:$D$99,0))*INDEX(EF!$H$100:$H$115,MATCH(Emissions!$D85,EF!$D$100:$D$115,0))*INDEX(EF!$H$132:$H$147,MATCH(Emissions!$D85,EF!$D$132:$D$147,0))*kgtoGg</f>
        <v>0</v>
      </c>
      <c r="L85" s="23">
        <f>INDEX('Activity data'!L$24:L$39,MATCH(Emissions!$D85,'Activity data'!$D$24:$D$39,0))*INDEX(EF!$H$84:$H$99,MATCH(Emissions!$D85,EF!$D$84:$D$99,0))*INDEX(EF!$H$100:$H$115,MATCH(Emissions!$D85,EF!$D$100:$D$115,0))*INDEX(EF!$H$132:$H$147,MATCH(Emissions!$D85,EF!$D$132:$D$147,0))*kgtoGg</f>
        <v>0</v>
      </c>
      <c r="M85" s="23">
        <f>INDEX('Activity data'!M$24:M$39,MATCH(Emissions!$D85,'Activity data'!$D$24:$D$39,0))*INDEX(EF!$H$84:$H$99,MATCH(Emissions!$D85,EF!$D$84:$D$99,0))*INDEX(EF!$H$100:$H$115,MATCH(Emissions!$D85,EF!$D$100:$D$115,0))*INDEX(EF!$H$132:$H$147,MATCH(Emissions!$D85,EF!$D$132:$D$147,0))*kgtoGg</f>
        <v>0</v>
      </c>
      <c r="N85" s="23">
        <f>INDEX('Activity data'!N$24:N$39,MATCH(Emissions!$D85,'Activity data'!$D$24:$D$39,0))*INDEX(EF!$H$84:$H$99,MATCH(Emissions!$D85,EF!$D$84:$D$99,0))*INDEX(EF!$H$100:$H$115,MATCH(Emissions!$D85,EF!$D$100:$D$115,0))*INDEX(EF!$H$132:$H$147,MATCH(Emissions!$D85,EF!$D$132:$D$147,0))*kgtoGg</f>
        <v>0</v>
      </c>
      <c r="O85" s="23">
        <f>INDEX('Activity data'!O$24:O$39,MATCH(Emissions!$D85,'Activity data'!$D$24:$D$39,0))*INDEX(EF!$H$84:$H$99,MATCH(Emissions!$D85,EF!$D$84:$D$99,0))*INDEX(EF!$H$100:$H$115,MATCH(Emissions!$D85,EF!$D$100:$D$115,0))*INDEX(EF!$H$132:$H$147,MATCH(Emissions!$D85,EF!$D$132:$D$147,0))*kgtoGg</f>
        <v>0</v>
      </c>
      <c r="P85" s="23">
        <f>INDEX('Activity data'!P$24:P$39,MATCH(Emissions!$D85,'Activity data'!$D$24:$D$39,0))*INDEX(EF!$H$84:$H$99,MATCH(Emissions!$D85,EF!$D$84:$D$99,0))*INDEX(EF!$H$100:$H$115,MATCH(Emissions!$D85,EF!$D$100:$D$115,0))*INDEX(EF!$H$132:$H$147,MATCH(Emissions!$D85,EF!$D$132:$D$147,0))*kgtoGg</f>
        <v>0</v>
      </c>
      <c r="Q85" s="23">
        <f>INDEX('Activity data'!Q$24:Q$39,MATCH(Emissions!$D85,'Activity data'!$D$24:$D$39,0))*INDEX(EF!$H$84:$H$99,MATCH(Emissions!$D85,EF!$D$84:$D$99,0))*INDEX(EF!$H$100:$H$115,MATCH(Emissions!$D85,EF!$D$100:$D$115,0))*INDEX(EF!$H$132:$H$147,MATCH(Emissions!$D85,EF!$D$132:$D$147,0))*kgtoGg</f>
        <v>0</v>
      </c>
      <c r="R85" s="23">
        <f>INDEX('Activity data'!R$24:R$39,MATCH(Emissions!$D85,'Activity data'!$D$24:$D$39,0))*INDEX(EF!$H$84:$H$99,MATCH(Emissions!$D85,EF!$D$84:$D$99,0))*INDEX(EF!$H$100:$H$115,MATCH(Emissions!$D85,EF!$D$100:$D$115,0))*INDEX(EF!$H$132:$H$147,MATCH(Emissions!$D85,EF!$D$132:$D$147,0))*kgtoGg</f>
        <v>0</v>
      </c>
      <c r="S85" s="23">
        <f>INDEX('Activity data'!S$24:S$39,MATCH(Emissions!$D85,'Activity data'!$D$24:$D$39,0))*INDEX(EF!$H$84:$H$99,MATCH(Emissions!$D85,EF!$D$84:$D$99,0))*INDEX(EF!$H$100:$H$115,MATCH(Emissions!$D85,EF!$D$100:$D$115,0))*INDEX(EF!$H$132:$H$147,MATCH(Emissions!$D85,EF!$D$132:$D$147,0))*kgtoGg</f>
        <v>0</v>
      </c>
      <c r="T85" s="23">
        <f>INDEX('Activity data'!T$24:T$39,MATCH(Emissions!$D85,'Activity data'!$D$24:$D$39,0))*INDEX(EF!$H$84:$H$99,MATCH(Emissions!$D85,EF!$D$84:$D$99,0))*INDEX(EF!$H$100:$H$115,MATCH(Emissions!$D85,EF!$D$100:$D$115,0))*INDEX(EF!$H$132:$H$147,MATCH(Emissions!$D85,EF!$D$132:$D$147,0))*kgtoGg</f>
        <v>0</v>
      </c>
      <c r="U85" s="23">
        <f>INDEX('Activity data'!U$24:U$39,MATCH(Emissions!$D85,'Activity data'!$D$24:$D$39,0))*INDEX(EF!$H$84:$H$99,MATCH(Emissions!$D85,EF!$D$84:$D$99,0))*INDEX(EF!$H$100:$H$115,MATCH(Emissions!$D85,EF!$D$100:$D$115,0))*INDEX(EF!$H$132:$H$147,MATCH(Emissions!$D85,EF!$D$132:$D$147,0))*kgtoGg</f>
        <v>0</v>
      </c>
      <c r="V85" s="23">
        <f>INDEX('Activity data'!V$24:V$39,MATCH(Emissions!$D85,'Activity data'!$D$24:$D$39,0))*INDEX(EF!$H$84:$H$99,MATCH(Emissions!$D85,EF!$D$84:$D$99,0))*INDEX(EF!$H$100:$H$115,MATCH(Emissions!$D85,EF!$D$100:$D$115,0))*INDEX(EF!$H$132:$H$147,MATCH(Emissions!$D85,EF!$D$132:$D$147,0))*kgtoGg</f>
        <v>0</v>
      </c>
      <c r="W85" s="23">
        <f>INDEX('Activity data'!W$24:W$39,MATCH(Emissions!$D85,'Activity data'!$D$24:$D$39,0))*INDEX(EF!$H$84:$H$99,MATCH(Emissions!$D85,EF!$D$84:$D$99,0))*INDEX(EF!$H$100:$H$115,MATCH(Emissions!$D85,EF!$D$100:$D$115,0))*INDEX(EF!$H$132:$H$147,MATCH(Emissions!$D85,EF!$D$132:$D$147,0))*kgtoGg</f>
        <v>0</v>
      </c>
      <c r="X85" s="23">
        <f>INDEX('Activity data'!X$24:X$39,MATCH(Emissions!$D85,'Activity data'!$D$24:$D$39,0))*INDEX(EF!$H$84:$H$99,MATCH(Emissions!$D85,EF!$D$84:$D$99,0))*INDEX(EF!$H$100:$H$115,MATCH(Emissions!$D85,EF!$D$100:$D$115,0))*INDEX(EF!$H$132:$H$147,MATCH(Emissions!$D85,EF!$D$132:$D$147,0))*kgtoGg</f>
        <v>0</v>
      </c>
      <c r="Y85" s="23">
        <f>INDEX('Activity data'!Y$24:Y$39,MATCH(Emissions!$D85,'Activity data'!$D$24:$D$39,0))*INDEX(EF!$H$84:$H$99,MATCH(Emissions!$D85,EF!$D$84:$D$99,0))*INDEX(EF!$H$100:$H$115,MATCH(Emissions!$D85,EF!$D$100:$D$115,0))*INDEX(EF!$H$132:$H$147,MATCH(Emissions!$D85,EF!$D$132:$D$147,0))*kgtoGg</f>
        <v>0</v>
      </c>
      <c r="Z85" s="23">
        <f>INDEX('Activity data'!Z$24:Z$39,MATCH(Emissions!$D85,'Activity data'!$D$24:$D$39,0))*INDEX(EF!$H$84:$H$99,MATCH(Emissions!$D85,EF!$D$84:$D$99,0))*INDEX(EF!$H$100:$H$115,MATCH(Emissions!$D85,EF!$D$100:$D$115,0))*INDEX(EF!$H$132:$H$147,MATCH(Emissions!$D85,EF!$D$132:$D$147,0))*kgtoGg</f>
        <v>0</v>
      </c>
      <c r="AA85" s="23">
        <f>INDEX('Activity data'!AA$24:AA$39,MATCH(Emissions!$D85,'Activity data'!$D$24:$D$39,0))*INDEX(EF!$H$84:$H$99,MATCH(Emissions!$D85,EF!$D$84:$D$99,0))*INDEX(EF!$H$100:$H$115,MATCH(Emissions!$D85,EF!$D$100:$D$115,0))*INDEX(EF!$H$132:$H$147,MATCH(Emissions!$D85,EF!$D$132:$D$147,0))*kgtoGg</f>
        <v>0</v>
      </c>
      <c r="AB85" s="23">
        <f>INDEX('Activity data'!AB$24:AB$39,MATCH(Emissions!$D85,'Activity data'!$D$24:$D$39,0))*INDEX(EF!$H$84:$H$99,MATCH(Emissions!$D85,EF!$D$84:$D$99,0))*INDEX(EF!$H$100:$H$115,MATCH(Emissions!$D85,EF!$D$100:$D$115,0))*INDEX(EF!$H$132:$H$147,MATCH(Emissions!$D85,EF!$D$132:$D$147,0))*kgtoGg</f>
        <v>0</v>
      </c>
      <c r="AC85" s="23">
        <f>INDEX('Activity data'!AC$24:AC$39,MATCH(Emissions!$D85,'Activity data'!$D$24:$D$39,0))*INDEX(EF!$H$84:$H$99,MATCH(Emissions!$D85,EF!$D$84:$D$99,0))*INDEX(EF!$H$100:$H$115,MATCH(Emissions!$D85,EF!$D$100:$D$115,0))*INDEX(EF!$H$132:$H$147,MATCH(Emissions!$D85,EF!$D$132:$D$147,0))*kgtoGg</f>
        <v>0</v>
      </c>
      <c r="AD85" s="23">
        <f>INDEX('Activity data'!AD$24:AD$39,MATCH(Emissions!$D85,'Activity data'!$D$24:$D$39,0))*INDEX(EF!$H$84:$H$99,MATCH(Emissions!$D85,EF!$D$84:$D$99,0))*INDEX(EF!$H$100:$H$115,MATCH(Emissions!$D85,EF!$D$100:$D$115,0))*INDEX(EF!$H$132:$H$147,MATCH(Emissions!$D85,EF!$D$132:$D$147,0))*kgtoGg</f>
        <v>0</v>
      </c>
      <c r="AE85" s="23">
        <f>INDEX('Activity data'!AE$24:AE$39,MATCH(Emissions!$D85,'Activity data'!$D$24:$D$39,0))*INDEX(EF!$H$84:$H$99,MATCH(Emissions!$D85,EF!$D$84:$D$99,0))*INDEX(EF!$H$100:$H$115,MATCH(Emissions!$D85,EF!$D$100:$D$115,0))*INDEX(EF!$H$132:$H$147,MATCH(Emissions!$D85,EF!$D$132:$D$147,0))*kgtoGg</f>
        <v>0</v>
      </c>
      <c r="AF85" s="23">
        <f>INDEX('Activity data'!AF$24:AF$39,MATCH(Emissions!$D85,'Activity data'!$D$24:$D$39,0))*INDEX(EF!$H$84:$H$99,MATCH(Emissions!$D85,EF!$D$84:$D$99,0))*INDEX(EF!$H$100:$H$115,MATCH(Emissions!$D85,EF!$D$100:$D$115,0))*INDEX(EF!$H$132:$H$147,MATCH(Emissions!$D85,EF!$D$132:$D$147,0))*kgtoGg</f>
        <v>0</v>
      </c>
      <c r="AG85" s="23">
        <f>INDEX('Activity data'!AG$24:AG$39,MATCH(Emissions!$D85,'Activity data'!$D$24:$D$39,0))*INDEX(EF!$H$84:$H$99,MATCH(Emissions!$D85,EF!$D$84:$D$99,0))*INDEX(EF!$H$100:$H$115,MATCH(Emissions!$D85,EF!$D$100:$D$115,0))*INDEX(EF!$H$132:$H$147,MATCH(Emissions!$D85,EF!$D$132:$D$147,0))*kgtoGg</f>
        <v>0</v>
      </c>
      <c r="AH85" s="23">
        <f>INDEX('Activity data'!AH$24:AH$39,MATCH(Emissions!$D85,'Activity data'!$D$24:$D$39,0))*INDEX(EF!$H$84:$H$99,MATCH(Emissions!$D85,EF!$D$84:$D$99,0))*INDEX(EF!$H$100:$H$115,MATCH(Emissions!$D85,EF!$D$100:$D$115,0))*INDEX(EF!$H$132:$H$147,MATCH(Emissions!$D85,EF!$D$132:$D$147,0))*kgtoGg</f>
        <v>0</v>
      </c>
      <c r="AI85" s="23">
        <f>INDEX('Activity data'!AI$24:AI$39,MATCH(Emissions!$D85,'Activity data'!$D$24:$D$39,0))*INDEX(EF!$H$84:$H$99,MATCH(Emissions!$D85,EF!$D$84:$D$99,0))*INDEX(EF!$H$100:$H$115,MATCH(Emissions!$D85,EF!$D$100:$D$115,0))*INDEX(EF!$H$132:$H$147,MATCH(Emissions!$D85,EF!$D$132:$D$147,0))*kgtoGg</f>
        <v>0</v>
      </c>
      <c r="AJ85" s="23">
        <f>INDEX('Activity data'!AJ$24:AJ$39,MATCH(Emissions!$D85,'Activity data'!$D$24:$D$39,0))*INDEX(EF!$H$84:$H$99,MATCH(Emissions!$D85,EF!$D$84:$D$99,0))*INDEX(EF!$H$100:$H$115,MATCH(Emissions!$D85,EF!$D$100:$D$115,0))*INDEX(EF!$H$132:$H$147,MATCH(Emissions!$D85,EF!$D$132:$D$147,0))*kgtoGg</f>
        <v>0</v>
      </c>
      <c r="AK85" s="23">
        <f>INDEX('Activity data'!AK$24:AK$39,MATCH(Emissions!$D85,'Activity data'!$D$24:$D$39,0))*INDEX(EF!$H$84:$H$99,MATCH(Emissions!$D85,EF!$D$84:$D$99,0))*INDEX(EF!$H$100:$H$115,MATCH(Emissions!$D85,EF!$D$100:$D$115,0))*INDEX(EF!$H$132:$H$147,MATCH(Emissions!$D85,EF!$D$132:$D$147,0))*kgtoGg</f>
        <v>0</v>
      </c>
      <c r="AL85" s="23">
        <f>INDEX('Activity data'!AL$24:AL$39,MATCH(Emissions!$D85,'Activity data'!$D$24:$D$39,0))*INDEX(EF!$H$84:$H$99,MATCH(Emissions!$D85,EF!$D$84:$D$99,0))*INDEX(EF!$H$100:$H$115,MATCH(Emissions!$D85,EF!$D$100:$D$115,0))*INDEX(EF!$H$132:$H$147,MATCH(Emissions!$D85,EF!$D$132:$D$147,0))*kgtoGg</f>
        <v>0</v>
      </c>
      <c r="AM85" s="23">
        <f>INDEX('Activity data'!AM$24:AM$39,MATCH(Emissions!$D85,'Activity data'!$D$24:$D$39,0))*INDEX(EF!$H$84:$H$99,MATCH(Emissions!$D85,EF!$D$84:$D$99,0))*INDEX(EF!$H$100:$H$115,MATCH(Emissions!$D85,EF!$D$100:$D$115,0))*INDEX(EF!$H$132:$H$147,MATCH(Emissions!$D85,EF!$D$132:$D$147,0))*kgtoGg</f>
        <v>0</v>
      </c>
      <c r="AN85" s="23">
        <f>INDEX('Activity data'!AN$24:AN$39,MATCH(Emissions!$D85,'Activity data'!$D$24:$D$39,0))*INDEX(EF!$H$84:$H$99,MATCH(Emissions!$D85,EF!$D$84:$D$99,0))*INDEX(EF!$H$100:$H$115,MATCH(Emissions!$D85,EF!$D$100:$D$115,0))*INDEX(EF!$H$132:$H$147,MATCH(Emissions!$D85,EF!$D$132:$D$147,0))*kgtoGg</f>
        <v>0</v>
      </c>
      <c r="AO85" s="23">
        <f>INDEX('Activity data'!AO$24:AO$39,MATCH(Emissions!$D85,'Activity data'!$D$24:$D$39,0))*INDEX(EF!$H$84:$H$99,MATCH(Emissions!$D85,EF!$D$84:$D$99,0))*INDEX(EF!$H$100:$H$115,MATCH(Emissions!$D85,EF!$D$100:$D$115,0))*INDEX(EF!$H$132:$H$147,MATCH(Emissions!$D85,EF!$D$132:$D$147,0))*kgtoGg</f>
        <v>0</v>
      </c>
      <c r="AP85" s="23">
        <f>INDEX('Activity data'!AP$24:AP$39,MATCH(Emissions!$D85,'Activity data'!$D$24:$D$39,0))*INDEX(EF!$H$84:$H$99,MATCH(Emissions!$D85,EF!$D$84:$D$99,0))*INDEX(EF!$H$100:$H$115,MATCH(Emissions!$D85,EF!$D$100:$D$115,0))*INDEX(EF!$H$132:$H$147,MATCH(Emissions!$D85,EF!$D$132:$D$147,0))*kgtoGg</f>
        <v>0</v>
      </c>
      <c r="AQ85" s="23">
        <f>INDEX('Activity data'!AQ$24:AQ$39,MATCH(Emissions!$D85,'Activity data'!$D$24:$D$39,0))*INDEX(EF!$H$84:$H$99,MATCH(Emissions!$D85,EF!$D$84:$D$99,0))*INDEX(EF!$H$100:$H$115,MATCH(Emissions!$D85,EF!$D$100:$D$115,0))*INDEX(EF!$H$132:$H$147,MATCH(Emissions!$D85,EF!$D$132:$D$147,0))*kgtoGg</f>
        <v>0</v>
      </c>
      <c r="AR85" s="23">
        <f>INDEX('Activity data'!AR$24:AR$39,MATCH(Emissions!$D85,'Activity data'!$D$24:$D$39,0))*INDEX(EF!$H$84:$H$99,MATCH(Emissions!$D85,EF!$D$84:$D$99,0))*INDEX(EF!$H$100:$H$115,MATCH(Emissions!$D85,EF!$D$100:$D$115,0))*INDEX(EF!$H$132:$H$147,MATCH(Emissions!$D85,EF!$D$132:$D$147,0))*kgtoGg</f>
        <v>0</v>
      </c>
      <c r="AS85" s="23">
        <f>INDEX('Activity data'!AS$24:AS$39,MATCH(Emissions!$D85,'Activity data'!$D$24:$D$39,0))*INDEX(EF!$H$84:$H$99,MATCH(Emissions!$D85,EF!$D$84:$D$99,0))*INDEX(EF!$H$100:$H$115,MATCH(Emissions!$D85,EF!$D$100:$D$115,0))*INDEX(EF!$H$132:$H$147,MATCH(Emissions!$D85,EF!$D$132:$D$147,0))*kgtoGg</f>
        <v>0</v>
      </c>
      <c r="AT85" s="23">
        <f>INDEX('Activity data'!AT$24:AT$39,MATCH(Emissions!$D85,'Activity data'!$D$24:$D$39,0))*INDEX(EF!$H$84:$H$99,MATCH(Emissions!$D85,EF!$D$84:$D$99,0))*INDEX(EF!$H$100:$H$115,MATCH(Emissions!$D85,EF!$D$100:$D$115,0))*INDEX(EF!$H$132:$H$147,MATCH(Emissions!$D85,EF!$D$132:$D$147,0))*kgtoGg</f>
        <v>0</v>
      </c>
      <c r="AU85" s="23">
        <f>INDEX('Activity data'!AU$24:AU$39,MATCH(Emissions!$D85,'Activity data'!$D$24:$D$39,0))*INDEX(EF!$H$84:$H$99,MATCH(Emissions!$D85,EF!$D$84:$D$99,0))*INDEX(EF!$H$100:$H$115,MATCH(Emissions!$D85,EF!$D$100:$D$115,0))*INDEX(EF!$H$132:$H$147,MATCH(Emissions!$D85,EF!$D$132:$D$147,0))*kgtoGg</f>
        <v>0</v>
      </c>
      <c r="AV85" s="23">
        <f>INDEX('Activity data'!AV$24:AV$39,MATCH(Emissions!$D85,'Activity data'!$D$24:$D$39,0))*INDEX(EF!$H$84:$H$99,MATCH(Emissions!$D85,EF!$D$84:$D$99,0))*INDEX(EF!$H$100:$H$115,MATCH(Emissions!$D85,EF!$D$100:$D$115,0))*INDEX(EF!$H$132:$H$147,MATCH(Emissions!$D85,EF!$D$132:$D$147,0))*kgtoGg</f>
        <v>0</v>
      </c>
      <c r="AW85" s="23">
        <f>INDEX('Activity data'!AW$24:AW$39,MATCH(Emissions!$D85,'Activity data'!$D$24:$D$39,0))*INDEX(EF!$H$84:$H$99,MATCH(Emissions!$D85,EF!$D$84:$D$99,0))*INDEX(EF!$H$100:$H$115,MATCH(Emissions!$D85,EF!$D$100:$D$115,0))*INDEX(EF!$H$132:$H$147,MATCH(Emissions!$D85,EF!$D$132:$D$147,0))*kgtoGg</f>
        <v>0</v>
      </c>
      <c r="AX85" s="23">
        <f>INDEX('Activity data'!AX$24:AX$39,MATCH(Emissions!$D85,'Activity data'!$D$24:$D$39,0))*INDEX(EF!$H$84:$H$99,MATCH(Emissions!$D85,EF!$D$84:$D$99,0))*INDEX(EF!$H$100:$H$115,MATCH(Emissions!$D85,EF!$D$100:$D$115,0))*INDEX(EF!$H$132:$H$147,MATCH(Emissions!$D85,EF!$D$132:$D$147,0))*kgtoGg</f>
        <v>0</v>
      </c>
      <c r="AY85" s="23">
        <f>INDEX('Activity data'!AY$24:AY$39,MATCH(Emissions!$D85,'Activity data'!$D$24:$D$39,0))*INDEX(EF!$H$84:$H$99,MATCH(Emissions!$D85,EF!$D$84:$D$99,0))*INDEX(EF!$H$100:$H$115,MATCH(Emissions!$D85,EF!$D$100:$D$115,0))*INDEX(EF!$H$132:$H$147,MATCH(Emissions!$D85,EF!$D$132:$D$147,0))*kgtoGg</f>
        <v>0</v>
      </c>
      <c r="AZ85" s="23">
        <f>INDEX('Activity data'!AZ$24:AZ$39,MATCH(Emissions!$D85,'Activity data'!$D$24:$D$39,0))*INDEX(EF!$H$84:$H$99,MATCH(Emissions!$D85,EF!$D$84:$D$99,0))*INDEX(EF!$H$100:$H$115,MATCH(Emissions!$D85,EF!$D$100:$D$115,0))*INDEX(EF!$H$132:$H$147,MATCH(Emissions!$D85,EF!$D$132:$D$147,0))*kgtoGg</f>
        <v>0</v>
      </c>
      <c r="BA85" s="23">
        <f>INDEX('Activity data'!BA$24:BA$39,MATCH(Emissions!$D85,'Activity data'!$D$24:$D$39,0))*INDEX(EF!$H$84:$H$99,MATCH(Emissions!$D85,EF!$D$84:$D$99,0))*INDEX(EF!$H$100:$H$115,MATCH(Emissions!$D85,EF!$D$100:$D$115,0))*INDEX(EF!$H$132:$H$147,MATCH(Emissions!$D85,EF!$D$132:$D$147,0))*kgtoGg</f>
        <v>0</v>
      </c>
      <c r="BB85" s="23">
        <f>INDEX('Activity data'!BB$24:BB$39,MATCH(Emissions!$D85,'Activity data'!$D$24:$D$39,0))*INDEX(EF!$H$84:$H$99,MATCH(Emissions!$D85,EF!$D$84:$D$99,0))*INDEX(EF!$H$100:$H$115,MATCH(Emissions!$D85,EF!$D$100:$D$115,0))*INDEX(EF!$H$132:$H$147,MATCH(Emissions!$D85,EF!$D$132:$D$147,0))*kgtoGg</f>
        <v>0</v>
      </c>
      <c r="BC85" s="23">
        <f>INDEX('Activity data'!BC$24:BC$39,MATCH(Emissions!$D85,'Activity data'!$D$24:$D$39,0))*INDEX(EF!$H$84:$H$99,MATCH(Emissions!$D85,EF!$D$84:$D$99,0))*INDEX(EF!$H$100:$H$115,MATCH(Emissions!$D85,EF!$D$100:$D$115,0))*INDEX(EF!$H$132:$H$147,MATCH(Emissions!$D85,EF!$D$132:$D$147,0))*kgtoGg</f>
        <v>0</v>
      </c>
      <c r="BD85" s="23">
        <f>INDEX('Activity data'!BD$24:BD$39,MATCH(Emissions!$D85,'Activity data'!$D$24:$D$39,0))*INDEX(EF!$H$84:$H$99,MATCH(Emissions!$D85,EF!$D$84:$D$99,0))*INDEX(EF!$H$100:$H$115,MATCH(Emissions!$D85,EF!$D$100:$D$115,0))*INDEX(EF!$H$132:$H$147,MATCH(Emissions!$D85,EF!$D$132:$D$147,0))*kgtoGg</f>
        <v>0</v>
      </c>
      <c r="BE85" s="23">
        <f>INDEX('Activity data'!BE$24:BE$39,MATCH(Emissions!$D85,'Activity data'!$D$24:$D$39,0))*INDEX(EF!$H$84:$H$99,MATCH(Emissions!$D85,EF!$D$84:$D$99,0))*INDEX(EF!$H$100:$H$115,MATCH(Emissions!$D85,EF!$D$100:$D$115,0))*INDEX(EF!$H$132:$H$147,MATCH(Emissions!$D85,EF!$D$132:$D$147,0))*kgtoGg</f>
        <v>0</v>
      </c>
      <c r="BF85" s="23">
        <f>INDEX('Activity data'!BF$24:BF$39,MATCH(Emissions!$D85,'Activity data'!$D$24:$D$39,0))*INDEX(EF!$H$84:$H$99,MATCH(Emissions!$D85,EF!$D$84:$D$99,0))*INDEX(EF!$H$100:$H$115,MATCH(Emissions!$D85,EF!$D$100:$D$115,0))*INDEX(EF!$H$132:$H$147,MATCH(Emissions!$D85,EF!$D$132:$D$147,0))*kgtoGg</f>
        <v>0</v>
      </c>
      <c r="BG85" s="23">
        <f>INDEX('Activity data'!BG$24:BG$39,MATCH(Emissions!$D85,'Activity data'!$D$24:$D$39,0))*INDEX(EF!$H$84:$H$99,MATCH(Emissions!$D85,EF!$D$84:$D$99,0))*INDEX(EF!$H$100:$H$115,MATCH(Emissions!$D85,EF!$D$100:$D$115,0))*INDEX(EF!$H$132:$H$147,MATCH(Emissions!$D85,EF!$D$132:$D$147,0))*kgtoGg</f>
        <v>0</v>
      </c>
      <c r="BH85" s="23">
        <f>INDEX('Activity data'!BH$24:BH$39,MATCH(Emissions!$D85,'Activity data'!$D$24:$D$39,0))*INDEX(EF!$H$84:$H$99,MATCH(Emissions!$D85,EF!$D$84:$D$99,0))*INDEX(EF!$H$100:$H$115,MATCH(Emissions!$D85,EF!$D$100:$D$115,0))*INDEX(EF!$H$132:$H$147,MATCH(Emissions!$D85,EF!$D$132:$D$147,0))*kgtoGg</f>
        <v>0</v>
      </c>
      <c r="BI85" s="23">
        <f>INDEX('Activity data'!BI$24:BI$39,MATCH(Emissions!$D85,'Activity data'!$D$24:$D$39,0))*INDEX(EF!$H$84:$H$99,MATCH(Emissions!$D85,EF!$D$84:$D$99,0))*INDEX(EF!$H$100:$H$115,MATCH(Emissions!$D85,EF!$D$100:$D$115,0))*INDEX(EF!$H$132:$H$147,MATCH(Emissions!$D85,EF!$D$132:$D$147,0))*kgtoGg</f>
        <v>0</v>
      </c>
      <c r="BJ85" s="23">
        <f>INDEX('Activity data'!BJ$24:BJ$39,MATCH(Emissions!$D85,'Activity data'!$D$24:$D$39,0))*INDEX(EF!$H$84:$H$99,MATCH(Emissions!$D85,EF!$D$84:$D$99,0))*INDEX(EF!$H$100:$H$115,MATCH(Emissions!$D85,EF!$D$100:$D$115,0))*INDEX(EF!$H$132:$H$147,MATCH(Emissions!$D85,EF!$D$132:$D$147,0))*kgtoGg</f>
        <v>0</v>
      </c>
      <c r="BK85" s="23">
        <f>INDEX('Activity data'!BK$24:BK$39,MATCH(Emissions!$D85,'Activity data'!$D$24:$D$39,0))*INDEX(EF!$H$84:$H$99,MATCH(Emissions!$D85,EF!$D$84:$D$99,0))*INDEX(EF!$H$100:$H$115,MATCH(Emissions!$D85,EF!$D$100:$D$115,0))*INDEX(EF!$H$132:$H$147,MATCH(Emissions!$D85,EF!$D$132:$D$147,0))*kgtoGg</f>
        <v>0</v>
      </c>
      <c r="BL85" s="23">
        <f>INDEX('Activity data'!BL$24:BL$39,MATCH(Emissions!$D85,'Activity data'!$D$24:$D$39,0))*INDEX(EF!$H$84:$H$99,MATCH(Emissions!$D85,EF!$D$84:$D$99,0))*INDEX(EF!$H$100:$H$115,MATCH(Emissions!$D85,EF!$D$100:$D$115,0))*INDEX(EF!$H$132:$H$147,MATCH(Emissions!$D85,EF!$D$132:$D$147,0))*kgtoGg</f>
        <v>0</v>
      </c>
      <c r="BM85" s="23">
        <f>INDEX('Activity data'!BM$24:BM$39,MATCH(Emissions!$D85,'Activity data'!$D$24:$D$39,0))*INDEX(EF!$H$84:$H$99,MATCH(Emissions!$D85,EF!$D$84:$D$99,0))*INDEX(EF!$H$100:$H$115,MATCH(Emissions!$D85,EF!$D$100:$D$115,0))*INDEX(EF!$H$132:$H$147,MATCH(Emissions!$D85,EF!$D$132:$D$147,0))*kgtoGg</f>
        <v>0</v>
      </c>
      <c r="BN85" s="23">
        <f>INDEX('Activity data'!BN$24:BN$39,MATCH(Emissions!$D85,'Activity data'!$D$24:$D$39,0))*INDEX(EF!$H$84:$H$99,MATCH(Emissions!$D85,EF!$D$84:$D$99,0))*INDEX(EF!$H$100:$H$115,MATCH(Emissions!$D85,EF!$D$100:$D$115,0))*INDEX(EF!$H$132:$H$147,MATCH(Emissions!$D85,EF!$D$132:$D$147,0))*kgtoGg</f>
        <v>0</v>
      </c>
      <c r="BO85" s="23">
        <f>INDEX('Activity data'!BO$24:BO$39,MATCH(Emissions!$D85,'Activity data'!$D$24:$D$39,0))*INDEX(EF!$H$84:$H$99,MATCH(Emissions!$D85,EF!$D$84:$D$99,0))*INDEX(EF!$H$100:$H$115,MATCH(Emissions!$D85,EF!$D$100:$D$115,0))*INDEX(EF!$H$132:$H$147,MATCH(Emissions!$D85,EF!$D$132:$D$147,0))*kgtoGg</f>
        <v>0</v>
      </c>
      <c r="BP85" s="23">
        <f>INDEX('Activity data'!BP$24:BP$39,MATCH(Emissions!$D85,'Activity data'!$D$24:$D$39,0))*INDEX(EF!$H$84:$H$99,MATCH(Emissions!$D85,EF!$D$84:$D$99,0))*INDEX(EF!$H$100:$H$115,MATCH(Emissions!$D85,EF!$D$100:$D$115,0))*INDEX(EF!$H$132:$H$147,MATCH(Emissions!$D85,EF!$D$132:$D$147,0))*kgtoGg</f>
        <v>0</v>
      </c>
    </row>
    <row r="86" spans="1:68" x14ac:dyDescent="0.25">
      <c r="A86" t="str">
        <f>A85</f>
        <v>3C Aggregated and non-CO2 emissions on land</v>
      </c>
      <c r="B86" t="str">
        <f>'IPCC Categories'!B71</f>
        <v>3C2 Liming (CO2)</v>
      </c>
      <c r="E86" t="s">
        <v>453</v>
      </c>
      <c r="F86" t="s">
        <v>452</v>
      </c>
      <c r="G86" t="s">
        <v>454</v>
      </c>
      <c r="H86" s="23">
        <f>'Activity data'!H45*EF!$H$149*CtoCO2*ttoGg</f>
        <v>357.5</v>
      </c>
      <c r="I86" s="23">
        <f>'Activity data'!I45*EF!$H$149*CtoCO2*ttoGg</f>
        <v>378.125</v>
      </c>
      <c r="J86" s="23">
        <f>'Activity data'!J45*EF!$H$149*CtoCO2*ttoGg</f>
        <v>261.25</v>
      </c>
      <c r="K86" s="23">
        <f>'Activity data'!K45*EF!$H$149*CtoCO2*ttoGg</f>
        <v>412.5</v>
      </c>
      <c r="L86" s="23">
        <f>'Activity data'!L45*EF!$H$149*CtoCO2*ttoGg</f>
        <v>595.58170833333327</v>
      </c>
      <c r="M86" s="23">
        <f>'Activity data'!M45*EF!$H$149*CtoCO2*ttoGg</f>
        <v>473.34145833333332</v>
      </c>
      <c r="N86" s="23">
        <f>'Activity data'!N45*EF!$H$149*CtoCO2*ttoGg</f>
        <v>579.13625000000002</v>
      </c>
      <c r="O86" s="23">
        <f>'Activity data'!O45*EF!$H$149*CtoCO2*ttoGg</f>
        <v>547.24312499999996</v>
      </c>
      <c r="P86" s="23">
        <f>'Activity data'!P45*EF!$H$149*CtoCO2*ttoGg</f>
        <v>570.31379166666659</v>
      </c>
      <c r="Q86" s="23">
        <f>'Activity data'!Q45*EF!$H$149*CtoCO2*ttoGg</f>
        <v>567.03808333333325</v>
      </c>
      <c r="R86" s="23">
        <f>'Activity data'!R45*EF!$H$149*CtoCO2*ttoGg</f>
        <v>378.2405</v>
      </c>
      <c r="S86" s="23">
        <f>'Activity data'!S45*EF!$H$149*CtoCO2*ttoGg</f>
        <v>489.66362500000002</v>
      </c>
      <c r="T86" s="23">
        <f>'Activity data'!T45*EF!$H$149*CtoCO2*ttoGg</f>
        <v>672.79437500000006</v>
      </c>
      <c r="U86" s="23">
        <f>'Activity data'!U45*EF!$H$149*CtoCO2*ttoGg</f>
        <v>580.13175000000001</v>
      </c>
      <c r="V86" s="23">
        <f>'Activity data'!V45*EF!$H$149*CtoCO2*ttoGg</f>
        <v>579.7403333333333</v>
      </c>
      <c r="W86" s="23">
        <f>'Activity data'!W45*EF!$H$149*CtoCO2*ttoGg</f>
        <v>266.03683333333333</v>
      </c>
      <c r="X86" s="23">
        <f>'Activity data'!X45*EF!$H$149*CtoCO2*ttoGg</f>
        <v>441.42908333333332</v>
      </c>
      <c r="Y86" s="23">
        <f>'Activity data'!Y45*EF!$H$149*CtoCO2*ttoGg</f>
        <v>521.42108333333329</v>
      </c>
      <c r="Z86" s="23">
        <f>'Activity data'!Z45*EF!$H$149*CtoCO2*ttoGg</f>
        <v>655.32637499999998</v>
      </c>
      <c r="AA86" s="23">
        <f>'Activity data'!AA45*EF!$H$149*CtoCO2*ttoGg</f>
        <v>695.56775237855516</v>
      </c>
      <c r="AB86" s="23">
        <f>'Activity data'!AB45*EF!$H$149*CtoCO2*ttoGg</f>
        <v>653.23730656422072</v>
      </c>
      <c r="AC86" s="23">
        <f>'Activity data'!AC45*EF!$H$149*CtoCO2*ttoGg</f>
        <v>722.61220387104663</v>
      </c>
      <c r="AD86" s="23">
        <f>'Activity data'!AD45*EF!$H$149*CtoCO2*ttoGg</f>
        <v>829.6141641239476</v>
      </c>
      <c r="AE86" s="23">
        <f>'Activity data'!AE45*EF!$H$149*CtoCO2*ttoGg</f>
        <v>749.65665536353811</v>
      </c>
      <c r="AF86" s="23">
        <f>'Activity data'!AF45*EF!$H$149*CtoCO2*ttoGg</f>
        <v>773.17356970483502</v>
      </c>
      <c r="AG86" s="23">
        <f>'Activity data'!AG45*EF!$H$149*CtoCO2*ttoGg</f>
        <v>780.22864400722403</v>
      </c>
      <c r="AH86" s="23">
        <f>'Activity data'!AH45*EF!$H$149*CtoCO2*ttoGg</f>
        <v>982.47410734237747</v>
      </c>
      <c r="AI86" s="23">
        <f>'Activity data'!AI45*EF!$H$149*CtoCO2*ttoGg</f>
        <v>1218.2311736138793</v>
      </c>
      <c r="AJ86" s="23">
        <f>'Activity data'!AJ45*EF!$H$149*CtoCO2*ttoGg</f>
        <v>688.74289830929615</v>
      </c>
      <c r="AK86" s="23">
        <f>'Activity data'!AK45*EF!$H$149*CtoCO2*ttoGg</f>
        <v>694.04734471925508</v>
      </c>
      <c r="AL86" s="23">
        <f>'Activity data'!AL45*EF!$H$149*CtoCO2*ttoGg</f>
        <v>699.35179112921401</v>
      </c>
      <c r="AM86" s="23">
        <f>'Activity data'!AM45*EF!$H$149*CtoCO2*ttoGg</f>
        <v>704.72841992293843</v>
      </c>
      <c r="AN86" s="23">
        <f>'Activity data'!AN45*EF!$H$149*CtoCO2*ttoGg</f>
        <v>710.10504861741867</v>
      </c>
      <c r="AO86" s="23">
        <f>'Activity data'!AO45*EF!$H$149*CtoCO2*ttoGg</f>
        <v>715.48167731189903</v>
      </c>
      <c r="AP86" s="23">
        <f>'Activity data'!AP45*EF!$H$149*CtoCO2*ttoGg</f>
        <v>720.85830600637928</v>
      </c>
      <c r="AQ86" s="23">
        <f>'Activity data'!AQ45*EF!$H$149*CtoCO2*ttoGg</f>
        <v>726.2349348001037</v>
      </c>
      <c r="AR86" s="23">
        <f>'Activity data'!AR45*EF!$H$149*CtoCO2*ttoGg</f>
        <v>726.2349348001037</v>
      </c>
      <c r="AS86" s="23">
        <f>'Activity data'!AS45*EF!$H$149*CtoCO2*ttoGg</f>
        <v>726.2349348001037</v>
      </c>
      <c r="AT86" s="23">
        <f>'Activity data'!AT45*EF!$H$149*CtoCO2*ttoGg</f>
        <v>726.2349348001037</v>
      </c>
      <c r="AU86" s="23">
        <f>'Activity data'!AU45*EF!$H$149*CtoCO2*ttoGg</f>
        <v>726.2349348001037</v>
      </c>
      <c r="AV86" s="23">
        <f>'Activity data'!AV45*EF!$H$149*CtoCO2*ttoGg</f>
        <v>726.2349348001037</v>
      </c>
      <c r="AW86" s="23">
        <f>'Activity data'!AW45*EF!$H$149*CtoCO2*ttoGg</f>
        <v>726.2349348001037</v>
      </c>
      <c r="AX86" s="23">
        <f>'Activity data'!AX45*EF!$H$149*CtoCO2*ttoGg</f>
        <v>726.2349348001037</v>
      </c>
      <c r="AY86" s="23">
        <f>'Activity data'!AY45*EF!$H$149*CtoCO2*ttoGg</f>
        <v>726.2349348001037</v>
      </c>
      <c r="AZ86" s="23">
        <f>'Activity data'!AZ45*EF!$H$149*CtoCO2*ttoGg</f>
        <v>726.2349348001037</v>
      </c>
      <c r="BA86" s="23">
        <f>'Activity data'!BA45*EF!$H$149*CtoCO2*ttoGg</f>
        <v>726.2349348001037</v>
      </c>
      <c r="BB86" s="23">
        <f>'Activity data'!BB45*EF!$H$149*CtoCO2*ttoGg</f>
        <v>726.2349348001037</v>
      </c>
      <c r="BC86" s="23">
        <f>'Activity data'!BC45*EF!$H$149*CtoCO2*ttoGg</f>
        <v>726.2349348001037</v>
      </c>
      <c r="BD86" s="23">
        <f>'Activity data'!BD45*EF!$H$149*CtoCO2*ttoGg</f>
        <v>726.2349348001037</v>
      </c>
      <c r="BE86" s="23">
        <f>'Activity data'!BE45*EF!$H$149*CtoCO2*ttoGg</f>
        <v>726.2349348001037</v>
      </c>
      <c r="BF86" s="23">
        <f>'Activity data'!BF45*EF!$H$149*CtoCO2*ttoGg</f>
        <v>726.2349348001037</v>
      </c>
      <c r="BG86" s="23">
        <f>'Activity data'!BG45*EF!$H$149*CtoCO2*ttoGg</f>
        <v>726.2349348001037</v>
      </c>
      <c r="BH86" s="23">
        <f>'Activity data'!BH45*EF!$H$149*CtoCO2*ttoGg</f>
        <v>726.2349348001037</v>
      </c>
      <c r="BI86" s="23">
        <f>'Activity data'!BI45*EF!$H$149*CtoCO2*ttoGg</f>
        <v>726.2349348001037</v>
      </c>
      <c r="BJ86" s="23">
        <f>'Activity data'!BJ45*EF!$H$149*CtoCO2*ttoGg</f>
        <v>726.2349348001037</v>
      </c>
      <c r="BK86" s="23">
        <f>'Activity data'!BK45*EF!$H$149*CtoCO2*ttoGg</f>
        <v>726.2349348001037</v>
      </c>
      <c r="BL86" s="23">
        <f>'Activity data'!BL45*EF!$H$149*CtoCO2*ttoGg</f>
        <v>726.2349348001037</v>
      </c>
      <c r="BM86" s="23">
        <f>'Activity data'!BM45*EF!$H$149*CtoCO2*ttoGg</f>
        <v>726.2349348001037</v>
      </c>
      <c r="BN86" s="23">
        <f>'Activity data'!BN45*EF!$H$149*CtoCO2*ttoGg</f>
        <v>726.2349348001037</v>
      </c>
      <c r="BO86" s="23">
        <f>'Activity data'!BO45*EF!$H$149*CtoCO2*ttoGg</f>
        <v>726.2349348001037</v>
      </c>
      <c r="BP86" s="23">
        <f>'Activity data'!BP45*EF!$H$149*CtoCO2*ttoGg</f>
        <v>726.2349348001037</v>
      </c>
    </row>
    <row r="87" spans="1:68" x14ac:dyDescent="0.25">
      <c r="A87" t="str">
        <f>A86</f>
        <v>3C Aggregated and non-CO2 emissions on land</v>
      </c>
      <c r="B87" t="str">
        <f>'IPCC Categories'!B72</f>
        <v>3C3 Urea application (CO2)</v>
      </c>
      <c r="E87" t="s">
        <v>462</v>
      </c>
      <c r="F87" t="s">
        <v>452</v>
      </c>
      <c r="G87" t="s">
        <v>454</v>
      </c>
      <c r="H87" s="23">
        <f>'Activity data'!H46*EF!$H$150*CtoCO2*ttoGg</f>
        <v>90.994567483487728</v>
      </c>
      <c r="I87" s="23">
        <f>'Activity data'!I46*EF!$H$150*CtoCO2*ttoGg</f>
        <v>111.62690198838213</v>
      </c>
      <c r="J87" s="23">
        <f>'Activity data'!J46*EF!$H$150*CtoCO2*ttoGg</f>
        <v>132.25923649327655</v>
      </c>
      <c r="K87" s="23">
        <f>'Activity data'!K46*EF!$H$150*CtoCO2*ttoGg</f>
        <v>152.89157099816552</v>
      </c>
      <c r="L87" s="23">
        <f>'Activity data'!L46*EF!$H$150*CtoCO2*ttoGg</f>
        <v>173.52390550305992</v>
      </c>
      <c r="M87" s="23">
        <f>'Activity data'!M46*EF!$H$150*CtoCO2*ttoGg</f>
        <v>194.15624000795432</v>
      </c>
      <c r="N87" s="23">
        <f>'Activity data'!N46*EF!$H$150*CtoCO2*ttoGg</f>
        <v>214.78857451284878</v>
      </c>
      <c r="O87" s="23">
        <f>'Activity data'!O46*EF!$H$150*CtoCO2*ttoGg</f>
        <v>235.42090901774316</v>
      </c>
      <c r="P87" s="23">
        <f>'Activity data'!P46*EF!$H$150*CtoCO2*ttoGg</f>
        <v>256.05324352263762</v>
      </c>
      <c r="Q87" s="23">
        <f>'Activity data'!Q46*EF!$H$150*CtoCO2*ttoGg</f>
        <v>276.68557802753202</v>
      </c>
      <c r="R87" s="23">
        <f>'Activity data'!R46*EF!$H$150*CtoCO2*ttoGg</f>
        <v>297.31791253242642</v>
      </c>
      <c r="S87" s="23">
        <f>'Activity data'!S46*EF!$H$150*CtoCO2*ttoGg</f>
        <v>317.95024703732088</v>
      </c>
      <c r="T87" s="23">
        <f>'Activity data'!T46*EF!$H$150*CtoCO2*ttoGg</f>
        <v>338.58258154220977</v>
      </c>
      <c r="U87" s="23">
        <f>'Activity data'!U46*EF!$H$150*CtoCO2*ttoGg</f>
        <v>359.21491604710423</v>
      </c>
      <c r="V87" s="23">
        <f>'Activity data'!V46*EF!$H$150*CtoCO2*ttoGg</f>
        <v>435.89846666666671</v>
      </c>
      <c r="W87" s="23">
        <f>'Activity data'!W46*EF!$H$150*CtoCO2*ttoGg</f>
        <v>355.08659999999998</v>
      </c>
      <c r="X87" s="23">
        <f>'Activity data'!X46*EF!$H$150*CtoCO2*ttoGg</f>
        <v>393.08573333333334</v>
      </c>
      <c r="Y87" s="23">
        <f>'Activity data'!Y46*EF!$H$150*CtoCO2*ttoGg</f>
        <v>484.55366666666663</v>
      </c>
      <c r="Z87" s="23">
        <f>'Activity data'!Z46*EF!$H$150*CtoCO2*ttoGg</f>
        <v>480.19253333333336</v>
      </c>
      <c r="AA87" s="23">
        <f>'Activity data'!AA46*EF!$H$150*CtoCO2*ttoGg</f>
        <v>380.54426666666666</v>
      </c>
      <c r="AB87" s="23">
        <f>'Activity data'!AB46*EF!$H$150*CtoCO2*ttoGg</f>
        <v>501.48046666666664</v>
      </c>
      <c r="AC87" s="23">
        <f>'Activity data'!AC46*EF!$H$150*CtoCO2*ttoGg</f>
        <v>571.19113333333337</v>
      </c>
      <c r="AD87" s="23">
        <f>'Activity data'!AD46*EF!$H$150*CtoCO2*ttoGg</f>
        <v>587.22106666666662</v>
      </c>
      <c r="AE87" s="23">
        <f>'Activity data'!AE46*EF!$H$150*CtoCO2*ttoGg</f>
        <v>533.06336966666674</v>
      </c>
      <c r="AF87" s="23">
        <f>'Activity data'!AF46*EF!$H$150*CtoCO2*ttoGg</f>
        <v>663.77159200000006</v>
      </c>
      <c r="AG87" s="23">
        <f>'Activity data'!AG46*EF!$H$150*CtoCO2*ttoGg</f>
        <v>486.09938600666663</v>
      </c>
      <c r="AH87" s="23">
        <f>'Activity data'!AH46*EF!$H$150*CtoCO2*ttoGg</f>
        <v>643.60119999999995</v>
      </c>
      <c r="AI87" s="23">
        <f>'Activity data'!AI46*EF!$H$150*CtoCO2*ttoGg</f>
        <v>679.61446666666666</v>
      </c>
      <c r="AJ87" s="23">
        <f>'Activity data'!AJ46*EF!$H$150*CtoCO2*ttoGg</f>
        <v>417.11332241940903</v>
      </c>
      <c r="AK87" s="23">
        <f>'Activity data'!AK46*EF!$H$150*CtoCO2*ttoGg</f>
        <v>419.88128021257768</v>
      </c>
      <c r="AL87" s="23">
        <f>'Activity data'!AL46*EF!$H$150*CtoCO2*ttoGg</f>
        <v>422.64923800574661</v>
      </c>
      <c r="AM87" s="23">
        <f>'Activity data'!AM46*EF!$H$150*CtoCO2*ttoGg</f>
        <v>425.45486189566344</v>
      </c>
      <c r="AN87" s="23">
        <f>'Activity data'!AN46*EF!$H$150*CtoCO2*ttoGg</f>
        <v>428.26048573379319</v>
      </c>
      <c r="AO87" s="23">
        <f>'Activity data'!AO46*EF!$H$150*CtoCO2*ttoGg</f>
        <v>431.06610957192277</v>
      </c>
      <c r="AP87" s="23">
        <f>'Activity data'!AP46*EF!$H$150*CtoCO2*ttoGg</f>
        <v>433.8717334100524</v>
      </c>
      <c r="AQ87" s="23">
        <f>'Activity data'!AQ46*EF!$H$150*CtoCO2*ttoGg</f>
        <v>436.67735729996917</v>
      </c>
      <c r="AR87" s="23">
        <f>'Activity data'!AR46*EF!$H$150*CtoCO2*ttoGg</f>
        <v>436.67735729996917</v>
      </c>
      <c r="AS87" s="23">
        <f>'Activity data'!AS46*EF!$H$150*CtoCO2*ttoGg</f>
        <v>436.67735729996917</v>
      </c>
      <c r="AT87" s="23">
        <f>'Activity data'!AT46*EF!$H$150*CtoCO2*ttoGg</f>
        <v>436.67735729996917</v>
      </c>
      <c r="AU87" s="23">
        <f>'Activity data'!AU46*EF!$H$150*CtoCO2*ttoGg</f>
        <v>436.67735729996917</v>
      </c>
      <c r="AV87" s="23">
        <f>'Activity data'!AV46*EF!$H$150*CtoCO2*ttoGg</f>
        <v>436.67735729996917</v>
      </c>
      <c r="AW87" s="23">
        <f>'Activity data'!AW46*EF!$H$150*CtoCO2*ttoGg</f>
        <v>436.67735729996917</v>
      </c>
      <c r="AX87" s="23">
        <f>'Activity data'!AX46*EF!$H$150*CtoCO2*ttoGg</f>
        <v>436.67735729996917</v>
      </c>
      <c r="AY87" s="23">
        <f>'Activity data'!AY46*EF!$H$150*CtoCO2*ttoGg</f>
        <v>436.67735729996917</v>
      </c>
      <c r="AZ87" s="23">
        <f>'Activity data'!AZ46*EF!$H$150*CtoCO2*ttoGg</f>
        <v>436.67735729996917</v>
      </c>
      <c r="BA87" s="23">
        <f>'Activity data'!BA46*EF!$H$150*CtoCO2*ttoGg</f>
        <v>436.67735729996917</v>
      </c>
      <c r="BB87" s="23">
        <f>'Activity data'!BB46*EF!$H$150*CtoCO2*ttoGg</f>
        <v>436.67735729996917</v>
      </c>
      <c r="BC87" s="23">
        <f>'Activity data'!BC46*EF!$H$150*CtoCO2*ttoGg</f>
        <v>436.67735729996917</v>
      </c>
      <c r="BD87" s="23">
        <f>'Activity data'!BD46*EF!$H$150*CtoCO2*ttoGg</f>
        <v>436.67735729996917</v>
      </c>
      <c r="BE87" s="23">
        <f>'Activity data'!BE46*EF!$H$150*CtoCO2*ttoGg</f>
        <v>436.67735729996917</v>
      </c>
      <c r="BF87" s="23">
        <f>'Activity data'!BF46*EF!$H$150*CtoCO2*ttoGg</f>
        <v>436.67735729996917</v>
      </c>
      <c r="BG87" s="23">
        <f>'Activity data'!BG46*EF!$H$150*CtoCO2*ttoGg</f>
        <v>436.67735729996917</v>
      </c>
      <c r="BH87" s="23">
        <f>'Activity data'!BH46*EF!$H$150*CtoCO2*ttoGg</f>
        <v>436.67735729996917</v>
      </c>
      <c r="BI87" s="23">
        <f>'Activity data'!BI46*EF!$H$150*CtoCO2*ttoGg</f>
        <v>436.67735729996917</v>
      </c>
      <c r="BJ87" s="23">
        <f>'Activity data'!BJ46*EF!$H$150*CtoCO2*ttoGg</f>
        <v>436.67735729996917</v>
      </c>
      <c r="BK87" s="23">
        <f>'Activity data'!BK46*EF!$H$150*CtoCO2*ttoGg</f>
        <v>436.67735729996917</v>
      </c>
      <c r="BL87" s="23">
        <f>'Activity data'!BL46*EF!$H$150*CtoCO2*ttoGg</f>
        <v>436.67735729996917</v>
      </c>
      <c r="BM87" s="23">
        <f>'Activity data'!BM46*EF!$H$150*CtoCO2*ttoGg</f>
        <v>436.67735729996917</v>
      </c>
      <c r="BN87" s="23">
        <f>'Activity data'!BN46*EF!$H$150*CtoCO2*ttoGg</f>
        <v>436.67735729996917</v>
      </c>
      <c r="BO87" s="23">
        <f>'Activity data'!BO46*EF!$H$150*CtoCO2*ttoGg</f>
        <v>436.67735729996917</v>
      </c>
      <c r="BP87" s="23">
        <f>'Activity data'!BP46*EF!$H$150*CtoCO2*ttoGg</f>
        <v>436.67735729996917</v>
      </c>
    </row>
    <row r="88" spans="1:68" x14ac:dyDescent="0.25">
      <c r="A88" t="str">
        <f>A87</f>
        <v>3C Aggregated and non-CO2 emissions on land</v>
      </c>
      <c r="B88" t="str">
        <f>'IPCC Categories'!B73</f>
        <v>3C4 Direct N2O from managed soils (N2O)</v>
      </c>
      <c r="E88" t="s">
        <v>494</v>
      </c>
      <c r="F88" t="s">
        <v>143</v>
      </c>
      <c r="G88" t="s">
        <v>291</v>
      </c>
      <c r="H88" s="23">
        <f>'Activity data'!H47*ttokg*SNEF*NtoN2O*kgtoGg</f>
        <v>5.4008271428571426</v>
      </c>
      <c r="I88" s="23">
        <f>'Activity data'!I47*ttokg*SNEF*NtoN2O*kgtoGg</f>
        <v>5.7362642857142854</v>
      </c>
      <c r="J88" s="23">
        <f>'Activity data'!J47*ttokg*SNEF*NtoN2O*kgtoGg</f>
        <v>5.4611071428571423</v>
      </c>
      <c r="K88" s="23">
        <f>'Activity data'!K47*ttokg*SNEF*NtoN2O*kgtoGg</f>
        <v>6.4186414285714282</v>
      </c>
      <c r="L88" s="23">
        <f>'Activity data'!L47*ttokg*SNEF*NtoN2O*kgtoGg</f>
        <v>5.8938942857142855</v>
      </c>
      <c r="M88" s="23">
        <f>'Activity data'!M47*ttokg*SNEF*NtoN2O*kgtoGg</f>
        <v>5.8377157142857143</v>
      </c>
      <c r="N88" s="23">
        <f>'Activity data'!N47*ttokg*SNEF*NtoN2O*kgtoGg</f>
        <v>6.5227485714285702</v>
      </c>
      <c r="O88" s="23">
        <f>'Activity data'!O47*ttokg*SNEF*NtoN2O*kgtoGg</f>
        <v>6.3943628571428572</v>
      </c>
      <c r="P88" s="23">
        <f>'Activity data'!P47*ttokg*SNEF*NtoN2O*kgtoGg</f>
        <v>6.5296157142857139</v>
      </c>
      <c r="Q88" s="23">
        <f>'Activity data'!Q47*ttokg*SNEF*NtoN2O*kgtoGg</f>
        <v>6.4907071428571426</v>
      </c>
      <c r="R88" s="23">
        <f>'Activity data'!R47*ttokg*SNEF*NtoN2O*kgtoGg</f>
        <v>6.5360899999999997</v>
      </c>
      <c r="S88" s="23">
        <f>'Activity data'!S47*ttokg*SNEF*NtoN2O*kgtoGg</f>
        <v>6.219918571428571</v>
      </c>
      <c r="T88" s="23">
        <f>'Activity data'!T47*ttokg*SNEF*NtoN2O*kgtoGg</f>
        <v>7.4968457142857146</v>
      </c>
      <c r="U88" s="23">
        <f>'Activity data'!U47*ttokg*SNEF*NtoN2O*kgtoGg</f>
        <v>6.6129957142857139</v>
      </c>
      <c r="V88" s="23">
        <f>'Activity data'!V47*ttokg*SNEF*NtoN2O*kgtoGg</f>
        <v>6.7189728571428571</v>
      </c>
      <c r="W88" s="23">
        <f>'Activity data'!W47*ttokg*SNEF*NtoN2O*kgtoGg</f>
        <v>5.4569428571428569</v>
      </c>
      <c r="X88" s="23">
        <f>'Activity data'!X47*ttokg*SNEF*NtoN2O*kgtoGg</f>
        <v>6.7370128571428571</v>
      </c>
      <c r="Y88" s="23">
        <f>'Activity data'!Y47*ttokg*SNEF*NtoN2O*kgtoGg</f>
        <v>6.9061142857142848</v>
      </c>
      <c r="Z88" s="23">
        <f>'Activity data'!Z47*ttokg*SNEF*NtoN2O*kgtoGg</f>
        <v>6.66479</v>
      </c>
      <c r="AA88" s="23">
        <f>'Activity data'!AA47*ttokg*SNEF*NtoN2O*kgtoGg</f>
        <v>7.1307814285714279</v>
      </c>
      <c r="AB88" s="23">
        <f>'Activity data'!AB47*ttokg*SNEF*NtoN2O*kgtoGg</f>
        <v>6.2071428571428573</v>
      </c>
      <c r="AC88" s="23">
        <f>'Activity data'!AC47*ttokg*SNEF*NtoN2O*kgtoGg</f>
        <v>6.5842857142857145</v>
      </c>
      <c r="AD88" s="23">
        <f>'Activity data'!AD47*ttokg*SNEF*NtoN2O*kgtoGg</f>
        <v>6.7571428571428571</v>
      </c>
      <c r="AE88" s="23">
        <f>'Activity data'!AE47*ttokg*SNEF*NtoN2O*kgtoGg</f>
        <v>6.5449999999999999</v>
      </c>
      <c r="AF88" s="23">
        <f>'Activity data'!AF47*ttokg*SNEF*NtoN2O*kgtoGg</f>
        <v>7.0328814285714278</v>
      </c>
      <c r="AG88" s="23">
        <f>'Activity data'!AG47*ttokg*SNEF*NtoN2O*kgtoGg</f>
        <v>6.3295885714285705</v>
      </c>
      <c r="AH88" s="23">
        <f>'Activity data'!AH47*ttokg*SNEF*NtoN2O*kgtoGg</f>
        <v>6.7571428571428571</v>
      </c>
      <c r="AI88" s="23">
        <f>'Activity data'!AI47*ttokg*SNEF*NtoN2O*kgtoGg</f>
        <v>6.9598571428571425</v>
      </c>
      <c r="AJ88" s="23">
        <f>'Activity data'!AJ47*ttokg*SNEF*NtoN2O*kgtoGg</f>
        <v>6.6713395169939895</v>
      </c>
      <c r="AK88" s="23">
        <f>'Activity data'!AK47*ttokg*SNEF*NtoN2O*kgtoGg</f>
        <v>6.6847567335850666</v>
      </c>
      <c r="AL88" s="23">
        <f>'Activity data'!AL47*ttokg*SNEF*NtoN2O*kgtoGg</f>
        <v>6.6981739501761473</v>
      </c>
      <c r="AM88" s="23">
        <f>'Activity data'!AM47*ttokg*SNEF*NtoN2O*kgtoGg</f>
        <v>6.7117737469277543</v>
      </c>
      <c r="AN88" s="23">
        <f>'Activity data'!AN47*ttokg*SNEF*NtoN2O*kgtoGg</f>
        <v>6.7253735434283319</v>
      </c>
      <c r="AO88" s="23">
        <f>'Activity data'!AO47*ttokg*SNEF*NtoN2O*kgtoGg</f>
        <v>6.7389733399289078</v>
      </c>
      <c r="AP88" s="23">
        <f>'Activity data'!AP47*ttokg*SNEF*NtoN2O*kgtoGg</f>
        <v>6.7525731364294854</v>
      </c>
      <c r="AQ88" s="23">
        <f>'Activity data'!AQ47*ttokg*SNEF*NtoN2O*kgtoGg</f>
        <v>6.7661729331810925</v>
      </c>
      <c r="AR88" s="23">
        <f>'Activity data'!AR47*ttokg*SNEF*NtoN2O*kgtoGg</f>
        <v>6.7661729331810925</v>
      </c>
      <c r="AS88" s="23">
        <f>'Activity data'!AS47*ttokg*SNEF*NtoN2O*kgtoGg</f>
        <v>6.7661729331810925</v>
      </c>
      <c r="AT88" s="23">
        <f>'Activity data'!AT47*ttokg*SNEF*NtoN2O*kgtoGg</f>
        <v>6.7661729331810925</v>
      </c>
      <c r="AU88" s="23">
        <f>'Activity data'!AU47*ttokg*SNEF*NtoN2O*kgtoGg</f>
        <v>6.7661729331810925</v>
      </c>
      <c r="AV88" s="23">
        <f>'Activity data'!AV47*ttokg*SNEF*NtoN2O*kgtoGg</f>
        <v>6.7661729331810925</v>
      </c>
      <c r="AW88" s="23">
        <f>'Activity data'!AW47*ttokg*SNEF*NtoN2O*kgtoGg</f>
        <v>6.7661729331810925</v>
      </c>
      <c r="AX88" s="23">
        <f>'Activity data'!AX47*ttokg*SNEF*NtoN2O*kgtoGg</f>
        <v>6.7661729331810925</v>
      </c>
      <c r="AY88" s="23">
        <f>'Activity data'!AY47*ttokg*SNEF*NtoN2O*kgtoGg</f>
        <v>6.7661729331810925</v>
      </c>
      <c r="AZ88" s="23">
        <f>'Activity data'!AZ47*ttokg*SNEF*NtoN2O*kgtoGg</f>
        <v>6.7661729331810925</v>
      </c>
      <c r="BA88" s="23">
        <f>'Activity data'!BA47*ttokg*SNEF*NtoN2O*kgtoGg</f>
        <v>6.7661729331810925</v>
      </c>
      <c r="BB88" s="23">
        <f>'Activity data'!BB47*ttokg*SNEF*NtoN2O*kgtoGg</f>
        <v>6.7661729331810925</v>
      </c>
      <c r="BC88" s="23">
        <f>'Activity data'!BC47*ttokg*SNEF*NtoN2O*kgtoGg</f>
        <v>6.7661729331810925</v>
      </c>
      <c r="BD88" s="23">
        <f>'Activity data'!BD47*ttokg*SNEF*NtoN2O*kgtoGg</f>
        <v>6.7661729331810925</v>
      </c>
      <c r="BE88" s="23">
        <f>'Activity data'!BE47*ttokg*SNEF*NtoN2O*kgtoGg</f>
        <v>6.7661729331810925</v>
      </c>
      <c r="BF88" s="23">
        <f>'Activity data'!BF47*ttokg*SNEF*NtoN2O*kgtoGg</f>
        <v>6.7661729331810925</v>
      </c>
      <c r="BG88" s="23">
        <f>'Activity data'!BG47*ttokg*SNEF*NtoN2O*kgtoGg</f>
        <v>6.7661729331810925</v>
      </c>
      <c r="BH88" s="23">
        <f>'Activity data'!BH47*ttokg*SNEF*NtoN2O*kgtoGg</f>
        <v>6.7661729331810925</v>
      </c>
      <c r="BI88" s="23">
        <f>'Activity data'!BI47*ttokg*SNEF*NtoN2O*kgtoGg</f>
        <v>6.7661729331810925</v>
      </c>
      <c r="BJ88" s="23">
        <f>'Activity data'!BJ47*ttokg*SNEF*NtoN2O*kgtoGg</f>
        <v>6.7661729331810925</v>
      </c>
      <c r="BK88" s="23">
        <f>'Activity data'!BK47*ttokg*SNEF*NtoN2O*kgtoGg</f>
        <v>6.7661729331810925</v>
      </c>
      <c r="BL88" s="23">
        <f>'Activity data'!BL47*ttokg*SNEF*NtoN2O*kgtoGg</f>
        <v>6.7661729331810925</v>
      </c>
      <c r="BM88" s="23">
        <f>'Activity data'!BM47*ttokg*SNEF*NtoN2O*kgtoGg</f>
        <v>6.7661729331810925</v>
      </c>
      <c r="BN88" s="23">
        <f>'Activity data'!BN47*ttokg*SNEF*NtoN2O*kgtoGg</f>
        <v>6.7661729331810925</v>
      </c>
      <c r="BO88" s="23">
        <f>'Activity data'!BO47*ttokg*SNEF*NtoN2O*kgtoGg</f>
        <v>6.7661729331810925</v>
      </c>
      <c r="BP88" s="23">
        <f>'Activity data'!BP47*ttokg*SNEF*NtoN2O*kgtoGg</f>
        <v>6.7661729331810925</v>
      </c>
    </row>
    <row r="89" spans="1:68" x14ac:dyDescent="0.25">
      <c r="A89" t="str">
        <f t="shared" ref="A89:A139" si="29">A88</f>
        <v>3C Aggregated and non-CO2 emissions on land</v>
      </c>
      <c r="B89" t="str">
        <f>B88</f>
        <v>3C4 Direct N2O from managed soils (N2O)</v>
      </c>
      <c r="E89" t="s">
        <v>495</v>
      </c>
      <c r="F89" t="str">
        <f>F88</f>
        <v>N2O</v>
      </c>
      <c r="G89" t="str">
        <f>G88</f>
        <v>Gg N2O</v>
      </c>
      <c r="H89" s="23">
        <f>'Activity data'!H48*ttokg*ONEF*NtoN2O*kgtoGg</f>
        <v>3.5645459142857133E-2</v>
      </c>
      <c r="I89" s="23">
        <f>'Activity data'!I48*ttokg*ONEF*NtoN2O*kgtoGg</f>
        <v>3.7859344285714289E-2</v>
      </c>
      <c r="J89" s="23">
        <f>'Activity data'!J48*ttokg*ONEF*NtoN2O*kgtoGg</f>
        <v>3.6043307142857146E-2</v>
      </c>
      <c r="K89" s="23">
        <f>'Activity data'!K48*ttokg*ONEF*NtoN2O*kgtoGg</f>
        <v>4.236303342857143E-2</v>
      </c>
      <c r="L89" s="23">
        <f>'Activity data'!L48*ttokg*ONEF*NtoN2O*kgtoGg</f>
        <v>3.8899702285714287E-2</v>
      </c>
      <c r="M89" s="23">
        <f>'Activity data'!M48*ttokg*ONEF*NtoN2O*kgtoGg</f>
        <v>3.8528923714285714E-2</v>
      </c>
      <c r="N89" s="23">
        <f>'Activity data'!N48*ttokg*ONEF*NtoN2O*kgtoGg</f>
        <v>4.3050140571428579E-2</v>
      </c>
      <c r="O89" s="23">
        <f>'Activity data'!O48*ttokg*ONEF*NtoN2O*kgtoGg</f>
        <v>4.2202794857142865E-2</v>
      </c>
      <c r="P89" s="23">
        <f>'Activity data'!P48*ttokg*ONEF*NtoN2O*kgtoGg</f>
        <v>4.3095463714285728E-2</v>
      </c>
      <c r="Q89" s="23">
        <f>'Activity data'!Q48*ttokg*ONEF*NtoN2O*kgtoGg</f>
        <v>4.283866714285714E-2</v>
      </c>
      <c r="R89" s="23">
        <f>'Activity data'!R48*ttokg*ONEF*NtoN2O*kgtoGg</f>
        <v>4.3138194000000012E-2</v>
      </c>
      <c r="S89" s="23">
        <f>'Activity data'!S48*ttokg*ONEF*NtoN2O*kgtoGg</f>
        <v>4.1051462571428568E-2</v>
      </c>
      <c r="T89" s="23">
        <f>'Activity data'!T48*ttokg*ONEF*NtoN2O*kgtoGg</f>
        <v>4.9479181714285725E-2</v>
      </c>
      <c r="U89" s="23">
        <f>'Activity data'!U48*ttokg*ONEF*NtoN2O*kgtoGg</f>
        <v>4.3645771714285735E-2</v>
      </c>
      <c r="V89" s="23">
        <f>'Activity data'!V48*ttokg*ONEF*NtoN2O*kgtoGg</f>
        <v>4.4345220857142861E-2</v>
      </c>
      <c r="W89" s="23">
        <f>'Activity data'!W48*ttokg*ONEF*NtoN2O*kgtoGg</f>
        <v>3.6015822857142853E-2</v>
      </c>
      <c r="X89" s="23">
        <f>'Activity data'!X48*ttokg*ONEF*NtoN2O*kgtoGg</f>
        <v>4.4464284857142863E-2</v>
      </c>
      <c r="Y89" s="23">
        <f>'Activity data'!Y48*ttokg*ONEF*NtoN2O*kgtoGg</f>
        <v>4.5580354285714282E-2</v>
      </c>
      <c r="Z89" s="23">
        <f>'Activity data'!Z48*ttokg*ONEF*NtoN2O*kgtoGg</f>
        <v>4.3987614000000001E-2</v>
      </c>
      <c r="AA89" s="23">
        <f>'Activity data'!AA48*ttokg*ONEF*NtoN2O*kgtoGg</f>
        <v>4.706315742857143E-2</v>
      </c>
      <c r="AB89" s="23">
        <f>'Activity data'!AB48*ttokg*ONEF*NtoN2O*kgtoGg</f>
        <v>4.0967142857142855E-2</v>
      </c>
      <c r="AC89" s="23">
        <f>'Activity data'!AC48*ttokg*ONEF*NtoN2O*kgtoGg</f>
        <v>4.3456285714285711E-2</v>
      </c>
      <c r="AD89" s="23">
        <f>'Activity data'!AD48*ttokg*ONEF*NtoN2O*kgtoGg</f>
        <v>4.4597142857142856E-2</v>
      </c>
      <c r="AE89" s="23">
        <f>'Activity data'!AE48*ttokg*ONEF*NtoN2O*kgtoGg</f>
        <v>4.3196999999999999E-2</v>
      </c>
      <c r="AF89" s="23">
        <f>'Activity data'!AF48*ttokg*ONEF*NtoN2O*kgtoGg</f>
        <v>4.6417017428571426E-2</v>
      </c>
      <c r="AG89" s="23">
        <f>'Activity data'!AG48*ttokg*ONEF*NtoN2O*kgtoGg</f>
        <v>4.1775284571428588E-2</v>
      </c>
      <c r="AH89" s="23">
        <f>'Activity data'!AH48*ttokg*ONEF*NtoN2O*kgtoGg</f>
        <v>4.4597142857142856E-2</v>
      </c>
      <c r="AI89" s="23">
        <f>'Activity data'!AI48*ttokg*ONEF*NtoN2O*kgtoGg</f>
        <v>4.5935057142857144E-2</v>
      </c>
      <c r="AJ89" s="23">
        <f>'Activity data'!AJ48*ttokg*ONEF*NtoN2O*kgtoGg</f>
        <v>4.4030840812160334E-2</v>
      </c>
      <c r="AK89" s="23">
        <f>'Activity data'!AK48*ttokg*ONEF*NtoN2O*kgtoGg</f>
        <v>4.411939444166145E-2</v>
      </c>
      <c r="AL89" s="23">
        <f>'Activity data'!AL48*ttokg*ONEF*NtoN2O*kgtoGg</f>
        <v>4.4207948071162587E-2</v>
      </c>
      <c r="AM89" s="23">
        <f>'Activity data'!AM48*ttokg*ONEF*NtoN2O*kgtoGg</f>
        <v>4.4297706729723198E-2</v>
      </c>
      <c r="AN89" s="23">
        <f>'Activity data'!AN48*ttokg*ONEF*NtoN2O*kgtoGg</f>
        <v>4.4387465386626995E-2</v>
      </c>
      <c r="AO89" s="23">
        <f>'Activity data'!AO48*ttokg*ONEF*NtoN2O*kgtoGg</f>
        <v>4.4477224043530814E-2</v>
      </c>
      <c r="AP89" s="23">
        <f>'Activity data'!AP48*ttokg*ONEF*NtoN2O*kgtoGg</f>
        <v>4.4566982700434625E-2</v>
      </c>
      <c r="AQ89" s="23">
        <f>'Activity data'!AQ48*ttokg*ONEF*NtoN2O*kgtoGg</f>
        <v>4.4656741358995215E-2</v>
      </c>
      <c r="AR89" s="23">
        <f>'Activity data'!AR48*ttokg*ONEF*NtoN2O*kgtoGg</f>
        <v>4.4656741358995215E-2</v>
      </c>
      <c r="AS89" s="23">
        <f>'Activity data'!AS48*ttokg*ONEF*NtoN2O*kgtoGg</f>
        <v>4.4656741358995215E-2</v>
      </c>
      <c r="AT89" s="23">
        <f>'Activity data'!AT48*ttokg*ONEF*NtoN2O*kgtoGg</f>
        <v>4.4656741358995215E-2</v>
      </c>
      <c r="AU89" s="23">
        <f>'Activity data'!AU48*ttokg*ONEF*NtoN2O*kgtoGg</f>
        <v>4.4656741358995215E-2</v>
      </c>
      <c r="AV89" s="23">
        <f>'Activity data'!AV48*ttokg*ONEF*NtoN2O*kgtoGg</f>
        <v>4.4656741358995215E-2</v>
      </c>
      <c r="AW89" s="23">
        <f>'Activity data'!AW48*ttokg*ONEF*NtoN2O*kgtoGg</f>
        <v>4.4656741358995215E-2</v>
      </c>
      <c r="AX89" s="23">
        <f>'Activity data'!AX48*ttokg*ONEF*NtoN2O*kgtoGg</f>
        <v>4.4656741358995215E-2</v>
      </c>
      <c r="AY89" s="23">
        <f>'Activity data'!AY48*ttokg*ONEF*NtoN2O*kgtoGg</f>
        <v>4.4656741358995215E-2</v>
      </c>
      <c r="AZ89" s="23">
        <f>'Activity data'!AZ48*ttokg*ONEF*NtoN2O*kgtoGg</f>
        <v>4.4656741358995215E-2</v>
      </c>
      <c r="BA89" s="23">
        <f>'Activity data'!BA48*ttokg*ONEF*NtoN2O*kgtoGg</f>
        <v>4.4656741358995215E-2</v>
      </c>
      <c r="BB89" s="23">
        <f>'Activity data'!BB48*ttokg*ONEF*NtoN2O*kgtoGg</f>
        <v>4.4656741358995215E-2</v>
      </c>
      <c r="BC89" s="23">
        <f>'Activity data'!BC48*ttokg*ONEF*NtoN2O*kgtoGg</f>
        <v>4.4656741358995215E-2</v>
      </c>
      <c r="BD89" s="23">
        <f>'Activity data'!BD48*ttokg*ONEF*NtoN2O*kgtoGg</f>
        <v>4.4656741358995215E-2</v>
      </c>
      <c r="BE89" s="23">
        <f>'Activity data'!BE48*ttokg*ONEF*NtoN2O*kgtoGg</f>
        <v>4.4656741358995215E-2</v>
      </c>
      <c r="BF89" s="23">
        <f>'Activity data'!BF48*ttokg*ONEF*NtoN2O*kgtoGg</f>
        <v>4.4656741358995215E-2</v>
      </c>
      <c r="BG89" s="23">
        <f>'Activity data'!BG48*ttokg*ONEF*NtoN2O*kgtoGg</f>
        <v>4.4656741358995215E-2</v>
      </c>
      <c r="BH89" s="23">
        <f>'Activity data'!BH48*ttokg*ONEF*NtoN2O*kgtoGg</f>
        <v>4.4656741358995215E-2</v>
      </c>
      <c r="BI89" s="23">
        <f>'Activity data'!BI48*ttokg*ONEF*NtoN2O*kgtoGg</f>
        <v>4.4656741358995215E-2</v>
      </c>
      <c r="BJ89" s="23">
        <f>'Activity data'!BJ48*ttokg*ONEF*NtoN2O*kgtoGg</f>
        <v>4.4656741358995215E-2</v>
      </c>
      <c r="BK89" s="23">
        <f>'Activity data'!BK48*ttokg*ONEF*NtoN2O*kgtoGg</f>
        <v>4.4656741358995215E-2</v>
      </c>
      <c r="BL89" s="23">
        <f>'Activity data'!BL48*ttokg*ONEF*NtoN2O*kgtoGg</f>
        <v>4.4656741358995215E-2</v>
      </c>
      <c r="BM89" s="23">
        <f>'Activity data'!BM48*ttokg*ONEF*NtoN2O*kgtoGg</f>
        <v>4.4656741358995215E-2</v>
      </c>
      <c r="BN89" s="23">
        <f>'Activity data'!BN48*ttokg*ONEF*NtoN2O*kgtoGg</f>
        <v>4.4656741358995215E-2</v>
      </c>
      <c r="BO89" s="23">
        <f>'Activity data'!BO48*ttokg*ONEF*NtoN2O*kgtoGg</f>
        <v>4.4656741358995215E-2</v>
      </c>
      <c r="BP89" s="23">
        <f>'Activity data'!BP48*ttokg*ONEF*NtoN2O*kgtoGg</f>
        <v>4.4656741358995215E-2</v>
      </c>
    </row>
    <row r="90" spans="1:68" x14ac:dyDescent="0.25">
      <c r="A90" t="str">
        <f t="shared" ref="A90" si="30">A89</f>
        <v>3C Aggregated and non-CO2 emissions on land</v>
      </c>
      <c r="B90" t="str">
        <f>B89</f>
        <v>3C4 Direct N2O from managed soils (N2O)</v>
      </c>
      <c r="E90" t="s">
        <v>62</v>
      </c>
      <c r="F90" t="str">
        <f>F89</f>
        <v>N2O</v>
      </c>
      <c r="G90" t="str">
        <f>G89</f>
        <v>Gg N2O</v>
      </c>
      <c r="H90" s="23">
        <f>'Activity data'!H85*CREF*NtoN2O*kgtoGg</f>
        <v>9.5145328493987673</v>
      </c>
      <c r="I90" s="23">
        <f>'Activity data'!I85*CREF*NtoN2O*kgtoGg</f>
        <v>8.4807165475338557</v>
      </c>
      <c r="J90" s="23">
        <f>'Activity data'!J85*CREF*NtoN2O*kgtoGg</f>
        <v>8.8307250264890822</v>
      </c>
      <c r="K90" s="23">
        <f>'Activity data'!K85*CREF*NtoN2O*kgtoGg</f>
        <v>9.4837776749601197</v>
      </c>
      <c r="L90" s="23">
        <f>'Activity data'!L85*CREF*NtoN2O*kgtoGg</f>
        <v>10.001825653671295</v>
      </c>
      <c r="M90" s="23">
        <f>'Activity data'!M85*CREF*NtoN2O*kgtoGg</f>
        <v>7.7784758554023732</v>
      </c>
      <c r="N90" s="23">
        <f>'Activity data'!N85*CREF*NtoN2O*kgtoGg</f>
        <v>8.5678529665317189</v>
      </c>
      <c r="O90" s="23">
        <f>'Activity data'!O85*CREF*NtoN2O*kgtoGg</f>
        <v>9.0099546642841126</v>
      </c>
      <c r="P90" s="23">
        <f>'Activity data'!P85*CREF*NtoN2O*kgtoGg</f>
        <v>7.8511476996566865</v>
      </c>
      <c r="Q90" s="23">
        <f>'Activity data'!Q85*CREF*NtoN2O*kgtoGg</f>
        <v>7.7907864939862481</v>
      </c>
      <c r="R90" s="23">
        <f>'Activity data'!R85*CREF*NtoN2O*kgtoGg</f>
        <v>8.942157595447453</v>
      </c>
      <c r="S90" s="23">
        <f>'Activity data'!S85*CREF*NtoN2O*kgtoGg</f>
        <v>7.3038059468457632</v>
      </c>
      <c r="T90" s="23">
        <f>'Activity data'!T85*CREF*NtoN2O*kgtoGg</f>
        <v>7.9659865057844339</v>
      </c>
      <c r="U90" s="23">
        <f>'Activity data'!U85*CREF*NtoN2O*kgtoGg</f>
        <v>7.8603221261410496</v>
      </c>
      <c r="V90" s="23">
        <f>'Activity data'!V85*CREF*NtoN2O*kgtoGg</f>
        <v>7.0289769094831334</v>
      </c>
      <c r="W90" s="23">
        <f>'Activity data'!W85*CREF*NtoN2O*kgtoGg</f>
        <v>7.1397008149759484</v>
      </c>
      <c r="X90" s="23">
        <f>'Activity data'!X85*CREF*NtoN2O*kgtoGg</f>
        <v>4.8006705751691987</v>
      </c>
      <c r="Y90" s="23">
        <f>'Activity data'!Y85*CREF*NtoN2O*kgtoGg</f>
        <v>6.5079755078943382</v>
      </c>
      <c r="Z90" s="23">
        <f>'Activity data'!Z85*CREF*NtoN2O*kgtoGg</f>
        <v>7.4326985326734576</v>
      </c>
      <c r="AA90" s="23">
        <f>'Activity data'!AA85*CREF*NtoN2O*kgtoGg</f>
        <v>6.6040070990652842</v>
      </c>
      <c r="AB90" s="23">
        <f>'Activity data'!AB85*CREF*NtoN2O*kgtoGg</f>
        <v>7.210613978413642</v>
      </c>
      <c r="AC90" s="23">
        <f>'Activity data'!AC85*CREF*NtoN2O*kgtoGg</f>
        <v>6.6766473969928111</v>
      </c>
      <c r="AD90" s="23">
        <f>'Activity data'!AD85*CREF*NtoN2O*kgtoGg</f>
        <v>7.3617536892104853</v>
      </c>
      <c r="AE90" s="23">
        <f>'Activity data'!AE85*CREF*NtoN2O*kgtoGg</f>
        <v>7.6061991665708897</v>
      </c>
      <c r="AF90" s="23">
        <f>'Activity data'!AF85*CREF*NtoN2O*kgtoGg</f>
        <v>7.2570408671610824</v>
      </c>
      <c r="AG90" s="23">
        <f>'Activity data'!AG85*CREF*NtoN2O*kgtoGg</f>
        <v>7.0393517953857021</v>
      </c>
      <c r="AH90" s="23">
        <f>'Activity data'!AH85*CREF*NtoN2O*kgtoGg</f>
        <v>5.4414800356750721</v>
      </c>
      <c r="AI90" s="23">
        <f>'Activity data'!AI85*CREF*NtoN2O*kgtoGg</f>
        <v>7.0967648426355199</v>
      </c>
      <c r="AJ90" s="23">
        <f>'Activity data'!AJ85*CREF*NtoN2O*kgtoGg</f>
        <v>6.53054795675944</v>
      </c>
      <c r="AK90" s="23">
        <f>'Activity data'!AK85*CREF*NtoN2O*kgtoGg</f>
        <v>6.4714280316788475</v>
      </c>
      <c r="AL90" s="23">
        <f>'Activity data'!AL85*CREF*NtoN2O*kgtoGg</f>
        <v>6.4130774942705404</v>
      </c>
      <c r="AM90" s="23">
        <f>'Activity data'!AM85*CREF*NtoN2O*kgtoGg</f>
        <v>6.3530546460045931</v>
      </c>
      <c r="AN90" s="23">
        <f>'Activity data'!AN85*CREF*NtoN2O*kgtoGg</f>
        <v>6.2930403031850437</v>
      </c>
      <c r="AO90" s="23">
        <f>'Activity data'!AO85*CREF*NtoN2O*kgtoGg</f>
        <v>6.2330243167269934</v>
      </c>
      <c r="AP90" s="23">
        <f>'Activity data'!AP85*CREF*NtoN2O*kgtoGg</f>
        <v>6.1730158326124043</v>
      </c>
      <c r="AQ90" s="23">
        <f>'Activity data'!AQ85*CREF*NtoN2O*kgtoGg</f>
        <v>6.1129991617273403</v>
      </c>
      <c r="AR90" s="23">
        <f>'Activity data'!AR85*CREF*NtoN2O*kgtoGg</f>
        <v>6.113019349335846</v>
      </c>
      <c r="AS90" s="23">
        <f>'Activity data'!AS85*CREF*NtoN2O*kgtoGg</f>
        <v>6.1130418610680275</v>
      </c>
      <c r="AT90" s="23">
        <f>'Activity data'!AT85*CREF*NtoN2O*kgtoGg</f>
        <v>6.1130528485803612</v>
      </c>
      <c r="AU90" s="23">
        <f>'Activity data'!AU85*CREF*NtoN2O*kgtoGg</f>
        <v>6.1130552413177748</v>
      </c>
      <c r="AV90" s="23">
        <f>'Activity data'!AV85*CREF*NtoN2O*kgtoGg</f>
        <v>6.1130482456958042</v>
      </c>
      <c r="AW90" s="23">
        <f>'Activity data'!AW85*CREF*NtoN2O*kgtoGg</f>
        <v>6.1129774058304891</v>
      </c>
      <c r="AX90" s="23">
        <f>'Activity data'!AX85*CREF*NtoN2O*kgtoGg</f>
        <v>6.1129224124372001</v>
      </c>
      <c r="AY90" s="23">
        <f>'Activity data'!AY85*CREF*NtoN2O*kgtoGg</f>
        <v>6.1128340363585156</v>
      </c>
      <c r="AZ90" s="23">
        <f>'Activity data'!AZ85*CREF*NtoN2O*kgtoGg</f>
        <v>6.1127235498200667</v>
      </c>
      <c r="BA90" s="23">
        <f>'Activity data'!BA85*CREF*NtoN2O*kgtoGg</f>
        <v>6.1125908363582058</v>
      </c>
      <c r="BB90" s="23">
        <f>'Activity data'!BB85*CREF*NtoN2O*kgtoGg</f>
        <v>6.1124592847844239</v>
      </c>
      <c r="BC90" s="23">
        <f>'Activity data'!BC85*CREF*NtoN2O*kgtoGg</f>
        <v>6.1123145475015779</v>
      </c>
      <c r="BD90" s="23">
        <f>'Activity data'!BD85*CREF*NtoN2O*kgtoGg</f>
        <v>6.1121673257355296</v>
      </c>
      <c r="BE90" s="23">
        <f>'Activity data'!BE85*CREF*NtoN2O*kgtoGg</f>
        <v>6.1120083531252147</v>
      </c>
      <c r="BF90" s="23">
        <f>'Activity data'!BF85*CREF*NtoN2O*kgtoGg</f>
        <v>6.1118304828410368</v>
      </c>
      <c r="BG90" s="23">
        <f>'Activity data'!BG85*CREF*NtoN2O*kgtoGg</f>
        <v>6.1116725516998214</v>
      </c>
      <c r="BH90" s="23">
        <f>'Activity data'!BH85*CREF*NtoN2O*kgtoGg</f>
        <v>6.1115022522817766</v>
      </c>
      <c r="BI90" s="23">
        <f>'Activity data'!BI85*CREF*NtoN2O*kgtoGg</f>
        <v>6.111321888209809</v>
      </c>
      <c r="BJ90" s="23">
        <f>'Activity data'!BJ85*CREF*NtoN2O*kgtoGg</f>
        <v>6.1111306201599156</v>
      </c>
      <c r="BK90" s="23">
        <f>'Activity data'!BK85*CREF*NtoN2O*kgtoGg</f>
        <v>6.1109217685712416</v>
      </c>
      <c r="BL90" s="23">
        <f>'Activity data'!BL85*CREF*NtoN2O*kgtoGg</f>
        <v>6.1106943987553359</v>
      </c>
      <c r="BM90" s="23">
        <f>'Activity data'!BM85*CREF*NtoN2O*kgtoGg</f>
        <v>6.1104584553238155</v>
      </c>
      <c r="BN90" s="23">
        <f>'Activity data'!BN85*CREF*NtoN2O*kgtoGg</f>
        <v>6.1102298650329301</v>
      </c>
      <c r="BO90" s="23">
        <f>'Activity data'!BO85*CREF*NtoN2O*kgtoGg</f>
        <v>6.109994363451996</v>
      </c>
      <c r="BP90" s="23">
        <f>'Activity data'!BP85*CREF*NtoN2O*kgtoGg</f>
        <v>6.1097530125853021</v>
      </c>
    </row>
    <row r="91" spans="1:68" x14ac:dyDescent="0.25">
      <c r="A91" t="str">
        <f>A89</f>
        <v>3C Aggregated and non-CO2 emissions on land</v>
      </c>
      <c r="B91" t="str">
        <f>B89</f>
        <v>3C4 Direct N2O from managed soils (N2O)</v>
      </c>
      <c r="C91" t="s">
        <v>496</v>
      </c>
      <c r="D91" t="str">
        <f>'Activity data'!D50</f>
        <v xml:space="preserve"> - TMR</v>
      </c>
      <c r="E91" t="str">
        <f>C91&amp;D91</f>
        <v>MM emissions - TMR</v>
      </c>
      <c r="F91" t="str">
        <f>F89</f>
        <v>N2O</v>
      </c>
      <c r="G91" t="str">
        <f>G89</f>
        <v>Gg N2O</v>
      </c>
      <c r="H91" s="23">
        <f>'Activity data'!H50*ManureNEF*NtoN2O*kgtoGg</f>
        <v>0.26350583749371725</v>
      </c>
      <c r="I91" s="23">
        <f>'Activity data'!I50*ManureNEF*NtoN2O*kgtoGg</f>
        <v>0.30336366372659757</v>
      </c>
      <c r="J91" s="23">
        <f>'Activity data'!J50*ManureNEF*NtoN2O*kgtoGg</f>
        <v>0.26244882124379881</v>
      </c>
      <c r="K91" s="23">
        <f>'Activity data'!K50*ManureNEF*NtoN2O*kgtoGg</f>
        <v>0.27835157134088651</v>
      </c>
      <c r="L91" s="23">
        <f>'Activity data'!L50*ManureNEF*NtoN2O*kgtoGg</f>
        <v>0.25822075624412494</v>
      </c>
      <c r="M91" s="23">
        <f>'Activity data'!M50*ManureNEF*NtoN2O*kgtoGg</f>
        <v>0.27623753884104962</v>
      </c>
      <c r="N91" s="23">
        <f>'Activity data'!N50*ManureNEF*NtoN2O*kgtoGg</f>
        <v>0.27729455509096812</v>
      </c>
      <c r="O91" s="23">
        <f>'Activity data'!O50*ManureNEF*NtoN2O*kgtoGg</f>
        <v>0.26733009853274803</v>
      </c>
      <c r="P91" s="23">
        <f>'Activity data'!P50*ManureNEF*NtoN2O*kgtoGg</f>
        <v>0.26415904978299276</v>
      </c>
      <c r="Q91" s="23">
        <f>'Activity data'!Q50*ManureNEF*NtoN2O*kgtoGg</f>
        <v>0.25947967447436493</v>
      </c>
      <c r="R91" s="23">
        <f>'Activity data'!R50*ManureNEF*NtoN2O*kgtoGg</f>
        <v>0.33411214767085473</v>
      </c>
      <c r="S91" s="23">
        <f>'Activity data'!S50*ManureNEF*NtoN2O*kgtoGg</f>
        <v>0.33305513142093623</v>
      </c>
      <c r="T91" s="23">
        <f>'Activity data'!T50*ManureNEF*NtoN2O*kgtoGg</f>
        <v>0.29043006039894359</v>
      </c>
      <c r="U91" s="23">
        <f>'Activity data'!U50*ManureNEF*NtoN2O*kgtoGg</f>
        <v>0.26415904978299276</v>
      </c>
      <c r="V91" s="23">
        <f>'Activity data'!V50*ManureNEF*NtoN2O*kgtoGg</f>
        <v>0.25504970749436956</v>
      </c>
      <c r="W91" s="23">
        <f>'Activity data'!W50*ManureNEF*NtoN2O*kgtoGg</f>
        <v>0.27306649009129436</v>
      </c>
      <c r="X91" s="23">
        <f>'Activity data'!X50*ManureNEF*NtoN2O*kgtoGg</f>
        <v>0.26712819655242653</v>
      </c>
      <c r="Y91" s="23">
        <f>'Activity data'!Y50*ManureNEF*NtoN2O*kgtoGg</f>
        <v>0.26521606603291115</v>
      </c>
      <c r="Z91" s="23">
        <f>'Activity data'!Z50*ManureNEF*NtoN2O*kgtoGg</f>
        <v>0.32480090340191009</v>
      </c>
      <c r="AA91" s="23">
        <f>'Activity data'!AA50*ManureNEF*NtoN2O*kgtoGg</f>
        <v>0.33285322944061474</v>
      </c>
      <c r="AB91" s="23">
        <f>'Activity data'!AB50*ManureNEF*NtoN2O*kgtoGg</f>
        <v>0.33285322944061474</v>
      </c>
      <c r="AC91" s="23">
        <f>'Activity data'!AC50*ManureNEF*NtoN2O*kgtoGg</f>
        <v>0.32077474038255771</v>
      </c>
      <c r="AD91" s="23">
        <f>'Activity data'!AD50*ManureNEF*NtoN2O*kgtoGg</f>
        <v>0.30889815330482229</v>
      </c>
      <c r="AE91" s="23">
        <f>'Activity data'!AE50*ManureNEF*NtoN2O*kgtoGg</f>
        <v>0.33305513142093623</v>
      </c>
      <c r="AF91" s="23">
        <f>'Activity data'!AF50*ManureNEF*NtoN2O*kgtoGg</f>
        <v>0.31483644684369</v>
      </c>
      <c r="AG91" s="23">
        <f>'Activity data'!AG50*ManureNEF*NtoN2O*kgtoGg</f>
        <v>0.31866070788272083</v>
      </c>
      <c r="AH91" s="23">
        <f>'Activity data'!AH50*ManureNEF*NtoN2O*kgtoGg</f>
        <v>0.33053729496045631</v>
      </c>
      <c r="AI91" s="23">
        <f>'Activity data'!AI50*ManureNEF*NtoN2O*kgtoGg</f>
        <v>0.35554938734616726</v>
      </c>
      <c r="AJ91" s="23">
        <f>'Activity data'!AJ50*ManureNEF*NtoN2O*kgtoGg</f>
        <v>0.32454408105958071</v>
      </c>
      <c r="AK91" s="23">
        <f>'Activity data'!AK50*ManureNEF*NtoN2O*kgtoGg</f>
        <v>0.32569398745430533</v>
      </c>
      <c r="AL91" s="23">
        <f>'Activity data'!AL50*ManureNEF*NtoN2O*kgtoGg</f>
        <v>0.32504983009552202</v>
      </c>
      <c r="AM91" s="23">
        <f>'Activity data'!AM50*ManureNEF*NtoN2O*kgtoGg</f>
        <v>0.32648028719192651</v>
      </c>
      <c r="AN91" s="23">
        <f>'Activity data'!AN50*ManureNEF*NtoN2O*kgtoGg</f>
        <v>0.32789250716839619</v>
      </c>
      <c r="AO91" s="23">
        <f>'Activity data'!AO50*ManureNEF*NtoN2O*kgtoGg</f>
        <v>0.3293088208752562</v>
      </c>
      <c r="AP91" s="23">
        <f>'Activity data'!AP50*ManureNEF*NtoN2O*kgtoGg</f>
        <v>0.3307094349797155</v>
      </c>
      <c r="AQ91" s="23">
        <f>'Activity data'!AQ50*ManureNEF*NtoN2O*kgtoGg</f>
        <v>0.3321282590240815</v>
      </c>
      <c r="AR91" s="23">
        <f>'Activity data'!AR50*ManureNEF*NtoN2O*kgtoGg</f>
        <v>0.33371161093796442</v>
      </c>
      <c r="AS91" s="23">
        <f>'Activity data'!AS50*ManureNEF*NtoN2O*kgtoGg</f>
        <v>0.33529013456377393</v>
      </c>
      <c r="AT91" s="23">
        <f>'Activity data'!AT50*ManureNEF*NtoN2O*kgtoGg</f>
        <v>0.33689330699047576</v>
      </c>
      <c r="AU91" s="23">
        <f>'Activity data'!AU50*ManureNEF*NtoN2O*kgtoGg</f>
        <v>0.33851478202996416</v>
      </c>
      <c r="AV91" s="23">
        <f>'Activity data'!AV50*ManureNEF*NtoN2O*kgtoGg</f>
        <v>0.34015623020858338</v>
      </c>
      <c r="AW91" s="23">
        <f>'Activity data'!AW50*ManureNEF*NtoN2O*kgtoGg</f>
        <v>0.34187913139415971</v>
      </c>
      <c r="AX91" s="23">
        <f>'Activity data'!AX50*ManureNEF*NtoN2O*kgtoGg</f>
        <v>0.34356919630007776</v>
      </c>
      <c r="AY91" s="23">
        <f>'Activity data'!AY50*ManureNEF*NtoN2O*kgtoGg</f>
        <v>0.34533332331600902</v>
      </c>
      <c r="AZ91" s="23">
        <f>'Activity data'!AZ50*ManureNEF*NtoN2O*kgtoGg</f>
        <v>0.34714922617676569</v>
      </c>
      <c r="BA91" s="23">
        <f>'Activity data'!BA50*ManureNEF*NtoN2O*kgtoGg</f>
        <v>0.34901970723092585</v>
      </c>
      <c r="BB91" s="23">
        <f>'Activity data'!BB50*ManureNEF*NtoN2O*kgtoGg</f>
        <v>0.35095536242025438</v>
      </c>
      <c r="BC91" s="23">
        <f>'Activity data'!BC50*ManureNEF*NtoN2O*kgtoGg</f>
        <v>0.35292855810689328</v>
      </c>
      <c r="BD91" s="23">
        <f>'Activity data'!BD50*ManureNEF*NtoN2O*kgtoGg</f>
        <v>0.35491569991767119</v>
      </c>
      <c r="BE91" s="23">
        <f>'Activity data'!BE50*ManureNEF*NtoN2O*kgtoGg</f>
        <v>0.35694073628103418</v>
      </c>
      <c r="BF91" s="23">
        <f>'Activity data'!BF50*ManureNEF*NtoN2O*kgtoGg</f>
        <v>0.35902487247940279</v>
      </c>
      <c r="BG91" s="23">
        <f>'Activity data'!BG50*ManureNEF*NtoN2O*kgtoGg</f>
        <v>0.36130129309730907</v>
      </c>
      <c r="BH91" s="23">
        <f>'Activity data'!BH50*ManureNEF*NtoN2O*kgtoGg</f>
        <v>0.36362308273956484</v>
      </c>
      <c r="BI91" s="23">
        <f>'Activity data'!BI50*ManureNEF*NtoN2O*kgtoGg</f>
        <v>0.36598765515792575</v>
      </c>
      <c r="BJ91" s="23">
        <f>'Activity data'!BJ50*ManureNEF*NtoN2O*kgtoGg</f>
        <v>0.3684013941563975</v>
      </c>
      <c r="BK91" s="23">
        <f>'Activity data'!BK50*ManureNEF*NtoN2O*kgtoGg</f>
        <v>0.37088960991655662</v>
      </c>
      <c r="BL91" s="23">
        <f>'Activity data'!BL50*ManureNEF*NtoN2O*kgtoGg</f>
        <v>0.37339827850623575</v>
      </c>
      <c r="BM91" s="23">
        <f>'Activity data'!BM50*ManureNEF*NtoN2O*kgtoGg</f>
        <v>0.37597116304852229</v>
      </c>
      <c r="BN91" s="23">
        <f>'Activity data'!BN50*ManureNEF*NtoN2O*kgtoGg</f>
        <v>0.37856015073007404</v>
      </c>
      <c r="BO91" s="23">
        <f>'Activity data'!BO50*ManureNEF*NtoN2O*kgtoGg</f>
        <v>0.38121917435688618</v>
      </c>
      <c r="BP91" s="23">
        <f>'Activity data'!BP50*ManureNEF*NtoN2O*kgtoGg</f>
        <v>0.38395407834991541</v>
      </c>
    </row>
    <row r="92" spans="1:68" x14ac:dyDescent="0.25">
      <c r="A92" t="str">
        <f t="shared" si="29"/>
        <v>3C Aggregated and non-CO2 emissions on land</v>
      </c>
      <c r="B92" t="str">
        <f t="shared" ref="B92:B135" si="31">B91</f>
        <v>3C4 Direct N2O from managed soils (N2O)</v>
      </c>
      <c r="C92" t="str">
        <f>C91</f>
        <v>MM emissions</v>
      </c>
      <c r="D92" t="str">
        <f>'Activity data'!D51</f>
        <v xml:space="preserve"> - Pasture</v>
      </c>
      <c r="E92" t="str">
        <f t="shared" ref="E92:E139" si="32">C92&amp;D92</f>
        <v>MM emissions - Pasture</v>
      </c>
      <c r="F92" t="str">
        <f t="shared" ref="F92:F106" si="33">F91</f>
        <v>N2O</v>
      </c>
      <c r="G92" t="str">
        <f t="shared" ref="G92:G106" si="34">G91</f>
        <v>Gg N2O</v>
      </c>
      <c r="H92" s="23">
        <f>'Activity data'!H51*ManureNEF*NtoN2O*kgtoGg</f>
        <v>0.76209725247791893</v>
      </c>
      <c r="I92" s="23">
        <f>'Activity data'!I51*ManureNEF*NtoN2O*kgtoGg</f>
        <v>0.87737188984736481</v>
      </c>
      <c r="J92" s="23">
        <f>'Activity data'!J51*ManureNEF*NtoN2O*kgtoGg</f>
        <v>0.75904020756555868</v>
      </c>
      <c r="K92" s="23">
        <f>'Activity data'!K51*ManureNEF*NtoN2O*kgtoGg</f>
        <v>0.80503327652792112</v>
      </c>
      <c r="L92" s="23">
        <f>'Activity data'!L51*ManureNEF*NtoN2O*kgtoGg</f>
        <v>0.74681202791611823</v>
      </c>
      <c r="M92" s="23">
        <f>'Activity data'!M51*ManureNEF*NtoN2O*kgtoGg</f>
        <v>0.79891918670320072</v>
      </c>
      <c r="N92" s="23">
        <f>'Activity data'!N51*ManureNEF*NtoN2O*kgtoGg</f>
        <v>0.80197623161556097</v>
      </c>
      <c r="O92" s="23">
        <f>'Activity data'!O51*ManureNEF*NtoN2O*kgtoGg</f>
        <v>0.77315757227319948</v>
      </c>
      <c r="P92" s="23">
        <f>'Activity data'!P51*ManureNEF*NtoN2O*kgtoGg</f>
        <v>0.76398643753611906</v>
      </c>
      <c r="Q92" s="23">
        <f>'Activity data'!Q51*ManureNEF*NtoN2O*kgtoGg</f>
        <v>0.75045300275555815</v>
      </c>
      <c r="R92" s="23">
        <f>'Activity data'!R51*ManureNEF*NtoN2O*kgtoGg</f>
        <v>0.96630098285972954</v>
      </c>
      <c r="S92" s="23">
        <f>'Activity data'!S51*ManureNEF*NtoN2O*kgtoGg</f>
        <v>0.9632439379473694</v>
      </c>
      <c r="T92" s="23">
        <f>'Activity data'!T51*ManureNEF*NtoN2O*kgtoGg</f>
        <v>0.83996602569500267</v>
      </c>
      <c r="U92" s="23">
        <f>'Activity data'!U51*ManureNEF*NtoN2O*kgtoGg</f>
        <v>0.76398643753611906</v>
      </c>
      <c r="V92" s="23">
        <f>'Activity data'!V51*ManureNEF*NtoN2O*kgtoGg</f>
        <v>0.73764089317903758</v>
      </c>
      <c r="W92" s="23">
        <f>'Activity data'!W51*ManureNEF*NtoN2O*kgtoGg</f>
        <v>0.78974805196612041</v>
      </c>
      <c r="X92" s="23">
        <f>'Activity data'!X51*ManureNEF*NtoN2O*kgtoGg</f>
        <v>0.77257364234611936</v>
      </c>
      <c r="Y92" s="23">
        <f>'Activity data'!Y51*ManureNEF*NtoN2O*kgtoGg</f>
        <v>0.7670434824484792</v>
      </c>
      <c r="Z92" s="23">
        <f>'Activity data'!Z51*ManureNEF*NtoN2O*kgtoGg</f>
        <v>0.93937150857556795</v>
      </c>
      <c r="AA92" s="23">
        <f>'Activity data'!AA51*ManureNEF*NtoN2O*kgtoGg</f>
        <v>0.96266000802028917</v>
      </c>
      <c r="AB92" s="23">
        <f>'Activity data'!AB51*ManureNEF*NtoN2O*kgtoGg</f>
        <v>0.96266000802028917</v>
      </c>
      <c r="AC92" s="23">
        <f>'Activity data'!AC51*ManureNEF*NtoN2O*kgtoGg</f>
        <v>0.92772725885320717</v>
      </c>
      <c r="AD92" s="23">
        <f>'Activity data'!AD51*ManureNEF*NtoN2O*kgtoGg</f>
        <v>0.89337843961320551</v>
      </c>
      <c r="AE92" s="23">
        <f>'Activity data'!AE51*ManureNEF*NtoN2O*kgtoGg</f>
        <v>0.9632439379473694</v>
      </c>
      <c r="AF92" s="23">
        <f>'Activity data'!AF51*ManureNEF*NtoN2O*kgtoGg</f>
        <v>0.91055284923320656</v>
      </c>
      <c r="AG92" s="23">
        <f>'Activity data'!AG51*ManureNEF*NtoN2O*kgtoGg</f>
        <v>0.921613169028487</v>
      </c>
      <c r="AH92" s="23">
        <f>'Activity data'!AH51*ManureNEF*NtoN2O*kgtoGg</f>
        <v>0.95596198826848877</v>
      </c>
      <c r="AI92" s="23">
        <f>'Activity data'!AI51*ManureNEF*NtoN2O*kgtoGg</f>
        <v>1.0283006015879326</v>
      </c>
      <c r="AJ92" s="23">
        <f>'Activity data'!AJ51*ManureNEF*NtoN2O*kgtoGg</f>
        <v>0.93705825227336248</v>
      </c>
      <c r="AK92" s="23">
        <f>'Activity data'!AK51*ManureNEF*NtoN2O*kgtoGg</f>
        <v>0.94037838454322442</v>
      </c>
      <c r="AL92" s="23">
        <f>'Activity data'!AL51*ManureNEF*NtoN2O*kgtoGg</f>
        <v>0.9385185047794653</v>
      </c>
      <c r="AM92" s="23">
        <f>'Activity data'!AM51*ManureNEF*NtoN2O*kgtoGg</f>
        <v>0.94264867292898968</v>
      </c>
      <c r="AN92" s="23">
        <f>'Activity data'!AN51*ManureNEF*NtoN2O*kgtoGg</f>
        <v>0.94672618492260141</v>
      </c>
      <c r="AO92" s="23">
        <f>'Activity data'!AO51*ManureNEF*NtoN2O*kgtoGg</f>
        <v>0.9508155167707989</v>
      </c>
      <c r="AP92" s="23">
        <f>'Activity data'!AP51*ManureNEF*NtoN2O*kgtoGg</f>
        <v>0.95485951905409172</v>
      </c>
      <c r="AQ92" s="23">
        <f>'Activity data'!AQ51*ManureNEF*NtoN2O*kgtoGg</f>
        <v>0.95895609901622336</v>
      </c>
      <c r="AR92" s="23">
        <f>'Activity data'!AR51*ManureNEF*NtoN2O*kgtoGg</f>
        <v>0.96352772137431075</v>
      </c>
      <c r="AS92" s="23">
        <f>'Activity data'!AS51*ManureNEF*NtoN2O*kgtoGg</f>
        <v>0.96808540298459911</v>
      </c>
      <c r="AT92" s="23">
        <f>'Activity data'!AT51*ManureNEF*NtoN2O*kgtoGg</f>
        <v>0.97271425323924987</v>
      </c>
      <c r="AU92" s="23">
        <f>'Activity data'!AU51*ManureNEF*NtoN2O*kgtoGg</f>
        <v>0.97739594874775315</v>
      </c>
      <c r="AV92" s="23">
        <f>'Activity data'!AV51*ManureNEF*NtoN2O*kgtoGg</f>
        <v>0.98213531283177014</v>
      </c>
      <c r="AW92" s="23">
        <f>'Activity data'!AW51*ManureNEF*NtoN2O*kgtoGg</f>
        <v>0.98710985671661011</v>
      </c>
      <c r="AX92" s="23">
        <f>'Activity data'!AX51*ManureNEF*NtoN2O*kgtoGg</f>
        <v>0.99198959219598659</v>
      </c>
      <c r="AY92" s="23">
        <f>'Activity data'!AY51*ManureNEF*NtoN2O*kgtoGg</f>
        <v>0.99708316769099992</v>
      </c>
      <c r="AZ92" s="23">
        <f>'Activity data'!AZ51*ManureNEF*NtoN2O*kgtoGg</f>
        <v>1.0023262359221121</v>
      </c>
      <c r="BA92" s="23">
        <f>'Activity data'!BA51*ManureNEF*NtoN2O*kgtoGg</f>
        <v>1.0077268881287376</v>
      </c>
      <c r="BB92" s="23">
        <f>'Activity data'!BB51*ManureNEF*NtoN2O*kgtoGg</f>
        <v>1.0133157180429799</v>
      </c>
      <c r="BC92" s="23">
        <f>'Activity data'!BC51*ManureNEF*NtoN2O*kgtoGg</f>
        <v>1.0190129388811431</v>
      </c>
      <c r="BD92" s="23">
        <f>'Activity data'!BD51*ManureNEF*NtoN2O*kgtoGg</f>
        <v>1.0247504264549345</v>
      </c>
      <c r="BE92" s="23">
        <f>'Activity data'!BE51*ManureNEF*NtoN2O*kgtoGg</f>
        <v>1.0305973272187621</v>
      </c>
      <c r="BF92" s="23">
        <f>'Activity data'!BF51*ManureNEF*NtoN2O*kgtoGg</f>
        <v>1.0366148673235351</v>
      </c>
      <c r="BG92" s="23">
        <f>'Activity data'!BG51*ManureNEF*NtoN2O*kgtoGg</f>
        <v>1.0431875914930535</v>
      </c>
      <c r="BH92" s="23">
        <f>'Activity data'!BH51*ManureNEF*NtoN2O*kgtoGg</f>
        <v>1.04989130994392</v>
      </c>
      <c r="BI92" s="23">
        <f>'Activity data'!BI51*ManureNEF*NtoN2O*kgtoGg</f>
        <v>1.056718555384629</v>
      </c>
      <c r="BJ92" s="23">
        <f>'Activity data'!BJ51*ManureNEF*NtoN2O*kgtoGg</f>
        <v>1.0636877598143246</v>
      </c>
      <c r="BK92" s="23">
        <f>'Activity data'!BK51*ManureNEF*NtoN2O*kgtoGg</f>
        <v>1.0708720014861539</v>
      </c>
      <c r="BL92" s="23">
        <f>'Activity data'!BL51*ManureNEF*NtoN2O*kgtoGg</f>
        <v>1.0781152967467016</v>
      </c>
      <c r="BM92" s="23">
        <f>'Activity data'!BM51*ManureNEF*NtoN2O*kgtoGg</f>
        <v>1.085544003148079</v>
      </c>
      <c r="BN92" s="23">
        <f>'Activity data'!BN51*ManureNEF*NtoN2O*kgtoGg</f>
        <v>1.0930192042489939</v>
      </c>
      <c r="BO92" s="23">
        <f>'Activity data'!BO51*ManureNEF*NtoN2O*kgtoGg</f>
        <v>1.1006966205936684</v>
      </c>
      <c r="BP92" s="23">
        <f>'Activity data'!BP51*ManureNEF*NtoN2O*kgtoGg</f>
        <v>1.1085931268170341</v>
      </c>
    </row>
    <row r="93" spans="1:68" x14ac:dyDescent="0.25">
      <c r="A93" t="str">
        <f t="shared" si="29"/>
        <v>3C Aggregated and non-CO2 emissions on land</v>
      </c>
      <c r="B93" t="str">
        <f t="shared" si="31"/>
        <v>3C4 Direct N2O from managed soils (N2O)</v>
      </c>
      <c r="C93" t="str">
        <f t="shared" ref="C93:C106" si="35">C92</f>
        <v>MM emissions</v>
      </c>
      <c r="D93" t="str">
        <f>'Activity data'!D52</f>
        <v xml:space="preserve"> - Non-lactating</v>
      </c>
      <c r="E93" t="str">
        <f t="shared" si="32"/>
        <v>MM emissions - Non-lactating</v>
      </c>
      <c r="F93" t="str">
        <f t="shared" si="33"/>
        <v>N2O</v>
      </c>
      <c r="G93" t="str">
        <f t="shared" si="34"/>
        <v>Gg N2O</v>
      </c>
      <c r="H93" s="23">
        <f>'Activity data'!H52*ManureNEF*NtoN2O*kgtoGg</f>
        <v>4.8126809955822768E-2</v>
      </c>
      <c r="I93" s="23">
        <f>'Activity data'!I52*ManureNEF*NtoN2O*kgtoGg</f>
        <v>5.4703801917722318E-2</v>
      </c>
      <c r="J93" s="23">
        <f>'Activity data'!J52*ManureNEF*NtoN2O*kgtoGg</f>
        <v>4.73189311103272E-2</v>
      </c>
      <c r="K93" s="23">
        <f>'Activity data'!K52*ManureNEF*NtoN2O*kgtoGg</f>
        <v>4.9520758530788335E-2</v>
      </c>
      <c r="L93" s="23">
        <f>'Activity data'!L52*ManureNEF*NtoN2O*kgtoGg</f>
        <v>4.4087415728345042E-2</v>
      </c>
      <c r="M93" s="23">
        <f>'Activity data'!M52*ManureNEF*NtoN2O*kgtoGg</f>
        <v>4.7905000839797235E-2</v>
      </c>
      <c r="N93" s="23">
        <f>'Activity data'!N52*ManureNEF*NtoN2O*kgtoGg</f>
        <v>4.8712879685292768E-2</v>
      </c>
      <c r="O93" s="23">
        <f>'Activity data'!O52*ManureNEF*NtoN2O*kgtoGg</f>
        <v>4.7068631694817883E-2</v>
      </c>
      <c r="P93" s="23">
        <f>'Activity data'!P52*ManureNEF*NtoN2O*kgtoGg</f>
        <v>4.4644995158331258E-2</v>
      </c>
      <c r="Q93" s="23">
        <f>'Activity data'!Q52*ManureNEF*NtoN2O*kgtoGg</f>
        <v>4.7040141395334092E-2</v>
      </c>
      <c r="R93" s="23">
        <f>'Activity data'!R52*ManureNEF*NtoN2O*kgtoGg</f>
        <v>5.8299577913148978E-2</v>
      </c>
      <c r="S93" s="23">
        <f>'Activity data'!S52*ManureNEF*NtoN2O*kgtoGg</f>
        <v>5.7491699067653446E-2</v>
      </c>
      <c r="T93" s="23">
        <f>'Activity data'!T52*ManureNEF*NtoN2O*kgtoGg</f>
        <v>5.2780764212254298E-2</v>
      </c>
      <c r="U93" s="23">
        <f>'Activity data'!U52*ManureNEF*NtoN2O*kgtoGg</f>
        <v>4.4644995158331258E-2</v>
      </c>
      <c r="V93" s="23">
        <f>'Activity data'!V52*ManureNEF*NtoN2O*kgtoGg</f>
        <v>4.1663779191858388E-2</v>
      </c>
      <c r="W93" s="23">
        <f>'Activity data'!W52*ManureNEF*NtoN2O*kgtoGg</f>
        <v>4.5481364303310602E-2</v>
      </c>
      <c r="X93" s="23">
        <f>'Activity data'!X52*ManureNEF*NtoN2O*kgtoGg</f>
        <v>4.4923784873324366E-2</v>
      </c>
      <c r="Y93" s="23">
        <f>'Activity data'!Y52*ManureNEF*NtoN2O*kgtoGg</f>
        <v>4.5452874003826804E-2</v>
      </c>
      <c r="Z93" s="23">
        <f>'Activity data'!Z52*ManureNEF*NtoN2O*kgtoGg</f>
        <v>5.3173515125182619E-2</v>
      </c>
      <c r="AA93" s="23">
        <f>'Activity data'!AA52*ManureNEF*NtoN2O*kgtoGg</f>
        <v>5.5346852246159921E-2</v>
      </c>
      <c r="AB93" s="23">
        <f>'Activity data'!AB52*ManureNEF*NtoN2O*kgtoGg</f>
        <v>5.5346852246159921E-2</v>
      </c>
      <c r="AC93" s="23">
        <f>'Activity data'!AC52*ManureNEF*NtoN2O*kgtoGg</f>
        <v>5.2086846564693957E-2</v>
      </c>
      <c r="AD93" s="23">
        <f>'Activity data'!AD52*ManureNEF*NtoN2O*kgtoGg</f>
        <v>5.0971687704721477E-2</v>
      </c>
      <c r="AE93" s="23">
        <f>'Activity data'!AE52*ManureNEF*NtoN2O*kgtoGg</f>
        <v>5.7491699067653446E-2</v>
      </c>
      <c r="AF93" s="23">
        <f>'Activity data'!AF52*ManureNEF*NtoN2O*kgtoGg</f>
        <v>5.1529267134707693E-2</v>
      </c>
      <c r="AG93" s="23">
        <f>'Activity data'!AG52*ManureNEF*NtoN2O*kgtoGg</f>
        <v>5.0471088873702843E-2</v>
      </c>
      <c r="AH93" s="23">
        <f>'Activity data'!AH52*ManureNEF*NtoN2O*kgtoGg</f>
        <v>5.1586247733675296E-2</v>
      </c>
      <c r="AI93" s="23">
        <f>'Activity data'!AI52*ManureNEF*NtoN2O*kgtoGg</f>
        <v>5.6769291120609265E-2</v>
      </c>
      <c r="AJ93" s="23">
        <f>'Activity data'!AJ52*ManureNEF*NtoN2O*kgtoGg</f>
        <v>5.4101136187445754E-2</v>
      </c>
      <c r="AK93" s="23">
        <f>'Activity data'!AK52*ManureNEF*NtoN2O*kgtoGg</f>
        <v>5.4256497506182035E-2</v>
      </c>
      <c r="AL93" s="23">
        <f>'Activity data'!AL52*ManureNEF*NtoN2O*kgtoGg</f>
        <v>5.4169466825081926E-2</v>
      </c>
      <c r="AM93" s="23">
        <f>'Activity data'!AM52*ManureNEF*NtoN2O*kgtoGg</f>
        <v>5.4362732730822302E-2</v>
      </c>
      <c r="AN93" s="23">
        <f>'Activity data'!AN52*ManureNEF*NtoN2O*kgtoGg</f>
        <v>5.4553534659480679E-2</v>
      </c>
      <c r="AO93" s="23">
        <f>'Activity data'!AO52*ManureNEF*NtoN2O*kgtoGg</f>
        <v>5.4744889683029992E-2</v>
      </c>
      <c r="AP93" s="23">
        <f>'Activity data'!AP52*ManureNEF*NtoN2O*kgtoGg</f>
        <v>5.4934123567899007E-2</v>
      </c>
      <c r="AQ93" s="23">
        <f>'Activity data'!AQ52*ManureNEF*NtoN2O*kgtoGg</f>
        <v>5.512581775761629E-2</v>
      </c>
      <c r="AR93" s="23">
        <f>'Activity data'!AR52*ManureNEF*NtoN2O*kgtoGg</f>
        <v>5.5339740945184436E-2</v>
      </c>
      <c r="AS93" s="23">
        <f>'Activity data'!AS52*ManureNEF*NtoN2O*kgtoGg</f>
        <v>5.5553011793391928E-2</v>
      </c>
      <c r="AT93" s="23">
        <f>'Activity data'!AT52*ManureNEF*NtoN2O*kgtoGg</f>
        <v>5.5769612886765026E-2</v>
      </c>
      <c r="AU93" s="23">
        <f>'Activity data'!AU52*ManureNEF*NtoN2O*kgtoGg</f>
        <v>5.5988686805814945E-2</v>
      </c>
      <c r="AV93" s="23">
        <f>'Activity data'!AV52*ManureNEF*NtoN2O*kgtoGg</f>
        <v>5.6210459251674449E-2</v>
      </c>
      <c r="AW93" s="23">
        <f>'Activity data'!AW52*ManureNEF*NtoN2O*kgtoGg</f>
        <v>5.6443236633791326E-2</v>
      </c>
      <c r="AX93" s="23">
        <f>'Activity data'!AX52*ManureNEF*NtoN2O*kgtoGg</f>
        <v>5.6671577578530773E-2</v>
      </c>
      <c r="AY93" s="23">
        <f>'Activity data'!AY52*ManureNEF*NtoN2O*kgtoGg</f>
        <v>5.6909924891730142E-2</v>
      </c>
      <c r="AZ93" s="23">
        <f>'Activity data'!AZ52*ManureNEF*NtoN2O*kgtoGg</f>
        <v>5.7155267525216172E-2</v>
      </c>
      <c r="BA93" s="23">
        <f>'Activity data'!BA52*ManureNEF*NtoN2O*kgtoGg</f>
        <v>5.7407984098129174E-2</v>
      </c>
      <c r="BB93" s="23">
        <f>'Activity data'!BB52*ManureNEF*NtoN2O*kgtoGg</f>
        <v>5.7669506204808853E-2</v>
      </c>
      <c r="BC93" s="23">
        <f>'Activity data'!BC52*ManureNEF*NtoN2O*kgtoGg</f>
        <v>5.7936100325345428E-2</v>
      </c>
      <c r="BD93" s="23">
        <f>'Activity data'!BD52*ManureNEF*NtoN2O*kgtoGg</f>
        <v>5.8204578675978842E-2</v>
      </c>
      <c r="BE93" s="23">
        <f>'Activity data'!BE52*ManureNEF*NtoN2O*kgtoGg</f>
        <v>5.8478176876096986E-2</v>
      </c>
      <c r="BF93" s="23">
        <f>'Activity data'!BF52*ManureNEF*NtoN2O*kgtoGg</f>
        <v>5.8759759924673846E-2</v>
      </c>
      <c r="BG93" s="23">
        <f>'Activity data'!BG52*ManureNEF*NtoN2O*kgtoGg</f>
        <v>5.9067322097402786E-2</v>
      </c>
      <c r="BH93" s="23">
        <f>'Activity data'!BH52*ManureNEF*NtoN2O*kgtoGg</f>
        <v>5.9381013979023733E-2</v>
      </c>
      <c r="BI93" s="23">
        <f>'Activity data'!BI52*ManureNEF*NtoN2O*kgtoGg</f>
        <v>5.9700486147236151E-2</v>
      </c>
      <c r="BJ93" s="23">
        <f>'Activity data'!BJ52*ManureNEF*NtoN2O*kgtoGg</f>
        <v>6.0026601103730148E-2</v>
      </c>
      <c r="BK93" s="23">
        <f>'Activity data'!BK52*ManureNEF*NtoN2O*kgtoGg</f>
        <v>6.0362778451357908E-2</v>
      </c>
      <c r="BL93" s="23">
        <f>'Activity data'!BL52*ManureNEF*NtoN2O*kgtoGg</f>
        <v>6.0701719135706565E-2</v>
      </c>
      <c r="BM93" s="23">
        <f>'Activity data'!BM52*ManureNEF*NtoN2O*kgtoGg</f>
        <v>6.1049335895887798E-2</v>
      </c>
      <c r="BN93" s="23">
        <f>'Activity data'!BN52*ManureNEF*NtoN2O*kgtoGg</f>
        <v>6.1399128315725769E-2</v>
      </c>
      <c r="BO93" s="23">
        <f>'Activity data'!BO52*ManureNEF*NtoN2O*kgtoGg</f>
        <v>6.1758383137777109E-2</v>
      </c>
      <c r="BP93" s="23">
        <f>'Activity data'!BP52*ManureNEF*NtoN2O*kgtoGg</f>
        <v>6.2127889988876875E-2</v>
      </c>
    </row>
    <row r="94" spans="1:68" x14ac:dyDescent="0.25">
      <c r="A94" t="str">
        <f t="shared" si="29"/>
        <v>3C Aggregated and non-CO2 emissions on land</v>
      </c>
      <c r="B94" t="str">
        <f t="shared" si="31"/>
        <v>3C4 Direct N2O from managed soils (N2O)</v>
      </c>
      <c r="C94" t="str">
        <f t="shared" si="35"/>
        <v>MM emissions</v>
      </c>
      <c r="D94" t="str">
        <f>'Activity data'!D53</f>
        <v xml:space="preserve"> - Commercial cattle</v>
      </c>
      <c r="E94" t="str">
        <f t="shared" si="32"/>
        <v>MM emissions - Commercial cattle</v>
      </c>
      <c r="F94" t="str">
        <f t="shared" si="33"/>
        <v>N2O</v>
      </c>
      <c r="G94" t="str">
        <f t="shared" si="34"/>
        <v>Gg N2O</v>
      </c>
      <c r="H94" s="23">
        <f>'Activity data'!H53*ManureNEF*NtoN2O*kgtoGg</f>
        <v>0.45791661524455107</v>
      </c>
      <c r="I94" s="23">
        <f>'Activity data'!I53*ManureNEF*NtoN2O*kgtoGg</f>
        <v>0.43815199614411882</v>
      </c>
      <c r="J94" s="23">
        <f>'Activity data'!J53*ManureNEF*NtoN2O*kgtoGg</f>
        <v>0.43799279906939059</v>
      </c>
      <c r="K94" s="23">
        <f>'Activity data'!K53*ManureNEF*NtoN2O*kgtoGg</f>
        <v>0.40975782084523449</v>
      </c>
      <c r="L94" s="23">
        <f>'Activity data'!L53*ManureNEF*NtoN2O*kgtoGg</f>
        <v>0.42211070778300469</v>
      </c>
      <c r="M94" s="23">
        <f>'Activity data'!M53*ManureNEF*NtoN2O*kgtoGg</f>
        <v>0.43170820906450869</v>
      </c>
      <c r="N94" s="23">
        <f>'Activity data'!N53*ManureNEF*NtoN2O*kgtoGg</f>
        <v>0.44961687239500847</v>
      </c>
      <c r="O94" s="23">
        <f>'Activity data'!O53*ManureNEF*NtoN2O*kgtoGg</f>
        <v>0.46664894423808073</v>
      </c>
      <c r="P94" s="23">
        <f>'Activity data'!P53*ManureNEF*NtoN2O*kgtoGg</f>
        <v>0.47069066912685531</v>
      </c>
      <c r="Q94" s="23">
        <f>'Activity data'!Q53*ManureNEF*NtoN2O*kgtoGg</f>
        <v>0.46307406309165272</v>
      </c>
      <c r="R94" s="23">
        <f>'Activity data'!R53*ManureNEF*NtoN2O*kgtoGg</f>
        <v>0.43161685546888418</v>
      </c>
      <c r="S94" s="23">
        <f>'Activity data'!S53*ManureNEF*NtoN2O*kgtoGg</f>
        <v>0.43385972058499156</v>
      </c>
      <c r="T94" s="23">
        <f>'Activity data'!T53*ManureNEF*NtoN2O*kgtoGg</f>
        <v>0.40436124152723313</v>
      </c>
      <c r="U94" s="23">
        <f>'Activity data'!U53*ManureNEF*NtoN2O*kgtoGg</f>
        <v>0.41493810709124229</v>
      </c>
      <c r="V94" s="23">
        <f>'Activity data'!V53*ManureNEF*NtoN2O*kgtoGg</f>
        <v>0.41876353890802326</v>
      </c>
      <c r="W94" s="23">
        <f>'Activity data'!W53*ManureNEF*NtoN2O*kgtoGg</f>
        <v>0.42231558165554511</v>
      </c>
      <c r="X94" s="23">
        <f>'Activity data'!X53*ManureNEF*NtoN2O*kgtoGg</f>
        <v>0.41269524197513491</v>
      </c>
      <c r="Y94" s="23">
        <f>'Activity data'!Y53*ManureNEF*NtoN2O*kgtoGg</f>
        <v>0.42478615904309913</v>
      </c>
      <c r="Z94" s="23">
        <f>'Activity data'!Z53*ManureNEF*NtoN2O*kgtoGg</f>
        <v>0.41298221653315503</v>
      </c>
      <c r="AA94" s="23">
        <f>'Activity data'!AA53*ManureNEF*NtoN2O*kgtoGg</f>
        <v>0.40604796364174167</v>
      </c>
      <c r="AB94" s="23">
        <f>'Activity data'!AB53*ManureNEF*NtoN2O*kgtoGg</f>
        <v>0.40477150425581887</v>
      </c>
      <c r="AC94" s="23">
        <f>'Activity data'!AC53*ManureNEF*NtoN2O*kgtoGg</f>
        <v>0.40331805287602013</v>
      </c>
      <c r="AD94" s="23">
        <f>'Activity data'!AD53*ManureNEF*NtoN2O*kgtoGg</f>
        <v>0.47727997263243704</v>
      </c>
      <c r="AE94" s="23">
        <f>'Activity data'!AE53*ManureNEF*NtoN2O*kgtoGg</f>
        <v>0.39606559615514136</v>
      </c>
      <c r="AF94" s="23">
        <f>'Activity data'!AF53*ManureNEF*NtoN2O*kgtoGg</f>
        <v>0.40516898195913464</v>
      </c>
      <c r="AG94" s="23">
        <f>'Activity data'!AG53*ManureNEF*NtoN2O*kgtoGg</f>
        <v>0.39587408946313707</v>
      </c>
      <c r="AH94" s="23">
        <f>'Activity data'!AH53*ManureNEF*NtoN2O*kgtoGg</f>
        <v>0.37691176988192576</v>
      </c>
      <c r="AI94" s="23">
        <f>'Activity data'!AI53*ManureNEF*NtoN2O*kgtoGg</f>
        <v>0.35066514296959644</v>
      </c>
      <c r="AJ94" s="23">
        <f>'Activity data'!AJ53*ManureNEF*NtoN2O*kgtoGg</f>
        <v>0.39290410228051248</v>
      </c>
      <c r="AK94" s="23">
        <f>'Activity data'!AK53*ManureNEF*NtoN2O*kgtoGg</f>
        <v>0.39171094572586918</v>
      </c>
      <c r="AL94" s="23">
        <f>'Activity data'!AL53*ManureNEF*NtoN2O*kgtoGg</f>
        <v>0.39225073423864304</v>
      </c>
      <c r="AM94" s="23">
        <f>'Activity data'!AM53*ManureNEF*NtoN2O*kgtoGg</f>
        <v>0.39078546293181038</v>
      </c>
      <c r="AN94" s="23">
        <f>'Activity data'!AN53*ManureNEF*NtoN2O*kgtoGg</f>
        <v>0.38933780745927554</v>
      </c>
      <c r="AO94" s="23">
        <f>'Activity data'!AO53*ManureNEF*NtoN2O*kgtoGg</f>
        <v>0.38788619771818528</v>
      </c>
      <c r="AP94" s="23">
        <f>'Activity data'!AP53*ManureNEF*NtoN2O*kgtoGg</f>
        <v>0.38644975273837362</v>
      </c>
      <c r="AQ94" s="23">
        <f>'Activity data'!AQ53*ManureNEF*NtoN2O*kgtoGg</f>
        <v>0.38499571817834527</v>
      </c>
      <c r="AR94" s="23">
        <f>'Activity data'!AR53*ManureNEF*NtoN2O*kgtoGg</f>
        <v>0.3833757936345259</v>
      </c>
      <c r="AS94" s="23">
        <f>'Activity data'!AS53*ManureNEF*NtoN2O*kgtoGg</f>
        <v>0.38176053289263934</v>
      </c>
      <c r="AT94" s="23">
        <f>'Activity data'!AT53*ManureNEF*NtoN2O*kgtoGg</f>
        <v>0.38012146306490457</v>
      </c>
      <c r="AU94" s="23">
        <f>'Activity data'!AU53*ManureNEF*NtoN2O*kgtoGg</f>
        <v>0.37846471414271876</v>
      </c>
      <c r="AV94" s="23">
        <f>'Activity data'!AV53*ManureNEF*NtoN2O*kgtoGg</f>
        <v>0.37678867250985343</v>
      </c>
      <c r="AW94" s="23">
        <f>'Activity data'!AW53*ManureNEF*NtoN2O*kgtoGg</f>
        <v>0.37503702567123753</v>
      </c>
      <c r="AX94" s="23">
        <f>'Activity data'!AX53*ManureNEF*NtoN2O*kgtoGg</f>
        <v>0.37331709647449551</v>
      </c>
      <c r="AY94" s="23">
        <f>'Activity data'!AY53*ManureNEF*NtoN2O*kgtoGg</f>
        <v>0.37152562825315361</v>
      </c>
      <c r="AZ94" s="23">
        <f>'Activity data'!AZ53*ManureNEF*NtoN2O*kgtoGg</f>
        <v>0.3696841480453591</v>
      </c>
      <c r="BA94" s="23">
        <f>'Activity data'!BA53*ManureNEF*NtoN2O*kgtoGg</f>
        <v>0.36778994896909539</v>
      </c>
      <c r="BB94" s="23">
        <f>'Activity data'!BB53*ManureNEF*NtoN2O*kgtoGg</f>
        <v>0.36582935837827141</v>
      </c>
      <c r="BC94" s="23">
        <f>'Activity data'!BC53*ManureNEF*NtoN2O*kgtoGg</f>
        <v>0.36383250618887542</v>
      </c>
      <c r="BD94" s="23">
        <f>'Activity data'!BD53*ManureNEF*NtoN2O*kgtoGg</f>
        <v>0.3618221829819514</v>
      </c>
      <c r="BE94" s="23">
        <f>'Activity data'!BE53*ManureNEF*NtoN2O*kgtoGg</f>
        <v>0.35977525618130202</v>
      </c>
      <c r="BF94" s="23">
        <f>'Activity data'!BF53*ManureNEF*NtoN2O*kgtoGg</f>
        <v>0.35767124291014252</v>
      </c>
      <c r="BG94" s="23">
        <f>'Activity data'!BG53*ManureNEF*NtoN2O*kgtoGg</f>
        <v>0.35536863403450469</v>
      </c>
      <c r="BH94" s="23">
        <f>'Activity data'!BH53*ManureNEF*NtoN2O*kgtoGg</f>
        <v>0.35302220173060833</v>
      </c>
      <c r="BI94" s="23">
        <f>'Activity data'!BI53*ManureNEF*NtoN2O*kgtoGg</f>
        <v>0.35063444413743872</v>
      </c>
      <c r="BJ94" s="23">
        <f>'Activity data'!BJ53*ManureNEF*NtoN2O*kgtoGg</f>
        <v>0.3481991949307085</v>
      </c>
      <c r="BK94" s="23">
        <f>'Activity data'!BK53*ManureNEF*NtoN2O*kgtoGg</f>
        <v>0.34569200617525753</v>
      </c>
      <c r="BL94" s="23">
        <f>'Activity data'!BL53*ManureNEF*NtoN2O*kgtoGg</f>
        <v>0.34316872275758881</v>
      </c>
      <c r="BM94" s="23">
        <f>'Activity data'!BM53*ManureNEF*NtoN2O*kgtoGg</f>
        <v>0.34058341104348766</v>
      </c>
      <c r="BN94" s="23">
        <f>'Activity data'!BN53*ManureNEF*NtoN2O*kgtoGg</f>
        <v>0.33798254477706302</v>
      </c>
      <c r="BO94" s="23">
        <f>'Activity data'!BO53*ManureNEF*NtoN2O*kgtoGg</f>
        <v>0.33531402849381081</v>
      </c>
      <c r="BP94" s="23">
        <f>'Activity data'!BP53*ManureNEF*NtoN2O*kgtoGg</f>
        <v>0.33257221687415117</v>
      </c>
    </row>
    <row r="95" spans="1:68" x14ac:dyDescent="0.25">
      <c r="A95" t="str">
        <f t="shared" si="29"/>
        <v>3C Aggregated and non-CO2 emissions on land</v>
      </c>
      <c r="B95" t="str">
        <f t="shared" si="31"/>
        <v>3C4 Direct N2O from managed soils (N2O)</v>
      </c>
      <c r="C95" t="str">
        <f t="shared" si="35"/>
        <v>MM emissions</v>
      </c>
      <c r="D95" t="str">
        <f>'Activity data'!D54</f>
        <v xml:space="preserve"> - Subsistence cattle</v>
      </c>
      <c r="E95" t="str">
        <f t="shared" si="32"/>
        <v>MM emissions - Subsistence cattle</v>
      </c>
      <c r="F95" t="str">
        <f t="shared" si="33"/>
        <v>N2O</v>
      </c>
      <c r="G95" t="str">
        <f t="shared" si="34"/>
        <v>Gg N2O</v>
      </c>
      <c r="H95" s="23">
        <f>'Activity data'!H54*ManureNEF*NtoN2O*kgtoGg</f>
        <v>2.8664718401456799</v>
      </c>
      <c r="I95" s="23">
        <f>'Activity data'!I54*ManureNEF*NtoN2O*kgtoGg</f>
        <v>3.0881322284873498</v>
      </c>
      <c r="J95" s="23">
        <f>'Activity data'!J54*ManureNEF*NtoN2O*kgtoGg</f>
        <v>3.1183586450793963</v>
      </c>
      <c r="K95" s="23">
        <f>'Activity data'!K54*ManureNEF*NtoN2O*kgtoGg</f>
        <v>3.1183586450793954</v>
      </c>
      <c r="L95" s="23">
        <f>'Activity data'!L54*ManureNEF*NtoN2O*kgtoGg</f>
        <v>2.7405284376788228</v>
      </c>
      <c r="M95" s="23">
        <f>'Activity data'!M54*ManureNEF*NtoN2O*kgtoGg</f>
        <v>2.7052642849881026</v>
      </c>
      <c r="N95" s="23">
        <f>'Activity data'!N54*ManureNEF*NtoN2O*kgtoGg</f>
        <v>2.7707548542708689</v>
      </c>
      <c r="O95" s="23">
        <f>'Activity data'!O54*ManureNEF*NtoN2O*kgtoGg</f>
        <v>2.8513586318496573</v>
      </c>
      <c r="P95" s="23">
        <f>'Activity data'!P54*ManureNEF*NtoN2O*kgtoGg</f>
        <v>2.9773020343165162</v>
      </c>
      <c r="Q95" s="23">
        <f>'Activity data'!Q54*ManureNEF*NtoN2O*kgtoGg</f>
        <v>3.0830944923886752</v>
      </c>
      <c r="R95" s="23">
        <f>'Activity data'!R54*ManureNEF*NtoN2O*kgtoGg</f>
        <v>3.1687360060661396</v>
      </c>
      <c r="S95" s="23">
        <f>'Activity data'!S54*ManureNEF*NtoN2O*kgtoGg</f>
        <v>3.1032454367833733</v>
      </c>
      <c r="T95" s="23">
        <f>'Activity data'!T54*ManureNEF*NtoN2O*kgtoGg</f>
        <v>3.3500945056184142</v>
      </c>
      <c r="U95" s="23">
        <f>'Activity data'!U54*ManureNEF*NtoN2O*kgtoGg</f>
        <v>3.3450567695197408</v>
      </c>
      <c r="V95" s="23">
        <f>'Activity data'!V54*ManureNEF*NtoN2O*kgtoGg</f>
        <v>3.2745284641383003</v>
      </c>
      <c r="W95" s="23">
        <f>'Activity data'!W54*ManureNEF*NtoN2O*kgtoGg</f>
        <v>3.234226575348905</v>
      </c>
      <c r="X95" s="23">
        <f>'Activity data'!X54*ManureNEF*NtoN2O*kgtoGg</f>
        <v>3.3097926168290197</v>
      </c>
      <c r="Y95" s="23">
        <f>'Activity data'!Y54*ManureNEF*NtoN2O*kgtoGg</f>
        <v>3.4206228109998542</v>
      </c>
      <c r="Z95" s="23">
        <f>'Activity data'!Z54*ManureNEF*NtoN2O*kgtoGg</f>
        <v>3.4861133802826214</v>
      </c>
      <c r="AA95" s="23">
        <f>'Activity data'!AA54*ManureNEF*NtoN2O*kgtoGg</f>
        <v>3.4760379080852726</v>
      </c>
      <c r="AB95" s="23">
        <f>'Activity data'!AB54*ManureNEF*NtoN2O*kgtoGg</f>
        <v>3.4357360192958781</v>
      </c>
      <c r="AC95" s="23">
        <f>'Activity data'!AC54*ManureNEF*NtoN2O*kgtoGg</f>
        <v>3.4256605470985289</v>
      </c>
      <c r="AD95" s="23">
        <f>'Activity data'!AD54*ManureNEF*NtoN2O*kgtoGg</f>
        <v>2.9672265621191674</v>
      </c>
      <c r="AE95" s="23">
        <f>'Activity data'!AE54*ManureNEF*NtoN2O*kgtoGg</f>
        <v>3.5465662134667126</v>
      </c>
      <c r="AF95" s="23">
        <f>'Activity data'!AF54*ManureNEF*NtoN2O*kgtoGg</f>
        <v>3.4861133802826201</v>
      </c>
      <c r="AG95" s="23">
        <f>'Activity data'!AG54*ManureNEF*NtoN2O*kgtoGg</f>
        <v>3.4458114914932261</v>
      </c>
      <c r="AH95" s="23">
        <f>'Activity data'!AH54*ManureNEF*NtoN2O*kgtoGg</f>
        <v>3.4155850749011809</v>
      </c>
      <c r="AI95" s="23">
        <f>'Activity data'!AI54*ManureNEF*NtoN2O*kgtoGg</f>
        <v>3.3803209222104602</v>
      </c>
      <c r="AJ95" s="23">
        <f>'Activity data'!AJ54*ManureNEF*NtoN2O*kgtoGg</f>
        <v>3.5107237441035162</v>
      </c>
      <c r="AK95" s="23">
        <f>'Activity data'!AK54*ManureNEF*NtoN2O*kgtoGg</f>
        <v>3.8574810737090015</v>
      </c>
      <c r="AL95" s="23">
        <f>'Activity data'!AL54*ManureNEF*NtoN2O*kgtoGg</f>
        <v>3.8843800945718323</v>
      </c>
      <c r="AM95" s="23">
        <f>'Activity data'!AM54*ManureNEF*NtoN2O*kgtoGg</f>
        <v>3.9116451546585105</v>
      </c>
      <c r="AN95" s="23">
        <f>'Activity data'!AN54*ManureNEF*NtoN2O*kgtoGg</f>
        <v>3.9389102142419188</v>
      </c>
      <c r="AO95" s="23">
        <f>'Activity data'!AO54*ManureNEF*NtoN2O*kgtoGg</f>
        <v>3.9661752738253271</v>
      </c>
      <c r="AP95" s="23">
        <f>'Activity data'!AP54*ManureNEF*NtoN2O*kgtoGg</f>
        <v>3.9934403334087349</v>
      </c>
      <c r="AQ95" s="23">
        <f>'Activity data'!AQ54*ManureNEF*NtoN2O*kgtoGg</f>
        <v>4.0207053934954127</v>
      </c>
      <c r="AR95" s="23">
        <f>'Activity data'!AR54*ManureNEF*NtoN2O*kgtoGg</f>
        <v>4.0502441607739534</v>
      </c>
      <c r="AS95" s="23">
        <f>'Activity data'!AS54*ManureNEF*NtoN2O*kgtoGg</f>
        <v>4.0797829280524951</v>
      </c>
      <c r="AT95" s="23">
        <f>'Activity data'!AT54*ManureNEF*NtoN2O*kgtoGg</f>
        <v>4.1093216953310359</v>
      </c>
      <c r="AU95" s="23">
        <f>'Activity data'!AU54*ManureNEF*NtoN2O*kgtoGg</f>
        <v>4.1388604626095775</v>
      </c>
      <c r="AV95" s="23">
        <f>'Activity data'!AV54*ManureNEF*NtoN2O*kgtoGg</f>
        <v>4.1683992298881183</v>
      </c>
      <c r="AW95" s="23">
        <f>'Activity data'!AW54*ManureNEF*NtoN2O*kgtoGg</f>
        <v>4.1969351519980123</v>
      </c>
      <c r="AX95" s="23">
        <f>'Activity data'!AX54*ManureNEF*NtoN2O*kgtoGg</f>
        <v>4.2254710736046359</v>
      </c>
      <c r="AY95" s="23">
        <f>'Activity data'!AY54*ManureNEF*NtoN2O*kgtoGg</f>
        <v>4.2540069957145299</v>
      </c>
      <c r="AZ95" s="23">
        <f>'Activity data'!AZ54*ManureNEF*NtoN2O*kgtoGg</f>
        <v>4.2825429173211544</v>
      </c>
      <c r="BA95" s="23">
        <f>'Activity data'!BA54*ManureNEF*NtoN2O*kgtoGg</f>
        <v>4.3110788389277781</v>
      </c>
      <c r="BB95" s="23">
        <f>'Activity data'!BB54*ManureNEF*NtoN2O*kgtoGg</f>
        <v>4.3407366416010698</v>
      </c>
      <c r="BC95" s="23">
        <f>'Activity data'!BC54*ManureNEF*NtoN2O*kgtoGg</f>
        <v>4.3703944442743632</v>
      </c>
      <c r="BD95" s="23">
        <f>'Activity data'!BD54*ManureNEF*NtoN2O*kgtoGg</f>
        <v>4.4000522464443845</v>
      </c>
      <c r="BE95" s="23">
        <f>'Activity data'!BE54*ManureNEF*NtoN2O*kgtoGg</f>
        <v>4.4297100491176762</v>
      </c>
      <c r="BF95" s="23">
        <f>'Activity data'!BF54*ManureNEF*NtoN2O*kgtoGg</f>
        <v>4.4593678517909687</v>
      </c>
      <c r="BG95" s="23">
        <f>'Activity data'!BG54*ManureNEF*NtoN2O*kgtoGg</f>
        <v>4.4932230743697898</v>
      </c>
      <c r="BH95" s="23">
        <f>'Activity data'!BH54*ManureNEF*NtoN2O*kgtoGg</f>
        <v>4.5270782964453407</v>
      </c>
      <c r="BI95" s="23">
        <f>'Activity data'!BI54*ManureNEF*NtoN2O*kgtoGg</f>
        <v>4.5609335190241636</v>
      </c>
      <c r="BJ95" s="23">
        <f>'Activity data'!BJ54*ManureNEF*NtoN2O*kgtoGg</f>
        <v>4.5947887416029838</v>
      </c>
      <c r="BK95" s="23">
        <f>'Activity data'!BK54*ManureNEF*NtoN2O*kgtoGg</f>
        <v>4.6286439641818049</v>
      </c>
      <c r="BL95" s="23">
        <f>'Activity data'!BL54*ManureNEF*NtoN2O*kgtoGg</f>
        <v>4.6613042953322754</v>
      </c>
      <c r="BM95" s="23">
        <f>'Activity data'!BM54*ManureNEF*NtoN2O*kgtoGg</f>
        <v>4.6939646264827406</v>
      </c>
      <c r="BN95" s="23">
        <f>'Activity data'!BN54*ManureNEF*NtoN2O*kgtoGg</f>
        <v>4.7266249581364796</v>
      </c>
      <c r="BO95" s="23">
        <f>'Activity data'!BO54*ManureNEF*NtoN2O*kgtoGg</f>
        <v>4.7592852892869475</v>
      </c>
      <c r="BP95" s="23">
        <f>'Activity data'!BP54*ManureNEF*NtoN2O*kgtoGg</f>
        <v>4.7919456204374153</v>
      </c>
    </row>
    <row r="96" spans="1:68" x14ac:dyDescent="0.25">
      <c r="A96" t="str">
        <f t="shared" si="29"/>
        <v>3C Aggregated and non-CO2 emissions on land</v>
      </c>
      <c r="B96" t="str">
        <f t="shared" si="31"/>
        <v>3C4 Direct N2O from managed soils (N2O)</v>
      </c>
      <c r="C96" t="str">
        <f t="shared" si="35"/>
        <v>MM emissions</v>
      </c>
      <c r="D96" t="str">
        <f>'Activity data'!D55</f>
        <v xml:space="preserve"> - Feedlot</v>
      </c>
      <c r="E96" t="str">
        <f t="shared" si="32"/>
        <v>MM emissions - Feedlot</v>
      </c>
      <c r="F96" t="str">
        <f t="shared" si="33"/>
        <v>N2O</v>
      </c>
      <c r="G96" t="str">
        <f t="shared" si="34"/>
        <v>Gg N2O</v>
      </c>
      <c r="H96" s="23">
        <f>'Activity data'!H55*ManureNEF*NtoN2O*kgtoGg</f>
        <v>0.26650892267999993</v>
      </c>
      <c r="I96" s="23">
        <f>'Activity data'!I55*ManureNEF*NtoN2O*kgtoGg</f>
        <v>0.26650892267999993</v>
      </c>
      <c r="J96" s="23">
        <f>'Activity data'!J55*ManureNEF*NtoN2O*kgtoGg</f>
        <v>0.26650892267999993</v>
      </c>
      <c r="K96" s="23">
        <f>'Activity data'!K55*ManureNEF*NtoN2O*kgtoGg</f>
        <v>0.26650892267999993</v>
      </c>
      <c r="L96" s="23">
        <f>'Activity data'!L55*ManureNEF*NtoN2O*kgtoGg</f>
        <v>0.26650892267999993</v>
      </c>
      <c r="M96" s="23">
        <f>'Activity data'!M55*ManureNEF*NtoN2O*kgtoGg</f>
        <v>0.26650892267999993</v>
      </c>
      <c r="N96" s="23">
        <f>'Activity data'!N55*ManureNEF*NtoN2O*kgtoGg</f>
        <v>0.26650892267999993</v>
      </c>
      <c r="O96" s="23">
        <f>'Activity data'!O55*ManureNEF*NtoN2O*kgtoGg</f>
        <v>0.26650892267999993</v>
      </c>
      <c r="P96" s="23">
        <f>'Activity data'!P55*ManureNEF*NtoN2O*kgtoGg</f>
        <v>0.26650892267999993</v>
      </c>
      <c r="Q96" s="23">
        <f>'Activity data'!Q55*ManureNEF*NtoN2O*kgtoGg</f>
        <v>0.26650892267999993</v>
      </c>
      <c r="R96" s="23">
        <f>'Activity data'!R55*ManureNEF*NtoN2O*kgtoGg</f>
        <v>0.26650892267999993</v>
      </c>
      <c r="S96" s="23">
        <f>'Activity data'!S55*ManureNEF*NtoN2O*kgtoGg</f>
        <v>0.26650892267999993</v>
      </c>
      <c r="T96" s="23">
        <f>'Activity data'!T55*ManureNEF*NtoN2O*kgtoGg</f>
        <v>0.26650892267999993</v>
      </c>
      <c r="U96" s="23">
        <f>'Activity data'!U55*ManureNEF*NtoN2O*kgtoGg</f>
        <v>0.26650892267999993</v>
      </c>
      <c r="V96" s="23">
        <f>'Activity data'!V55*ManureNEF*NtoN2O*kgtoGg</f>
        <v>0.26650892267999993</v>
      </c>
      <c r="W96" s="23">
        <f>'Activity data'!W55*ManureNEF*NtoN2O*kgtoGg</f>
        <v>0.26650892267999993</v>
      </c>
      <c r="X96" s="23">
        <f>'Activity data'!X55*ManureNEF*NtoN2O*kgtoGg</f>
        <v>0.26650892267999993</v>
      </c>
      <c r="Y96" s="23">
        <f>'Activity data'!Y55*ManureNEF*NtoN2O*kgtoGg</f>
        <v>0.26650892267999993</v>
      </c>
      <c r="Z96" s="23">
        <f>'Activity data'!Z55*ManureNEF*NtoN2O*kgtoGg</f>
        <v>0.24820087014572845</v>
      </c>
      <c r="AA96" s="23">
        <f>'Activity data'!AA55*ManureNEF*NtoN2O*kgtoGg</f>
        <v>0.25433797839299843</v>
      </c>
      <c r="AB96" s="23">
        <f>'Activity data'!AB55*ManureNEF*NtoN2O*kgtoGg</f>
        <v>0.25370528409540599</v>
      </c>
      <c r="AC96" s="23">
        <f>'Activity data'!AC55*ManureNEF*NtoN2O*kgtoGg</f>
        <v>0.29303301169470902</v>
      </c>
      <c r="AD96" s="23">
        <f>'Activity data'!AD55*ManureNEF*NtoN2O*kgtoGg</f>
        <v>0.307293459965778</v>
      </c>
      <c r="AE96" s="23">
        <f>'Activity data'!AE55*ManureNEF*NtoN2O*kgtoGg</f>
        <v>0.318953436848046</v>
      </c>
      <c r="AF96" s="23">
        <f>'Activity data'!AF55*ManureNEF*NtoN2O*kgtoGg</f>
        <v>0.33061383676035</v>
      </c>
      <c r="AG96" s="23">
        <f>'Activity data'!AG55*ManureNEF*NtoN2O*kgtoGg</f>
        <v>0.3422736021276</v>
      </c>
      <c r="AH96" s="23">
        <f>'Activity data'!AH55*ManureNEF*NtoN2O*kgtoGg</f>
        <v>0.36050788879934392</v>
      </c>
      <c r="AI96" s="23">
        <f>'Activity data'!AI55*ManureNEF*NtoN2O*kgtoGg</f>
        <v>0.37538733577058997</v>
      </c>
      <c r="AJ96" s="23">
        <f>'Activity data'!AJ55*ManureNEF*NtoN2O*kgtoGg</f>
        <v>0.3346807685008743</v>
      </c>
      <c r="AK96" s="23">
        <f>'Activity data'!AK55*ManureNEF*NtoN2O*kgtoGg</f>
        <v>0.3385110534594078</v>
      </c>
      <c r="AL96" s="23">
        <f>'Activity data'!AL55*ManureNEF*NtoN2O*kgtoGg</f>
        <v>0.33677821813849307</v>
      </c>
      <c r="AM96" s="23">
        <f>'Activity data'!AM55*ManureNEF*NtoN2O*kgtoGg</f>
        <v>0.34148204901876683</v>
      </c>
      <c r="AN96" s="23">
        <f>'Activity data'!AN55*ManureNEF*NtoN2O*kgtoGg</f>
        <v>0.3461293293442283</v>
      </c>
      <c r="AO96" s="23">
        <f>'Activity data'!AO55*ManureNEF*NtoN2O*kgtoGg</f>
        <v>0.3507893037082977</v>
      </c>
      <c r="AP96" s="23">
        <f>'Activity data'!AP55*ManureNEF*NtoN2O*kgtoGg</f>
        <v>0.3554005959804834</v>
      </c>
      <c r="AQ96" s="23">
        <f>'Activity data'!AQ55*ManureNEF*NtoN2O*kgtoGg</f>
        <v>0.36006835452632635</v>
      </c>
      <c r="AR96" s="23">
        <f>'Activity data'!AR55*ManureNEF*NtoN2O*kgtoGg</f>
        <v>0.36526865501497918</v>
      </c>
      <c r="AS96" s="23">
        <f>'Activity data'!AS55*ManureNEF*NtoN2O*kgtoGg</f>
        <v>0.37045398371277777</v>
      </c>
      <c r="AT96" s="23">
        <f>'Activity data'!AT55*ManureNEF*NtoN2O*kgtoGg</f>
        <v>0.37571574461307788</v>
      </c>
      <c r="AU96" s="23">
        <f>'Activity data'!AU55*ManureNEF*NtoN2O*kgtoGg</f>
        <v>0.381034259146665</v>
      </c>
      <c r="AV96" s="23">
        <f>'Activity data'!AV55*ManureNEF*NtoN2O*kgtoGg</f>
        <v>0.38641470736300154</v>
      </c>
      <c r="AW96" s="23">
        <f>'Activity data'!AW55*ManureNEF*NtoN2O*kgtoGg</f>
        <v>0.39203786428444959</v>
      </c>
      <c r="AX96" s="23">
        <f>'Activity data'!AX55*ManureNEF*NtoN2O*kgtoGg</f>
        <v>0.39755920086545959</v>
      </c>
      <c r="AY96" s="23">
        <f>'Activity data'!AY55*ManureNEF*NtoN2O*kgtoGg</f>
        <v>0.40331019284986758</v>
      </c>
      <c r="AZ96" s="23">
        <f>'Activity data'!AZ55*ManureNEF*NtoN2O*kgtoGg</f>
        <v>0.40922173389106936</v>
      </c>
      <c r="BA96" s="23">
        <f>'Activity data'!BA55*ManureNEF*NtoN2O*kgtoGg</f>
        <v>0.41530251365299298</v>
      </c>
      <c r="BB96" s="23">
        <f>'Activity data'!BB55*ManureNEF*NtoN2O*kgtoGg</f>
        <v>0.42159642422210625</v>
      </c>
      <c r="BC96" s="23">
        <f>'Activity data'!BC55*ManureNEF*NtoN2O*kgtoGg</f>
        <v>0.42800674219395463</v>
      </c>
      <c r="BD96" s="23">
        <f>'Activity data'!BD55*ManureNEF*NtoN2O*kgtoGg</f>
        <v>0.43446030498192795</v>
      </c>
      <c r="BE96" s="23">
        <f>'Activity data'!BE55*ManureNEF*NtoN2O*kgtoGg</f>
        <v>0.44103137304942958</v>
      </c>
      <c r="BF96" s="23">
        <f>'Activity data'!BF55*ManureNEF*NtoN2O*kgtoGg</f>
        <v>0.44778570076419238</v>
      </c>
      <c r="BG96" s="23">
        <f>'Activity data'!BG55*ManureNEF*NtoN2O*kgtoGg</f>
        <v>0.4551775623832055</v>
      </c>
      <c r="BH96" s="23">
        <f>'Activity data'!BH55*ManureNEF*NtoN2O*kgtoGg</f>
        <v>0.46271010647798994</v>
      </c>
      <c r="BI96" s="23">
        <f>'Activity data'!BI55*ManureNEF*NtoN2O*kgtoGg</f>
        <v>0.4703753134939096</v>
      </c>
      <c r="BJ96" s="23">
        <f>'Activity data'!BJ55*ManureNEF*NtoN2O*kgtoGg</f>
        <v>0.478192978636443</v>
      </c>
      <c r="BK96" s="23">
        <f>'Activity data'!BK55*ManureNEF*NtoN2O*kgtoGg</f>
        <v>0.48624158494953479</v>
      </c>
      <c r="BL96" s="23">
        <f>'Activity data'!BL55*ManureNEF*NtoN2O*kgtoGg</f>
        <v>0.4943418585332508</v>
      </c>
      <c r="BM96" s="23">
        <f>'Activity data'!BM55*ManureNEF*NtoN2O*kgtoGg</f>
        <v>0.50264125607090493</v>
      </c>
      <c r="BN96" s="23">
        <f>'Activity data'!BN55*ManureNEF*NtoN2O*kgtoGg</f>
        <v>0.5109905870121596</v>
      </c>
      <c r="BO96" s="23">
        <f>'Activity data'!BO55*ManureNEF*NtoN2O*kgtoGg</f>
        <v>0.51955708881912399</v>
      </c>
      <c r="BP96" s="23">
        <f>'Activity data'!BP55*ManureNEF*NtoN2O*kgtoGg</f>
        <v>0.52835888416194454</v>
      </c>
    </row>
    <row r="97" spans="1:68" x14ac:dyDescent="0.25">
      <c r="A97" t="str">
        <f t="shared" si="29"/>
        <v>3C Aggregated and non-CO2 emissions on land</v>
      </c>
      <c r="B97" t="str">
        <f t="shared" si="31"/>
        <v>3C4 Direct N2O from managed soils (N2O)</v>
      </c>
      <c r="C97" t="str">
        <f t="shared" si="35"/>
        <v>MM emissions</v>
      </c>
      <c r="D97" t="str">
        <f>'Activity data'!D56</f>
        <v xml:space="preserve"> - Commercial sheep</v>
      </c>
      <c r="E97" t="str">
        <f t="shared" si="32"/>
        <v>MM emissions - Commercial sheep</v>
      </c>
      <c r="F97" t="str">
        <f t="shared" si="33"/>
        <v>N2O</v>
      </c>
      <c r="G97" t="str">
        <f t="shared" si="34"/>
        <v>Gg N2O</v>
      </c>
      <c r="H97" s="23">
        <f>'Activity data'!H56*ManureNEF*NtoN2O*kgtoGg</f>
        <v>9.1991860386242574E-2</v>
      </c>
      <c r="I97" s="23">
        <f>'Activity data'!I56*ManureNEF*NtoN2O*kgtoGg</f>
        <v>8.7855463982071155E-2</v>
      </c>
      <c r="J97" s="23">
        <f>'Activity data'!J56*ManureNEF*NtoN2O*kgtoGg</f>
        <v>8.4225377226778267E-2</v>
      </c>
      <c r="K97" s="23">
        <f>'Activity data'!K56*ManureNEF*NtoN2O*kgtoGg</f>
        <v>7.8769507192196109E-2</v>
      </c>
      <c r="L97" s="23">
        <f>'Activity data'!L56*ManureNEF*NtoN2O*kgtoGg</f>
        <v>7.9324913534299213E-2</v>
      </c>
      <c r="M97" s="23">
        <f>'Activity data'!M56*ManureNEF*NtoN2O*kgtoGg</f>
        <v>7.8189552503480655E-2</v>
      </c>
      <c r="N97" s="23">
        <f>'Activity data'!N56*ManureNEF*NtoN2O*kgtoGg</f>
        <v>7.8450378686236291E-2</v>
      </c>
      <c r="O97" s="23">
        <f>'Activity data'!O56*ManureNEF*NtoN2O*kgtoGg</f>
        <v>7.6744268596681903E-2</v>
      </c>
      <c r="P97" s="23">
        <f>'Activity data'!P56*ManureNEF*NtoN2O*kgtoGg</f>
        <v>7.6955998086212937E-2</v>
      </c>
      <c r="Q97" s="23">
        <f>'Activity data'!Q56*ManureNEF*NtoN2O*kgtoGg</f>
        <v>7.5065775397066339E-2</v>
      </c>
      <c r="R97" s="23">
        <f>'Activity data'!R56*ManureNEF*NtoN2O*kgtoGg</f>
        <v>7.2374662899693701E-2</v>
      </c>
      <c r="S97" s="23">
        <f>'Activity data'!S56*ManureNEF*NtoN2O*kgtoGg</f>
        <v>7.0570359423690138E-2</v>
      </c>
      <c r="T97" s="23">
        <f>'Activity data'!T56*ManureNEF*NtoN2O*kgtoGg</f>
        <v>6.9392038786300056E-2</v>
      </c>
      <c r="U97" s="23">
        <f>'Activity data'!U56*ManureNEF*NtoN2O*kgtoGg</f>
        <v>6.9634453709096461E-2</v>
      </c>
      <c r="V97" s="23">
        <f>'Activity data'!V56*ManureNEF*NtoN2O*kgtoGg</f>
        <v>6.8394762205175638E-2</v>
      </c>
      <c r="W97" s="23">
        <f>'Activity data'!W56*ManureNEF*NtoN2O*kgtoGg</f>
        <v>6.8232129408869205E-2</v>
      </c>
      <c r="X97" s="23">
        <f>'Activity data'!X56*ManureNEF*NtoN2O*kgtoGg</f>
        <v>6.7339183300847025E-2</v>
      </c>
      <c r="Y97" s="23">
        <f>'Activity data'!Y56*ManureNEF*NtoN2O*kgtoGg</f>
        <v>6.7274743890989752E-2</v>
      </c>
      <c r="Z97" s="23">
        <f>'Activity data'!Z56*ManureNEF*NtoN2O*kgtoGg</f>
        <v>6.7492610467173877E-2</v>
      </c>
      <c r="AA97" s="23">
        <f>'Activity data'!AA56*ManureNEF*NtoN2O*kgtoGg</f>
        <v>6.7253264087704004E-2</v>
      </c>
      <c r="AB97" s="23">
        <f>'Activity data'!AB56*ManureNEF*NtoN2O*kgtoGg</f>
        <v>6.5952201717252468E-2</v>
      </c>
      <c r="AC97" s="23">
        <f>'Activity data'!AC56*ManureNEF*NtoN2O*kgtoGg</f>
        <v>6.5436686438394301E-2</v>
      </c>
      <c r="AD97" s="23">
        <f>'Activity data'!AD56*ManureNEF*NtoN2O*kgtoGg</f>
        <v>6.5749677857701055E-2</v>
      </c>
      <c r="AE97" s="23">
        <f>'Activity data'!AE56*ManureNEF*NtoN2O*kgtoGg</f>
        <v>6.6246781876599964E-2</v>
      </c>
      <c r="AF97" s="23">
        <f>'Activity data'!AF56*ManureNEF*NtoN2O*kgtoGg</f>
        <v>6.5059255609230288E-2</v>
      </c>
      <c r="AG97" s="23">
        <f>'Activity data'!AG56*ManureNEF*NtoN2O*kgtoGg</f>
        <v>6.4540671787045589E-2</v>
      </c>
      <c r="AH97" s="23">
        <f>'Activity data'!AH56*ManureNEF*NtoN2O*kgtoGg</f>
        <v>6.2714888507756292E-2</v>
      </c>
      <c r="AI97" s="23">
        <f>'Activity data'!AI56*ManureNEF*NtoN2O*kgtoGg</f>
        <v>6.1192891017794099E-2</v>
      </c>
      <c r="AJ97" s="23">
        <f>'Activity data'!AJ56*ManureNEF*NtoN2O*kgtoGg</f>
        <v>6.5077001139693308E-2</v>
      </c>
      <c r="AK97" s="23">
        <f>'Activity data'!AK56*ManureNEF*NtoN2O*kgtoGg</f>
        <v>6.4873585194808542E-2</v>
      </c>
      <c r="AL97" s="23">
        <f>'Activity data'!AL56*ManureNEF*NtoN2O*kgtoGg</f>
        <v>6.4198003484994326E-2</v>
      </c>
      <c r="AM97" s="23">
        <f>'Activity data'!AM56*ManureNEF*NtoN2O*kgtoGg</f>
        <v>6.40615372186778E-2</v>
      </c>
      <c r="AN97" s="23">
        <f>'Activity data'!AN56*ManureNEF*NtoN2O*kgtoGg</f>
        <v>6.3920271275270002E-2</v>
      </c>
      <c r="AO97" s="23">
        <f>'Activity data'!AO56*ManureNEF*NtoN2O*kgtoGg</f>
        <v>6.3780082729104848E-2</v>
      </c>
      <c r="AP97" s="23">
        <f>'Activity data'!AP56*ManureNEF*NtoN2O*kgtoGg</f>
        <v>6.3635762325996437E-2</v>
      </c>
      <c r="AQ97" s="23">
        <f>'Activity data'!AQ56*ManureNEF*NtoN2O*kgtoGg</f>
        <v>6.3496234446677888E-2</v>
      </c>
      <c r="AR97" s="23">
        <f>'Activity data'!AR56*ManureNEF*NtoN2O*kgtoGg</f>
        <v>6.3357232162277705E-2</v>
      </c>
      <c r="AS97" s="23">
        <f>'Activity data'!AS56*ManureNEF*NtoN2O*kgtoGg</f>
        <v>6.3216959158078928E-2</v>
      </c>
      <c r="AT97" s="23">
        <f>'Activity data'!AT56*ManureNEF*NtoN2O*kgtoGg</f>
        <v>6.3083173281166027E-2</v>
      </c>
      <c r="AU97" s="23">
        <f>'Activity data'!AU56*ManureNEF*NtoN2O*kgtoGg</f>
        <v>6.2954204327369534E-2</v>
      </c>
      <c r="AV97" s="23">
        <f>'Activity data'!AV56*ManureNEF*NtoN2O*kgtoGg</f>
        <v>6.2830491949598957E-2</v>
      </c>
      <c r="AW97" s="23">
        <f>'Activity data'!AW56*ManureNEF*NtoN2O*kgtoGg</f>
        <v>6.2747083071425361E-2</v>
      </c>
      <c r="AX97" s="23">
        <f>'Activity data'!AX56*ManureNEF*NtoN2O*kgtoGg</f>
        <v>6.2655032276215231E-2</v>
      </c>
      <c r="AY97" s="23">
        <f>'Activity data'!AY56*ManureNEF*NtoN2O*kgtoGg</f>
        <v>6.2582473305513558E-2</v>
      </c>
      <c r="AZ97" s="23">
        <f>'Activity data'!AZ56*ManureNEF*NtoN2O*kgtoGg</f>
        <v>6.2523540828472099E-2</v>
      </c>
      <c r="BA97" s="23">
        <f>'Activity data'!BA56*ManureNEF*NtoN2O*kgtoGg</f>
        <v>6.2478972364073078E-2</v>
      </c>
      <c r="BB97" s="23">
        <f>'Activity data'!BB56*ManureNEF*NtoN2O*kgtoGg</f>
        <v>6.2430450642933573E-2</v>
      </c>
      <c r="BC97" s="23">
        <f>'Activity data'!BC56*ManureNEF*NtoN2O*kgtoGg</f>
        <v>6.2391808914962481E-2</v>
      </c>
      <c r="BD97" s="23">
        <f>'Activity data'!BD56*ManureNEF*NtoN2O*kgtoGg</f>
        <v>6.2356837569019524E-2</v>
      </c>
      <c r="BE97" s="23">
        <f>'Activity data'!BE56*ManureNEF*NtoN2O*kgtoGg</f>
        <v>6.2331839387846637E-2</v>
      </c>
      <c r="BF97" s="23">
        <f>'Activity data'!BF56*ManureNEF*NtoN2O*kgtoGg</f>
        <v>6.2322395235201451E-2</v>
      </c>
      <c r="BG97" s="23">
        <f>'Activity data'!BG56*ManureNEF*NtoN2O*kgtoGg</f>
        <v>6.2284590927923711E-2</v>
      </c>
      <c r="BH97" s="23">
        <f>'Activity data'!BH56*ManureNEF*NtoN2O*kgtoGg</f>
        <v>6.2258726952772056E-2</v>
      </c>
      <c r="BI97" s="23">
        <f>'Activity data'!BI56*ManureNEF*NtoN2O*kgtoGg</f>
        <v>6.2244122636135747E-2</v>
      </c>
      <c r="BJ97" s="23">
        <f>'Activity data'!BJ56*ManureNEF*NtoN2O*kgtoGg</f>
        <v>6.2242458091490031E-2</v>
      </c>
      <c r="BK97" s="23">
        <f>'Activity data'!BK56*ManureNEF*NtoN2O*kgtoGg</f>
        <v>6.226039450978834E-2</v>
      </c>
      <c r="BL97" s="23">
        <f>'Activity data'!BL56*ManureNEF*NtoN2O*kgtoGg</f>
        <v>6.2306193226417089E-2</v>
      </c>
      <c r="BM97" s="23">
        <f>'Activity data'!BM56*ManureNEF*NtoN2O*kgtoGg</f>
        <v>6.2368892442999903E-2</v>
      </c>
      <c r="BN97" s="23">
        <f>'Activity data'!BN56*ManureNEF*NtoN2O*kgtoGg</f>
        <v>6.2435829710804518E-2</v>
      </c>
      <c r="BO97" s="23">
        <f>'Activity data'!BO56*ManureNEF*NtoN2O*kgtoGg</f>
        <v>6.2521199206888714E-2</v>
      </c>
      <c r="BP97" s="23">
        <f>'Activity data'!BP56*ManureNEF*NtoN2O*kgtoGg</f>
        <v>6.2626539069738266E-2</v>
      </c>
    </row>
    <row r="98" spans="1:68" x14ac:dyDescent="0.25">
      <c r="A98" t="str">
        <f t="shared" si="29"/>
        <v>3C Aggregated and non-CO2 emissions on land</v>
      </c>
      <c r="B98" t="str">
        <f t="shared" si="31"/>
        <v>3C4 Direct N2O from managed soils (N2O)</v>
      </c>
      <c r="C98" t="str">
        <f t="shared" si="35"/>
        <v>MM emissions</v>
      </c>
      <c r="D98" t="str">
        <f>'Activity data'!D57</f>
        <v xml:space="preserve"> - Subsistence sheep</v>
      </c>
      <c r="E98" t="str">
        <f t="shared" si="32"/>
        <v>MM emissions - Subsistence sheep</v>
      </c>
      <c r="F98" t="str">
        <f t="shared" si="33"/>
        <v>N2O</v>
      </c>
      <c r="G98" t="str">
        <f t="shared" si="34"/>
        <v>Gg N2O</v>
      </c>
      <c r="H98" s="23">
        <f>'Activity data'!H57*ManureNEF*NtoN2O*kgtoGg</f>
        <v>6.9925803620037946E-2</v>
      </c>
      <c r="I98" s="23">
        <f>'Activity data'!I57*ManureNEF*NtoN2O*kgtoGg</f>
        <v>6.6781603237109521E-2</v>
      </c>
      <c r="J98" s="23">
        <f>'Activity data'!J57*ManureNEF*NtoN2O*kgtoGg</f>
        <v>6.4022264177017271E-2</v>
      </c>
      <c r="K98" s="23">
        <f>'Activity data'!K57*ManureNEF*NtoN2O*kgtoGg</f>
        <v>5.9875091861849083E-2</v>
      </c>
      <c r="L98" s="23">
        <f>'Activity data'!L57*ManureNEF*NtoN2O*kgtoGg</f>
        <v>6.0297273070536055E-2</v>
      </c>
      <c r="M98" s="23">
        <f>'Activity data'!M57*ManureNEF*NtoN2O*kgtoGg</f>
        <v>5.9434250710236718E-2</v>
      </c>
      <c r="N98" s="23">
        <f>'Activity data'!N57*ManureNEF*NtoN2O*kgtoGg</f>
        <v>5.9632512603818993E-2</v>
      </c>
      <c r="O98" s="23">
        <f>'Activity data'!O57*ManureNEF*NtoN2O*kgtoGg</f>
        <v>5.8335646570504315E-2</v>
      </c>
      <c r="P98" s="23">
        <f>'Activity data'!P57*ManureNEF*NtoN2O*kgtoGg</f>
        <v>5.8496588578235996E-2</v>
      </c>
      <c r="Q98" s="23">
        <f>'Activity data'!Q57*ManureNEF*NtoN2O*kgtoGg</f>
        <v>5.7059772972980871E-2</v>
      </c>
      <c r="R98" s="23">
        <f>'Activity data'!R57*ManureNEF*NtoN2O*kgtoGg</f>
        <v>5.5014176729784849E-2</v>
      </c>
      <c r="S98" s="23">
        <f>'Activity data'!S57*ManureNEF*NtoN2O*kgtoGg</f>
        <v>5.3642670924768585E-2</v>
      </c>
      <c r="T98" s="23">
        <f>'Activity data'!T57*ManureNEF*NtoN2O*kgtoGg</f>
        <v>5.2746993664349803E-2</v>
      </c>
      <c r="U98" s="23">
        <f>'Activity data'!U57*ManureNEF*NtoN2O*kgtoGg</f>
        <v>5.2931260600738043E-2</v>
      </c>
      <c r="V98" s="23">
        <f>'Activity data'!V57*ManureNEF*NtoN2O*kgtoGg</f>
        <v>5.1988933483005775E-2</v>
      </c>
      <c r="W98" s="23">
        <f>'Activity data'!W57*ManureNEF*NtoN2O*kgtoGg</f>
        <v>5.1865311361125072E-2</v>
      </c>
      <c r="X98" s="23">
        <f>'Activity data'!X57*ManureNEF*NtoN2O*kgtoGg</f>
        <v>5.1186555937213961E-2</v>
      </c>
      <c r="Y98" s="23">
        <f>'Activity data'!Y57*ManureNEF*NtoN2O*kgtoGg</f>
        <v>5.1137573587034801E-2</v>
      </c>
      <c r="Z98" s="23">
        <f>'Activity data'!Z57*ManureNEF*NtoN2O*kgtoGg</f>
        <v>5.1303180580497661E-2</v>
      </c>
      <c r="AA98" s="23">
        <f>'Activity data'!AA57*ManureNEF*NtoN2O*kgtoGg</f>
        <v>5.1121246136975086E-2</v>
      </c>
      <c r="AB98" s="23">
        <f>'Activity data'!AB57*ManureNEF*NtoN2O*kgtoGg</f>
        <v>5.0132269161929359E-2</v>
      </c>
      <c r="AC98" s="23">
        <f>'Activity data'!AC57*ManureNEF*NtoN2O*kgtoGg</f>
        <v>4.9740410360496132E-2</v>
      </c>
      <c r="AD98" s="23">
        <f>'Activity data'!AD57*ManureNEF*NtoN2O*kgtoGg</f>
        <v>4.9978324632794877E-2</v>
      </c>
      <c r="AE98" s="23">
        <f>'Activity data'!AE57*ManureNEF*NtoN2O*kgtoGg</f>
        <v>5.0356188477034054E-2</v>
      </c>
      <c r="AF98" s="23">
        <f>'Activity data'!AF57*ManureNEF*NtoN2O*kgtoGg</f>
        <v>4.9453513738018248E-2</v>
      </c>
      <c r="AG98" s="23">
        <f>'Activity data'!AG57*ManureNEF*NtoN2O*kgtoGg</f>
        <v>4.9059322443719355E-2</v>
      </c>
      <c r="AH98" s="23">
        <f>'Activity data'!AH57*ManureNEF*NtoN2O*kgtoGg</f>
        <v>4.7671489188643383E-2</v>
      </c>
      <c r="AI98" s="23">
        <f>'Activity data'!AI57*ManureNEF*NtoN2O*kgtoGg</f>
        <v>4.6514572727269124E-2</v>
      </c>
      <c r="AJ98" s="23">
        <f>'Activity data'!AJ57*ManureNEF*NtoN2O*kgtoGg</f>
        <v>4.9623037318422485E-2</v>
      </c>
      <c r="AK98" s="23">
        <f>'Activity data'!AK57*ManureNEF*NtoN2O*kgtoGg</f>
        <v>4.9467926959195732E-2</v>
      </c>
      <c r="AL98" s="23">
        <f>'Activity data'!AL57*ManureNEF*NtoN2O*kgtoGg</f>
        <v>4.8952776970557013E-2</v>
      </c>
      <c r="AM98" s="23">
        <f>'Activity data'!AM57*ManureNEF*NtoN2O*kgtoGg</f>
        <v>4.8848717617674495E-2</v>
      </c>
      <c r="AN98" s="23">
        <f>'Activity data'!AN57*ManureNEF*NtoN2O*kgtoGg</f>
        <v>4.8740998376486676E-2</v>
      </c>
      <c r="AO98" s="23">
        <f>'Activity data'!AO57*ManureNEF*NtoN2O*kgtoGg</f>
        <v>4.8634100680893175E-2</v>
      </c>
      <c r="AP98" s="23">
        <f>'Activity data'!AP57*ManureNEF*NtoN2O*kgtoGg</f>
        <v>4.8524052328574603E-2</v>
      </c>
      <c r="AQ98" s="23">
        <f>'Activity data'!AQ57*ManureNEF*NtoN2O*kgtoGg</f>
        <v>4.8417658409968506E-2</v>
      </c>
      <c r="AR98" s="23">
        <f>'Activity data'!AR57*ManureNEF*NtoN2O*kgtoGg</f>
        <v>4.83116652722188E-2</v>
      </c>
      <c r="AS98" s="23">
        <f>'Activity data'!AS57*ManureNEF*NtoN2O*kgtoGg</f>
        <v>4.8204703175007517E-2</v>
      </c>
      <c r="AT98" s="23">
        <f>'Activity data'!AT57*ManureNEF*NtoN2O*kgtoGg</f>
        <v>4.8102687694170039E-2</v>
      </c>
      <c r="AU98" s="23">
        <f>'Activity data'!AU57*ManureNEF*NtoN2O*kgtoGg</f>
        <v>4.8004345252215412E-2</v>
      </c>
      <c r="AV98" s="23">
        <f>'Activity data'!AV57*ManureNEF*NtoN2O*kgtoGg</f>
        <v>4.7910011096809542E-2</v>
      </c>
      <c r="AW98" s="23">
        <f>'Activity data'!AW57*ManureNEF*NtoN2O*kgtoGg</f>
        <v>4.7846409489455011E-2</v>
      </c>
      <c r="AX98" s="23">
        <f>'Activity data'!AX57*ManureNEF*NtoN2O*kgtoGg</f>
        <v>4.7776218178148332E-2</v>
      </c>
      <c r="AY98" s="23">
        <f>'Activity data'!AY57*ManureNEF*NtoN2O*kgtoGg</f>
        <v>4.7720889929337561E-2</v>
      </c>
      <c r="AZ98" s="23">
        <f>'Activity data'!AZ57*ManureNEF*NtoN2O*kgtoGg</f>
        <v>4.7675952263860039E-2</v>
      </c>
      <c r="BA98" s="23">
        <f>'Activity data'!BA57*ManureNEF*NtoN2O*kgtoGg</f>
        <v>4.7641967560610586E-2</v>
      </c>
      <c r="BB98" s="23">
        <f>'Activity data'!BB57*ManureNEF*NtoN2O*kgtoGg</f>
        <v>4.7604968388296372E-2</v>
      </c>
      <c r="BC98" s="23">
        <f>'Activity data'!BC57*ManureNEF*NtoN2O*kgtoGg</f>
        <v>4.7575502987685148E-2</v>
      </c>
      <c r="BD98" s="23">
        <f>'Activity data'!BD57*ManureNEF*NtoN2O*kgtoGg</f>
        <v>4.754883635624222E-2</v>
      </c>
      <c r="BE98" s="23">
        <f>'Activity data'!BE57*ManureNEF*NtoN2O*kgtoGg</f>
        <v>4.7529774542459942E-2</v>
      </c>
      <c r="BF98" s="23">
        <f>'Activity data'!BF57*ManureNEF*NtoN2O*kgtoGg</f>
        <v>4.7522573111371438E-2</v>
      </c>
      <c r="BG98" s="23">
        <f>'Activity data'!BG57*ManureNEF*NtoN2O*kgtoGg</f>
        <v>4.7493746267509768E-2</v>
      </c>
      <c r="BH98" s="23">
        <f>'Activity data'!BH57*ManureNEF*NtoN2O*kgtoGg</f>
        <v>4.7474024261552561E-2</v>
      </c>
      <c r="BI98" s="23">
        <f>'Activity data'!BI57*ManureNEF*NtoN2O*kgtoGg</f>
        <v>4.7462888060794066E-2</v>
      </c>
      <c r="BJ98" s="23">
        <f>'Activity data'!BJ57*ManureNEF*NtoN2O*kgtoGg</f>
        <v>4.7461618798848589E-2</v>
      </c>
      <c r="BK98" s="23">
        <f>'Activity data'!BK57*ManureNEF*NtoN2O*kgtoGg</f>
        <v>4.7475295820515032E-2</v>
      </c>
      <c r="BL98" s="23">
        <f>'Activity data'!BL57*ManureNEF*NtoN2O*kgtoGg</f>
        <v>4.7510218625570637E-2</v>
      </c>
      <c r="BM98" s="23">
        <f>'Activity data'!BM57*ManureNEF*NtoN2O*kgtoGg</f>
        <v>4.7558028535520956E-2</v>
      </c>
      <c r="BN98" s="23">
        <f>'Activity data'!BN57*ManureNEF*NtoN2O*kgtoGg</f>
        <v>4.7609070078310105E-2</v>
      </c>
      <c r="BO98" s="23">
        <f>'Activity data'!BO57*ManureNEF*NtoN2O*kgtoGg</f>
        <v>4.7674166711772777E-2</v>
      </c>
      <c r="BP98" s="23">
        <f>'Activity data'!BP57*ManureNEF*NtoN2O*kgtoGg</f>
        <v>4.7754491309614656E-2</v>
      </c>
    </row>
    <row r="99" spans="1:68" x14ac:dyDescent="0.25">
      <c r="A99" t="str">
        <f t="shared" si="29"/>
        <v>3C Aggregated and non-CO2 emissions on land</v>
      </c>
      <c r="B99" t="str">
        <f t="shared" si="31"/>
        <v>3C4 Direct N2O from managed soils (N2O)</v>
      </c>
      <c r="C99" t="str">
        <f t="shared" si="35"/>
        <v>MM emissions</v>
      </c>
      <c r="D99" t="str">
        <f>'Activity data'!D58</f>
        <v xml:space="preserve"> - Commercial goats</v>
      </c>
      <c r="E99" t="str">
        <f t="shared" si="32"/>
        <v>MM emissions - Commercial goats</v>
      </c>
      <c r="F99" t="str">
        <f t="shared" si="33"/>
        <v>N2O</v>
      </c>
      <c r="G99" t="str">
        <f t="shared" si="34"/>
        <v>Gg N2O</v>
      </c>
      <c r="H99" s="23">
        <f>'Activity data'!H58*ManureNEF*NtoN2O*kgtoGg</f>
        <v>9.6765143377954225E-3</v>
      </c>
      <c r="I99" s="23">
        <f>'Activity data'!I58*ManureNEF*NtoN2O*kgtoGg</f>
        <v>8.5567734933713682E-3</v>
      </c>
      <c r="J99" s="23">
        <f>'Activity data'!J58*ManureNEF*NtoN2O*kgtoGg</f>
        <v>7.9707409018970922E-3</v>
      </c>
      <c r="K99" s="23">
        <f>'Activity data'!K58*ManureNEF*NtoN2O*kgtoGg</f>
        <v>7.5312164582913869E-3</v>
      </c>
      <c r="L99" s="23">
        <f>'Activity data'!L58*ManureNEF*NtoN2O*kgtoGg</f>
        <v>8.152131942115318E-3</v>
      </c>
      <c r="M99" s="23">
        <f>'Activity data'!M58*ManureNEF*NtoN2O*kgtoGg</f>
        <v>8.2637571976342285E-3</v>
      </c>
      <c r="N99" s="23">
        <f>'Activity data'!N58*ManureNEF*NtoN2O*kgtoGg</f>
        <v>8.3928238993279686E-3</v>
      </c>
      <c r="O99" s="23">
        <f>'Activity data'!O58*ManureNEF*NtoN2O*kgtoGg</f>
        <v>8.350964428508377E-3</v>
      </c>
      <c r="P99" s="23">
        <f>'Activity data'!P58*ManureNEF*NtoN2O*kgtoGg</f>
        <v>8.232362594519536E-3</v>
      </c>
      <c r="Q99" s="23">
        <f>'Activity data'!Q58*ManureNEF*NtoN2O*kgtoGg</f>
        <v>8.1102724712957298E-3</v>
      </c>
      <c r="R99" s="23">
        <f>'Activity data'!R58*ManureNEF*NtoN2O*kgtoGg</f>
        <v>8.2149211483447063E-3</v>
      </c>
      <c r="S99" s="23">
        <f>'Activity data'!S58*ManureNEF*NtoN2O*kgtoGg</f>
        <v>8.4660779732622544E-3</v>
      </c>
      <c r="T99" s="23">
        <f>'Activity data'!T58*ManureNEF*NtoN2O*kgtoGg</f>
        <v>7.7300489446844476E-3</v>
      </c>
      <c r="U99" s="23">
        <f>'Activity data'!U58*ManureNEF*NtoN2O*kgtoGg</f>
        <v>7.5347047475263548E-3</v>
      </c>
      <c r="V99" s="23">
        <f>'Activity data'!V58*ManureNEF*NtoN2O*kgtoGg</f>
        <v>7.548657904466221E-3</v>
      </c>
      <c r="W99" s="23">
        <f>'Activity data'!W58*ManureNEF*NtoN2O*kgtoGg</f>
        <v>7.4509858058871732E-3</v>
      </c>
      <c r="X99" s="23">
        <f>'Activity data'!X58*ManureNEF*NtoN2O*kgtoGg</f>
        <v>7.6079588214606388E-3</v>
      </c>
      <c r="Y99" s="23">
        <f>'Activity data'!Y58*ManureNEF*NtoN2O*kgtoGg</f>
        <v>7.3812200211878561E-3</v>
      </c>
      <c r="Z99" s="23">
        <f>'Activity data'!Z58*ManureNEF*NtoN2O*kgtoGg</f>
        <v>7.3742434427179256E-3</v>
      </c>
      <c r="AA99" s="23">
        <f>'Activity data'!AA58*ManureNEF*NtoN2O*kgtoGg</f>
        <v>7.2451767410241855E-3</v>
      </c>
      <c r="AB99" s="23">
        <f>'Activity data'!AB58*ManureNEF*NtoN2O*kgtoGg</f>
        <v>7.1579695101500369E-3</v>
      </c>
      <c r="AC99" s="23">
        <f>'Activity data'!AC58*ManureNEF*NtoN2O*kgtoGg</f>
        <v>7.0916920146856851E-3</v>
      </c>
      <c r="AD99" s="23">
        <f>'Activity data'!AD58*ManureNEF*NtoN2O*kgtoGg</f>
        <v>7.0742505685108563E-3</v>
      </c>
      <c r="AE99" s="23">
        <f>'Activity data'!AE58*ManureNEF*NtoN2O*kgtoGg</f>
        <v>6.9940199161066408E-3</v>
      </c>
      <c r="AF99" s="23">
        <f>'Activity data'!AF58*ManureNEF*NtoN2O*kgtoGg</f>
        <v>6.931230709877256E-3</v>
      </c>
      <c r="AG99" s="23">
        <f>'Activity data'!AG58*ManureNEF*NtoN2O*kgtoGg</f>
        <v>6.8370469005331752E-3</v>
      </c>
      <c r="AH99" s="23">
        <f>'Activity data'!AH58*ManureNEF*NtoN2O*kgtoGg</f>
        <v>6.631237835670184E-3</v>
      </c>
      <c r="AI99" s="23">
        <f>'Activity data'!AI58*ManureNEF*NtoN2O*kgtoGg</f>
        <v>6.4289170600421632E-3</v>
      </c>
      <c r="AJ99" s="23">
        <f>'Activity data'!AJ58*ManureNEF*NtoN2O*kgtoGg</f>
        <v>7.3455338646292679E-3</v>
      </c>
      <c r="AK99" s="23">
        <f>'Activity data'!AK58*ManureNEF*NtoN2O*kgtoGg</f>
        <v>7.3243575622278677E-3</v>
      </c>
      <c r="AL99" s="23">
        <f>'Activity data'!AL58*ManureNEF*NtoN2O*kgtoGg</f>
        <v>7.3039002593752378E-3</v>
      </c>
      <c r="AM99" s="23">
        <f>'Activity data'!AM58*ManureNEF*NtoN2O*kgtoGg</f>
        <v>7.2823296278977856E-3</v>
      </c>
      <c r="AN99" s="23">
        <f>'Activity data'!AN58*ManureNEF*NtoN2O*kgtoGg</f>
        <v>7.2607663056234294E-3</v>
      </c>
      <c r="AO99" s="23">
        <f>'Activity data'!AO58*ManureNEF*NtoN2O*kgtoGg</f>
        <v>7.2392013427215888E-3</v>
      </c>
      <c r="AP99" s="23">
        <f>'Activity data'!AP58*ManureNEF*NtoN2O*kgtoGg</f>
        <v>7.2176426716848039E-3</v>
      </c>
      <c r="AQ99" s="23">
        <f>'Activity data'!AQ58*ManureNEF*NtoN2O*kgtoGg</f>
        <v>7.1960767023377496E-3</v>
      </c>
      <c r="AR99" s="23">
        <f>'Activity data'!AR58*ManureNEF*NtoN2O*kgtoGg</f>
        <v>7.1726937697017944E-3</v>
      </c>
      <c r="AS99" s="23">
        <f>'Activity data'!AS58*ManureNEF*NtoN2O*kgtoGg</f>
        <v>7.1493127720789812E-3</v>
      </c>
      <c r="AT99" s="23">
        <f>'Activity data'!AT58*ManureNEF*NtoN2O*kgtoGg</f>
        <v>7.1259218960576546E-3</v>
      </c>
      <c r="AU99" s="23">
        <f>'Activity data'!AU58*ManureNEF*NtoN2O*kgtoGg</f>
        <v>7.1025236849735062E-3</v>
      </c>
      <c r="AV99" s="23">
        <f>'Activity data'!AV58*ManureNEF*NtoN2O*kgtoGg</f>
        <v>7.079117469336569E-3</v>
      </c>
      <c r="AW99" s="23">
        <f>'Activity data'!AW58*ManureNEF*NtoN2O*kgtoGg</f>
        <v>7.0564509206826826E-3</v>
      </c>
      <c r="AX99" s="23">
        <f>'Activity data'!AX58*ManureNEF*NtoN2O*kgtoGg</f>
        <v>7.0337975320770669E-3</v>
      </c>
      <c r="AY99" s="23">
        <f>'Activity data'!AY58*ManureNEF*NtoN2O*kgtoGg</f>
        <v>7.011114461516775E-3</v>
      </c>
      <c r="AZ99" s="23">
        <f>'Activity data'!AZ58*ManureNEF*NtoN2O*kgtoGg</f>
        <v>6.9884106413517612E-3</v>
      </c>
      <c r="BA99" s="23">
        <f>'Activity data'!BA58*ManureNEF*NtoN2O*kgtoGg</f>
        <v>6.9656849481087397E-3</v>
      </c>
      <c r="BB99" s="23">
        <f>'Activity data'!BB58*ManureNEF*NtoN2O*kgtoGg</f>
        <v>6.9420691528659303E-3</v>
      </c>
      <c r="BC99" s="23">
        <f>'Activity data'!BC58*ManureNEF*NtoN2O*kgtoGg</f>
        <v>6.9184383126724772E-3</v>
      </c>
      <c r="BD99" s="23">
        <f>'Activity data'!BD58*ManureNEF*NtoN2O*kgtoGg</f>
        <v>6.894801883735811E-3</v>
      </c>
      <c r="BE99" s="23">
        <f>'Activity data'!BE58*ManureNEF*NtoN2O*kgtoGg</f>
        <v>6.8711502675676472E-3</v>
      </c>
      <c r="BF99" s="23">
        <f>'Activity data'!BF58*ManureNEF*NtoN2O*kgtoGg</f>
        <v>6.8474749662017732E-3</v>
      </c>
      <c r="BG99" s="23">
        <f>'Activity data'!BG58*ManureNEF*NtoN2O*kgtoGg</f>
        <v>6.8204900890920361E-3</v>
      </c>
      <c r="BH99" s="23">
        <f>'Activity data'!BH58*ManureNEF*NtoN2O*kgtoGg</f>
        <v>6.7934870300126616E-3</v>
      </c>
      <c r="BI99" s="23">
        <f>'Activity data'!BI58*ManureNEF*NtoN2O*kgtoGg</f>
        <v>6.7664668246685596E-3</v>
      </c>
      <c r="BJ99" s="23">
        <f>'Activity data'!BJ58*ManureNEF*NtoN2O*kgtoGg</f>
        <v>6.7394269150364422E-3</v>
      </c>
      <c r="BK99" s="23">
        <f>'Activity data'!BK58*ManureNEF*NtoN2O*kgtoGg</f>
        <v>6.7123571576589826E-3</v>
      </c>
      <c r="BL99" s="23">
        <f>'Activity data'!BL58*ManureNEF*NtoN2O*kgtoGg</f>
        <v>6.6861994126145548E-3</v>
      </c>
      <c r="BM99" s="23">
        <f>'Activity data'!BM58*ManureNEF*NtoN2O*kgtoGg</f>
        <v>6.6600159320070237E-3</v>
      </c>
      <c r="BN99" s="23">
        <f>'Activity data'!BN58*ManureNEF*NtoN2O*kgtoGg</f>
        <v>6.6338259974230438E-3</v>
      </c>
      <c r="BO99" s="23">
        <f>'Activity data'!BO58*ManureNEF*NtoN2O*kgtoGg</f>
        <v>6.607607995209026E-3</v>
      </c>
      <c r="BP99" s="23">
        <f>'Activity data'!BP58*ManureNEF*NtoN2O*kgtoGg</f>
        <v>6.5813595827328517E-3</v>
      </c>
    </row>
    <row r="100" spans="1:68" x14ac:dyDescent="0.25">
      <c r="A100" t="str">
        <f t="shared" si="29"/>
        <v>3C Aggregated and non-CO2 emissions on land</v>
      </c>
      <c r="B100" t="str">
        <f t="shared" si="31"/>
        <v>3C4 Direct N2O from managed soils (N2O)</v>
      </c>
      <c r="C100" t="str">
        <f t="shared" si="35"/>
        <v>MM emissions</v>
      </c>
      <c r="D100" t="str">
        <f>'Activity data'!D59</f>
        <v xml:space="preserve"> - Subsistence goats</v>
      </c>
      <c r="E100" t="str">
        <f t="shared" si="32"/>
        <v>MM emissions - Subsistence goats</v>
      </c>
      <c r="F100" t="str">
        <f t="shared" si="33"/>
        <v>N2O</v>
      </c>
      <c r="G100" t="str">
        <f t="shared" si="34"/>
        <v>Gg N2O</v>
      </c>
      <c r="H100" s="23">
        <f>'Activity data'!H59*ManureNEF*NtoN2O*kgtoGg</f>
        <v>0.11880557253341303</v>
      </c>
      <c r="I100" s="23">
        <f>'Activity data'!I59*ManureNEF*NtoN2O*kgtoGg</f>
        <v>0.10505770346952495</v>
      </c>
      <c r="J100" s="23">
        <f>'Activity data'!J59*ManureNEF*NtoN2O*kgtoGg</f>
        <v>9.7862557043564835E-2</v>
      </c>
      <c r="K100" s="23">
        <f>'Activity data'!K59*ManureNEF*NtoN2O*kgtoGg</f>
        <v>9.2466197224094729E-2</v>
      </c>
      <c r="L100" s="23">
        <f>'Activity data'!L59*ManureNEF*NtoN2O*kgtoGg</f>
        <v>0.10008962617540962</v>
      </c>
      <c r="M100" s="23">
        <f>'Activity data'!M59*ManureNEF*NtoN2O*kgtoGg</f>
        <v>0.10146013025654488</v>
      </c>
      <c r="N100" s="23">
        <f>'Activity data'!N59*ManureNEF*NtoN2O*kgtoGg</f>
        <v>0.10304477560035755</v>
      </c>
      <c r="O100" s="23">
        <f>'Activity data'!O59*ManureNEF*NtoN2O*kgtoGg</f>
        <v>0.10253083656993182</v>
      </c>
      <c r="P100" s="23">
        <f>'Activity data'!P59*ManureNEF*NtoN2O*kgtoGg</f>
        <v>0.1010746759837256</v>
      </c>
      <c r="Q100" s="23">
        <f>'Activity data'!Q59*ManureNEF*NtoN2O*kgtoGg</f>
        <v>9.9575687144983924E-2</v>
      </c>
      <c r="R100" s="23">
        <f>'Activity data'!R59*ManureNEF*NtoN2O*kgtoGg</f>
        <v>0.10086053472104822</v>
      </c>
      <c r="S100" s="23">
        <f>'Activity data'!S59*ManureNEF*NtoN2O*kgtoGg</f>
        <v>0.10394416890360253</v>
      </c>
      <c r="T100" s="23">
        <f>'Activity data'!T59*ManureNEF*NtoN2O*kgtoGg</f>
        <v>9.4907407618616907E-2</v>
      </c>
      <c r="U100" s="23">
        <f>'Activity data'!U59*ManureNEF*NtoN2O*kgtoGg</f>
        <v>9.2509025476630202E-2</v>
      </c>
      <c r="V100" s="23">
        <f>'Activity data'!V59*ManureNEF*NtoN2O*kgtoGg</f>
        <v>9.268033848677211E-2</v>
      </c>
      <c r="W100" s="23">
        <f>'Activity data'!W59*ManureNEF*NtoN2O*kgtoGg</f>
        <v>9.1481147415778757E-2</v>
      </c>
      <c r="X100" s="23">
        <f>'Activity data'!X59*ManureNEF*NtoN2O*kgtoGg</f>
        <v>9.3408418779875241E-2</v>
      </c>
      <c r="Y100" s="23">
        <f>'Activity data'!Y59*ManureNEF*NtoN2O*kgtoGg</f>
        <v>9.0624582365069234E-2</v>
      </c>
      <c r="Z100" s="23">
        <f>'Activity data'!Z59*ManureNEF*NtoN2O*kgtoGg</f>
        <v>9.0538925859998259E-2</v>
      </c>
      <c r="AA100" s="23">
        <f>'Activity data'!AA59*ManureNEF*NtoN2O*kgtoGg</f>
        <v>8.8954280516185633E-2</v>
      </c>
      <c r="AB100" s="23">
        <f>'Activity data'!AB59*ManureNEF*NtoN2O*kgtoGg</f>
        <v>8.7883574202798714E-2</v>
      </c>
      <c r="AC100" s="23">
        <f>'Activity data'!AC59*ManureNEF*NtoN2O*kgtoGg</f>
        <v>8.7069837404624637E-2</v>
      </c>
      <c r="AD100" s="23">
        <f>'Activity data'!AD59*ManureNEF*NtoN2O*kgtoGg</f>
        <v>8.6855696141947242E-2</v>
      </c>
      <c r="AE100" s="23">
        <f>'Activity data'!AE59*ManureNEF*NtoN2O*kgtoGg</f>
        <v>8.5870646333631284E-2</v>
      </c>
      <c r="AF100" s="23">
        <f>'Activity data'!AF59*ManureNEF*NtoN2O*kgtoGg</f>
        <v>8.5099737787992707E-2</v>
      </c>
      <c r="AG100" s="23">
        <f>'Activity data'!AG59*ManureNEF*NtoN2O*kgtoGg</f>
        <v>8.3943374969534815E-2</v>
      </c>
      <c r="AH100" s="23">
        <f>'Activity data'!AH59*ManureNEF*NtoN2O*kgtoGg</f>
        <v>8.141650806994169E-2</v>
      </c>
      <c r="AI100" s="23">
        <f>'Activity data'!AI59*ManureNEF*NtoN2O*kgtoGg</f>
        <v>7.8932469422884025E-2</v>
      </c>
      <c r="AJ100" s="23">
        <f>'Activity data'!AJ59*ManureNEF*NtoN2O*kgtoGg</f>
        <v>8.0337402783193859E-2</v>
      </c>
      <c r="AK100" s="23">
        <f>'Activity data'!AK59*ManureNEF*NtoN2O*kgtoGg</f>
        <v>7.9467744629045531E-2</v>
      </c>
      <c r="AL100" s="23">
        <f>'Activity data'!AL59*ManureNEF*NtoN2O*kgtoGg</f>
        <v>7.8598086474897147E-2</v>
      </c>
      <c r="AM100" s="23">
        <f>'Activity data'!AM59*ManureNEF*NtoN2O*kgtoGg</f>
        <v>7.77165940983294E-2</v>
      </c>
      <c r="AN100" s="23">
        <f>'Activity data'!AN59*ManureNEF*NtoN2O*kgtoGg</f>
        <v>7.6835101738032513E-2</v>
      </c>
      <c r="AO100" s="23">
        <f>'Activity data'!AO59*ManureNEF*NtoN2O*kgtoGg</f>
        <v>7.595360937773564E-2</v>
      </c>
      <c r="AP100" s="23">
        <f>'Activity data'!AP59*ManureNEF*NtoN2O*kgtoGg</f>
        <v>7.5072117017438794E-2</v>
      </c>
      <c r="AQ100" s="23">
        <f>'Activity data'!AQ59*ManureNEF*NtoN2O*kgtoGg</f>
        <v>7.4190624640870992E-2</v>
      </c>
      <c r="AR100" s="23">
        <f>'Activity data'!AR59*ManureNEF*NtoN2O*kgtoGg</f>
        <v>7.3235622228022212E-2</v>
      </c>
      <c r="AS100" s="23">
        <f>'Activity data'!AS59*ManureNEF*NtoN2O*kgtoGg</f>
        <v>7.2280619815173419E-2</v>
      </c>
      <c r="AT100" s="23">
        <f>'Activity data'!AT59*ManureNEF*NtoN2O*kgtoGg</f>
        <v>7.132561740232464E-2</v>
      </c>
      <c r="AU100" s="23">
        <f>'Activity data'!AU59*ManureNEF*NtoN2O*kgtoGg</f>
        <v>7.0370614989475833E-2</v>
      </c>
      <c r="AV100" s="23">
        <f>'Activity data'!AV59*ManureNEF*NtoN2O*kgtoGg</f>
        <v>6.9415612576627053E-2</v>
      </c>
      <c r="AW100" s="23">
        <f>'Activity data'!AW59*ManureNEF*NtoN2O*kgtoGg</f>
        <v>6.849303262564814E-2</v>
      </c>
      <c r="AX100" s="23">
        <f>'Activity data'!AX59*ManureNEF*NtoN2O*kgtoGg</f>
        <v>6.7570452690940197E-2</v>
      </c>
      <c r="AY100" s="23">
        <f>'Activity data'!AY59*ManureNEF*NtoN2O*kgtoGg</f>
        <v>6.6647872739961297E-2</v>
      </c>
      <c r="AZ100" s="23">
        <f>'Activity data'!AZ59*ManureNEF*NtoN2O*kgtoGg</f>
        <v>6.5725292805253341E-2</v>
      </c>
      <c r="BA100" s="23">
        <f>'Activity data'!BA59*ManureNEF*NtoN2O*kgtoGg</f>
        <v>6.4802712870545398E-2</v>
      </c>
      <c r="BB100" s="23">
        <f>'Activity data'!BB59*ManureNEF*NtoN2O*kgtoGg</f>
        <v>6.3843861986698128E-2</v>
      </c>
      <c r="BC100" s="23">
        <f>'Activity data'!BC59*ManureNEF*NtoN2O*kgtoGg</f>
        <v>6.2885011102850899E-2</v>
      </c>
      <c r="BD100" s="23">
        <f>'Activity data'!BD59*ManureNEF*NtoN2O*kgtoGg</f>
        <v>6.1926160235274599E-2</v>
      </c>
      <c r="BE100" s="23">
        <f>'Activity data'!BE59*ManureNEF*NtoN2O*kgtoGg</f>
        <v>6.0967309351427385E-2</v>
      </c>
      <c r="BF100" s="23">
        <f>'Activity data'!BF59*ManureNEF*NtoN2O*kgtoGg</f>
        <v>6.0008458467580135E-2</v>
      </c>
      <c r="BG100" s="23">
        <f>'Activity data'!BG59*ManureNEF*NtoN2O*kgtoGg</f>
        <v>5.8913902999322816E-2</v>
      </c>
      <c r="BH100" s="23">
        <f>'Activity data'!BH59*ManureNEF*NtoN2O*kgtoGg</f>
        <v>5.7819347547336447E-2</v>
      </c>
      <c r="BI100" s="23">
        <f>'Activity data'!BI59*ManureNEF*NtoN2O*kgtoGg</f>
        <v>5.6724792079079142E-2</v>
      </c>
      <c r="BJ100" s="23">
        <f>'Activity data'!BJ59*ManureNEF*NtoN2O*kgtoGg</f>
        <v>5.5630236610821837E-2</v>
      </c>
      <c r="BK100" s="23">
        <f>'Activity data'!BK59*ManureNEF*NtoN2O*kgtoGg</f>
        <v>5.4535681142564532E-2</v>
      </c>
      <c r="BL100" s="23">
        <f>'Activity data'!BL59*ManureNEF*NtoN2O*kgtoGg</f>
        <v>5.3479757083208228E-2</v>
      </c>
      <c r="BM100" s="23">
        <f>'Activity data'!BM59*ManureNEF*NtoN2O*kgtoGg</f>
        <v>5.2423833023851979E-2</v>
      </c>
      <c r="BN100" s="23">
        <f>'Activity data'!BN59*ManureNEF*NtoN2O*kgtoGg</f>
        <v>5.1367908948224746E-2</v>
      </c>
      <c r="BO100" s="23">
        <f>'Activity data'!BO59*ManureNEF*NtoN2O*kgtoGg</f>
        <v>5.031198488886849E-2</v>
      </c>
      <c r="BP100" s="23">
        <f>'Activity data'!BP59*ManureNEF*NtoN2O*kgtoGg</f>
        <v>4.9256060829512213E-2</v>
      </c>
    </row>
    <row r="101" spans="1:68" x14ac:dyDescent="0.25">
      <c r="A101" t="str">
        <f t="shared" si="29"/>
        <v>3C Aggregated and non-CO2 emissions on land</v>
      </c>
      <c r="B101" t="str">
        <f t="shared" si="31"/>
        <v>3C4 Direct N2O from managed soils (N2O)</v>
      </c>
      <c r="C101" t="str">
        <f t="shared" si="35"/>
        <v>MM emissions</v>
      </c>
      <c r="D101" t="str">
        <f>'Activity data'!D60</f>
        <v xml:space="preserve"> - Horses</v>
      </c>
      <c r="E101" t="str">
        <f t="shared" si="32"/>
        <v>MM emissions - Horses</v>
      </c>
      <c r="F101" t="str">
        <f t="shared" si="33"/>
        <v>N2O</v>
      </c>
      <c r="G101" t="str">
        <f t="shared" si="34"/>
        <v>Gg N2O</v>
      </c>
      <c r="H101" s="23">
        <f>'Activity data'!H60*ManureNEF*NtoN2O*kgtoGg</f>
        <v>0</v>
      </c>
      <c r="I101" s="23">
        <f>'Activity data'!I60*ManureNEF*NtoN2O*kgtoGg</f>
        <v>0</v>
      </c>
      <c r="J101" s="23">
        <f>'Activity data'!J60*ManureNEF*NtoN2O*kgtoGg</f>
        <v>0</v>
      </c>
      <c r="K101" s="23">
        <f>'Activity data'!K60*ManureNEF*NtoN2O*kgtoGg</f>
        <v>0</v>
      </c>
      <c r="L101" s="23">
        <f>'Activity data'!L60*ManureNEF*NtoN2O*kgtoGg</f>
        <v>0</v>
      </c>
      <c r="M101" s="23">
        <f>'Activity data'!M60*ManureNEF*NtoN2O*kgtoGg</f>
        <v>0</v>
      </c>
      <c r="N101" s="23">
        <f>'Activity data'!N60*ManureNEF*NtoN2O*kgtoGg</f>
        <v>0</v>
      </c>
      <c r="O101" s="23">
        <f>'Activity data'!O60*ManureNEF*NtoN2O*kgtoGg</f>
        <v>0</v>
      </c>
      <c r="P101" s="23">
        <f>'Activity data'!P60*ManureNEF*NtoN2O*kgtoGg</f>
        <v>0</v>
      </c>
      <c r="Q101" s="23">
        <f>'Activity data'!Q60*ManureNEF*NtoN2O*kgtoGg</f>
        <v>0</v>
      </c>
      <c r="R101" s="23">
        <f>'Activity data'!R60*ManureNEF*NtoN2O*kgtoGg</f>
        <v>0</v>
      </c>
      <c r="S101" s="23">
        <f>'Activity data'!S60*ManureNEF*NtoN2O*kgtoGg</f>
        <v>0</v>
      </c>
      <c r="T101" s="23">
        <f>'Activity data'!T60*ManureNEF*NtoN2O*kgtoGg</f>
        <v>0</v>
      </c>
      <c r="U101" s="23">
        <f>'Activity data'!U60*ManureNEF*NtoN2O*kgtoGg</f>
        <v>0</v>
      </c>
      <c r="V101" s="23">
        <f>'Activity data'!V60*ManureNEF*NtoN2O*kgtoGg</f>
        <v>0</v>
      </c>
      <c r="W101" s="23">
        <f>'Activity data'!W60*ManureNEF*NtoN2O*kgtoGg</f>
        <v>0</v>
      </c>
      <c r="X101" s="23">
        <f>'Activity data'!X60*ManureNEF*NtoN2O*kgtoGg</f>
        <v>0</v>
      </c>
      <c r="Y101" s="23">
        <f>'Activity data'!Y60*ManureNEF*NtoN2O*kgtoGg</f>
        <v>0</v>
      </c>
      <c r="Z101" s="23">
        <f>'Activity data'!Z60*ManureNEF*NtoN2O*kgtoGg</f>
        <v>0</v>
      </c>
      <c r="AA101" s="23">
        <f>'Activity data'!AA60*ManureNEF*NtoN2O*kgtoGg</f>
        <v>0</v>
      </c>
      <c r="AB101" s="23">
        <f>'Activity data'!AB60*ManureNEF*NtoN2O*kgtoGg</f>
        <v>0</v>
      </c>
      <c r="AC101" s="23">
        <f>'Activity data'!AC60*ManureNEF*NtoN2O*kgtoGg</f>
        <v>0</v>
      </c>
      <c r="AD101" s="23">
        <f>'Activity data'!AD60*ManureNEF*NtoN2O*kgtoGg</f>
        <v>0</v>
      </c>
      <c r="AE101" s="23">
        <f>'Activity data'!AE60*ManureNEF*NtoN2O*kgtoGg</f>
        <v>0</v>
      </c>
      <c r="AF101" s="23">
        <f>'Activity data'!AF60*ManureNEF*NtoN2O*kgtoGg</f>
        <v>0</v>
      </c>
      <c r="AG101" s="23">
        <f>'Activity data'!AG60*ManureNEF*NtoN2O*kgtoGg</f>
        <v>0</v>
      </c>
      <c r="AH101" s="23">
        <f>'Activity data'!AH60*ManureNEF*NtoN2O*kgtoGg</f>
        <v>0</v>
      </c>
      <c r="AI101" s="23">
        <f>'Activity data'!AI60*ManureNEF*NtoN2O*kgtoGg</f>
        <v>0</v>
      </c>
      <c r="AJ101" s="23">
        <f>'Activity data'!AJ60*ManureNEF*NtoN2O*kgtoGg</f>
        <v>0</v>
      </c>
      <c r="AK101" s="23">
        <f>'Activity data'!AK60*ManureNEF*NtoN2O*kgtoGg</f>
        <v>0</v>
      </c>
      <c r="AL101" s="23">
        <f>'Activity data'!AL60*ManureNEF*NtoN2O*kgtoGg</f>
        <v>0</v>
      </c>
      <c r="AM101" s="23">
        <f>'Activity data'!AM60*ManureNEF*NtoN2O*kgtoGg</f>
        <v>0</v>
      </c>
      <c r="AN101" s="23">
        <f>'Activity data'!AN60*ManureNEF*NtoN2O*kgtoGg</f>
        <v>0</v>
      </c>
      <c r="AO101" s="23">
        <f>'Activity data'!AO60*ManureNEF*NtoN2O*kgtoGg</f>
        <v>0</v>
      </c>
      <c r="AP101" s="23">
        <f>'Activity data'!AP60*ManureNEF*NtoN2O*kgtoGg</f>
        <v>0</v>
      </c>
      <c r="AQ101" s="23">
        <f>'Activity data'!AQ60*ManureNEF*NtoN2O*kgtoGg</f>
        <v>0</v>
      </c>
      <c r="AR101" s="23">
        <f>'Activity data'!AR60*ManureNEF*NtoN2O*kgtoGg</f>
        <v>0</v>
      </c>
      <c r="AS101" s="23">
        <f>'Activity data'!AS60*ManureNEF*NtoN2O*kgtoGg</f>
        <v>0</v>
      </c>
      <c r="AT101" s="23">
        <f>'Activity data'!AT60*ManureNEF*NtoN2O*kgtoGg</f>
        <v>0</v>
      </c>
      <c r="AU101" s="23">
        <f>'Activity data'!AU60*ManureNEF*NtoN2O*kgtoGg</f>
        <v>0</v>
      </c>
      <c r="AV101" s="23">
        <f>'Activity data'!AV60*ManureNEF*NtoN2O*kgtoGg</f>
        <v>0</v>
      </c>
      <c r="AW101" s="23">
        <f>'Activity data'!AW60*ManureNEF*NtoN2O*kgtoGg</f>
        <v>0</v>
      </c>
      <c r="AX101" s="23">
        <f>'Activity data'!AX60*ManureNEF*NtoN2O*kgtoGg</f>
        <v>0</v>
      </c>
      <c r="AY101" s="23">
        <f>'Activity data'!AY60*ManureNEF*NtoN2O*kgtoGg</f>
        <v>0</v>
      </c>
      <c r="AZ101" s="23">
        <f>'Activity data'!AZ60*ManureNEF*NtoN2O*kgtoGg</f>
        <v>0</v>
      </c>
      <c r="BA101" s="23">
        <f>'Activity data'!BA60*ManureNEF*NtoN2O*kgtoGg</f>
        <v>0</v>
      </c>
      <c r="BB101" s="23">
        <f>'Activity data'!BB60*ManureNEF*NtoN2O*kgtoGg</f>
        <v>0</v>
      </c>
      <c r="BC101" s="23">
        <f>'Activity data'!BC60*ManureNEF*NtoN2O*kgtoGg</f>
        <v>0</v>
      </c>
      <c r="BD101" s="23">
        <f>'Activity data'!BD60*ManureNEF*NtoN2O*kgtoGg</f>
        <v>0</v>
      </c>
      <c r="BE101" s="23">
        <f>'Activity data'!BE60*ManureNEF*NtoN2O*kgtoGg</f>
        <v>0</v>
      </c>
      <c r="BF101" s="23">
        <f>'Activity data'!BF60*ManureNEF*NtoN2O*kgtoGg</f>
        <v>0</v>
      </c>
      <c r="BG101" s="23">
        <f>'Activity data'!BG60*ManureNEF*NtoN2O*kgtoGg</f>
        <v>0</v>
      </c>
      <c r="BH101" s="23">
        <f>'Activity data'!BH60*ManureNEF*NtoN2O*kgtoGg</f>
        <v>0</v>
      </c>
      <c r="BI101" s="23">
        <f>'Activity data'!BI60*ManureNEF*NtoN2O*kgtoGg</f>
        <v>0</v>
      </c>
      <c r="BJ101" s="23">
        <f>'Activity data'!BJ60*ManureNEF*NtoN2O*kgtoGg</f>
        <v>0</v>
      </c>
      <c r="BK101" s="23">
        <f>'Activity data'!BK60*ManureNEF*NtoN2O*kgtoGg</f>
        <v>0</v>
      </c>
      <c r="BL101" s="23">
        <f>'Activity data'!BL60*ManureNEF*NtoN2O*kgtoGg</f>
        <v>0</v>
      </c>
      <c r="BM101" s="23">
        <f>'Activity data'!BM60*ManureNEF*NtoN2O*kgtoGg</f>
        <v>0</v>
      </c>
      <c r="BN101" s="23">
        <f>'Activity data'!BN60*ManureNEF*NtoN2O*kgtoGg</f>
        <v>0</v>
      </c>
      <c r="BO101" s="23">
        <f>'Activity data'!BO60*ManureNEF*NtoN2O*kgtoGg</f>
        <v>0</v>
      </c>
      <c r="BP101" s="23">
        <f>'Activity data'!BP60*ManureNEF*NtoN2O*kgtoGg</f>
        <v>0</v>
      </c>
    </row>
    <row r="102" spans="1:68" x14ac:dyDescent="0.25">
      <c r="A102" t="str">
        <f t="shared" si="29"/>
        <v>3C Aggregated and non-CO2 emissions on land</v>
      </c>
      <c r="B102" t="str">
        <f t="shared" si="31"/>
        <v>3C4 Direct N2O from managed soils (N2O)</v>
      </c>
      <c r="C102" t="str">
        <f t="shared" si="35"/>
        <v>MM emissions</v>
      </c>
      <c r="D102" t="str">
        <f>'Activity data'!D61</f>
        <v xml:space="preserve"> - Mules &amp; Asses</v>
      </c>
      <c r="E102" t="str">
        <f t="shared" si="32"/>
        <v>MM emissions - Mules &amp; Asses</v>
      </c>
      <c r="F102" t="str">
        <f t="shared" si="33"/>
        <v>N2O</v>
      </c>
      <c r="G102" t="str">
        <f t="shared" si="34"/>
        <v>Gg N2O</v>
      </c>
      <c r="H102" s="23">
        <f>'Activity data'!H61*ManureNEF*NtoN2O*kgtoGg</f>
        <v>0</v>
      </c>
      <c r="I102" s="23">
        <f>'Activity data'!I61*ManureNEF*NtoN2O*kgtoGg</f>
        <v>0</v>
      </c>
      <c r="J102" s="23">
        <f>'Activity data'!J61*ManureNEF*NtoN2O*kgtoGg</f>
        <v>0</v>
      </c>
      <c r="K102" s="23">
        <f>'Activity data'!K61*ManureNEF*NtoN2O*kgtoGg</f>
        <v>0</v>
      </c>
      <c r="L102" s="23">
        <f>'Activity data'!L61*ManureNEF*NtoN2O*kgtoGg</f>
        <v>0</v>
      </c>
      <c r="M102" s="23">
        <f>'Activity data'!M61*ManureNEF*NtoN2O*kgtoGg</f>
        <v>0</v>
      </c>
      <c r="N102" s="23">
        <f>'Activity data'!N61*ManureNEF*NtoN2O*kgtoGg</f>
        <v>0</v>
      </c>
      <c r="O102" s="23">
        <f>'Activity data'!O61*ManureNEF*NtoN2O*kgtoGg</f>
        <v>0</v>
      </c>
      <c r="P102" s="23">
        <f>'Activity data'!P61*ManureNEF*NtoN2O*kgtoGg</f>
        <v>0</v>
      </c>
      <c r="Q102" s="23">
        <f>'Activity data'!Q61*ManureNEF*NtoN2O*kgtoGg</f>
        <v>0</v>
      </c>
      <c r="R102" s="23">
        <f>'Activity data'!R61*ManureNEF*NtoN2O*kgtoGg</f>
        <v>0</v>
      </c>
      <c r="S102" s="23">
        <f>'Activity data'!S61*ManureNEF*NtoN2O*kgtoGg</f>
        <v>0</v>
      </c>
      <c r="T102" s="23">
        <f>'Activity data'!T61*ManureNEF*NtoN2O*kgtoGg</f>
        <v>0</v>
      </c>
      <c r="U102" s="23">
        <f>'Activity data'!U61*ManureNEF*NtoN2O*kgtoGg</f>
        <v>0</v>
      </c>
      <c r="V102" s="23">
        <f>'Activity data'!V61*ManureNEF*NtoN2O*kgtoGg</f>
        <v>0</v>
      </c>
      <c r="W102" s="23">
        <f>'Activity data'!W61*ManureNEF*NtoN2O*kgtoGg</f>
        <v>0</v>
      </c>
      <c r="X102" s="23">
        <f>'Activity data'!X61*ManureNEF*NtoN2O*kgtoGg</f>
        <v>0</v>
      </c>
      <c r="Y102" s="23">
        <f>'Activity data'!Y61*ManureNEF*NtoN2O*kgtoGg</f>
        <v>0</v>
      </c>
      <c r="Z102" s="23">
        <f>'Activity data'!Z61*ManureNEF*NtoN2O*kgtoGg</f>
        <v>0</v>
      </c>
      <c r="AA102" s="23">
        <f>'Activity data'!AA61*ManureNEF*NtoN2O*kgtoGg</f>
        <v>0</v>
      </c>
      <c r="AB102" s="23">
        <f>'Activity data'!AB61*ManureNEF*NtoN2O*kgtoGg</f>
        <v>0</v>
      </c>
      <c r="AC102" s="23">
        <f>'Activity data'!AC61*ManureNEF*NtoN2O*kgtoGg</f>
        <v>0</v>
      </c>
      <c r="AD102" s="23">
        <f>'Activity data'!AD61*ManureNEF*NtoN2O*kgtoGg</f>
        <v>0</v>
      </c>
      <c r="AE102" s="23">
        <f>'Activity data'!AE61*ManureNEF*NtoN2O*kgtoGg</f>
        <v>0</v>
      </c>
      <c r="AF102" s="23">
        <f>'Activity data'!AF61*ManureNEF*NtoN2O*kgtoGg</f>
        <v>0</v>
      </c>
      <c r="AG102" s="23">
        <f>'Activity data'!AG61*ManureNEF*NtoN2O*kgtoGg</f>
        <v>0</v>
      </c>
      <c r="AH102" s="23">
        <f>'Activity data'!AH61*ManureNEF*NtoN2O*kgtoGg</f>
        <v>0</v>
      </c>
      <c r="AI102" s="23">
        <f>'Activity data'!AI61*ManureNEF*NtoN2O*kgtoGg</f>
        <v>0</v>
      </c>
      <c r="AJ102" s="23">
        <f>'Activity data'!AJ61*ManureNEF*NtoN2O*kgtoGg</f>
        <v>0</v>
      </c>
      <c r="AK102" s="23">
        <f>'Activity data'!AK61*ManureNEF*NtoN2O*kgtoGg</f>
        <v>0</v>
      </c>
      <c r="AL102" s="23">
        <f>'Activity data'!AL61*ManureNEF*NtoN2O*kgtoGg</f>
        <v>0</v>
      </c>
      <c r="AM102" s="23">
        <f>'Activity data'!AM61*ManureNEF*NtoN2O*kgtoGg</f>
        <v>0</v>
      </c>
      <c r="AN102" s="23">
        <f>'Activity data'!AN61*ManureNEF*NtoN2O*kgtoGg</f>
        <v>0</v>
      </c>
      <c r="AO102" s="23">
        <f>'Activity data'!AO61*ManureNEF*NtoN2O*kgtoGg</f>
        <v>0</v>
      </c>
      <c r="AP102" s="23">
        <f>'Activity data'!AP61*ManureNEF*NtoN2O*kgtoGg</f>
        <v>0</v>
      </c>
      <c r="AQ102" s="23">
        <f>'Activity data'!AQ61*ManureNEF*NtoN2O*kgtoGg</f>
        <v>0</v>
      </c>
      <c r="AR102" s="23">
        <f>'Activity data'!AR61*ManureNEF*NtoN2O*kgtoGg</f>
        <v>0</v>
      </c>
      <c r="AS102" s="23">
        <f>'Activity data'!AS61*ManureNEF*NtoN2O*kgtoGg</f>
        <v>0</v>
      </c>
      <c r="AT102" s="23">
        <f>'Activity data'!AT61*ManureNEF*NtoN2O*kgtoGg</f>
        <v>0</v>
      </c>
      <c r="AU102" s="23">
        <f>'Activity data'!AU61*ManureNEF*NtoN2O*kgtoGg</f>
        <v>0</v>
      </c>
      <c r="AV102" s="23">
        <f>'Activity data'!AV61*ManureNEF*NtoN2O*kgtoGg</f>
        <v>0</v>
      </c>
      <c r="AW102" s="23">
        <f>'Activity data'!AW61*ManureNEF*NtoN2O*kgtoGg</f>
        <v>0</v>
      </c>
      <c r="AX102" s="23">
        <f>'Activity data'!AX61*ManureNEF*NtoN2O*kgtoGg</f>
        <v>0</v>
      </c>
      <c r="AY102" s="23">
        <f>'Activity data'!AY61*ManureNEF*NtoN2O*kgtoGg</f>
        <v>0</v>
      </c>
      <c r="AZ102" s="23">
        <f>'Activity data'!AZ61*ManureNEF*NtoN2O*kgtoGg</f>
        <v>0</v>
      </c>
      <c r="BA102" s="23">
        <f>'Activity data'!BA61*ManureNEF*NtoN2O*kgtoGg</f>
        <v>0</v>
      </c>
      <c r="BB102" s="23">
        <f>'Activity data'!BB61*ManureNEF*NtoN2O*kgtoGg</f>
        <v>0</v>
      </c>
      <c r="BC102" s="23">
        <f>'Activity data'!BC61*ManureNEF*NtoN2O*kgtoGg</f>
        <v>0</v>
      </c>
      <c r="BD102" s="23">
        <f>'Activity data'!BD61*ManureNEF*NtoN2O*kgtoGg</f>
        <v>0</v>
      </c>
      <c r="BE102" s="23">
        <f>'Activity data'!BE61*ManureNEF*NtoN2O*kgtoGg</f>
        <v>0</v>
      </c>
      <c r="BF102" s="23">
        <f>'Activity data'!BF61*ManureNEF*NtoN2O*kgtoGg</f>
        <v>0</v>
      </c>
      <c r="BG102" s="23">
        <f>'Activity data'!BG61*ManureNEF*NtoN2O*kgtoGg</f>
        <v>0</v>
      </c>
      <c r="BH102" s="23">
        <f>'Activity data'!BH61*ManureNEF*NtoN2O*kgtoGg</f>
        <v>0</v>
      </c>
      <c r="BI102" s="23">
        <f>'Activity data'!BI61*ManureNEF*NtoN2O*kgtoGg</f>
        <v>0</v>
      </c>
      <c r="BJ102" s="23">
        <f>'Activity data'!BJ61*ManureNEF*NtoN2O*kgtoGg</f>
        <v>0</v>
      </c>
      <c r="BK102" s="23">
        <f>'Activity data'!BK61*ManureNEF*NtoN2O*kgtoGg</f>
        <v>0</v>
      </c>
      <c r="BL102" s="23">
        <f>'Activity data'!BL61*ManureNEF*NtoN2O*kgtoGg</f>
        <v>0</v>
      </c>
      <c r="BM102" s="23">
        <f>'Activity data'!BM61*ManureNEF*NtoN2O*kgtoGg</f>
        <v>0</v>
      </c>
      <c r="BN102" s="23">
        <f>'Activity data'!BN61*ManureNEF*NtoN2O*kgtoGg</f>
        <v>0</v>
      </c>
      <c r="BO102" s="23">
        <f>'Activity data'!BO61*ManureNEF*NtoN2O*kgtoGg</f>
        <v>0</v>
      </c>
      <c r="BP102" s="23">
        <f>'Activity data'!BP61*ManureNEF*NtoN2O*kgtoGg</f>
        <v>0</v>
      </c>
    </row>
    <row r="103" spans="1:68" x14ac:dyDescent="0.25">
      <c r="A103" t="str">
        <f t="shared" si="29"/>
        <v>3C Aggregated and non-CO2 emissions on land</v>
      </c>
      <c r="B103" t="str">
        <f t="shared" si="31"/>
        <v>3C4 Direct N2O from managed soils (N2O)</v>
      </c>
      <c r="C103" t="str">
        <f t="shared" si="35"/>
        <v>MM emissions</v>
      </c>
      <c r="D103" t="str">
        <f>'Activity data'!D62</f>
        <v xml:space="preserve"> - Commercial swine</v>
      </c>
      <c r="E103" t="str">
        <f t="shared" si="32"/>
        <v>MM emissions - Commercial swine</v>
      </c>
      <c r="F103" t="str">
        <f t="shared" si="33"/>
        <v>N2O</v>
      </c>
      <c r="G103" t="str">
        <f t="shared" si="34"/>
        <v>Gg N2O</v>
      </c>
      <c r="H103" s="23">
        <f>'Activity data'!H62*ManureNEF*NtoN2O*kgtoGg</f>
        <v>0.11469131025188571</v>
      </c>
      <c r="I103" s="23">
        <f>'Activity data'!I62*ManureNEF*NtoN2O*kgtoGg</f>
        <v>0.12530251415314284</v>
      </c>
      <c r="J103" s="23">
        <f>'Activity data'!J62*ManureNEF*NtoN2O*kgtoGg</f>
        <v>0.1244746897353143</v>
      </c>
      <c r="K103" s="23">
        <f>'Activity data'!K62*ManureNEF*NtoN2O*kgtoGg</f>
        <v>0.12439943297005714</v>
      </c>
      <c r="L103" s="23">
        <f>'Activity data'!L62*ManureNEF*NtoN2O*kgtoGg</f>
        <v>0.11815312145371427</v>
      </c>
      <c r="M103" s="23">
        <f>'Activity data'!M62*ManureNEF*NtoN2O*kgtoGg</f>
        <v>0.11928197293257144</v>
      </c>
      <c r="N103" s="23">
        <f>'Activity data'!N62*ManureNEF*NtoN2O*kgtoGg</f>
        <v>0.12846329829394287</v>
      </c>
      <c r="O103" s="23">
        <f>'Activity data'!O62*ManureNEF*NtoN2O*kgtoGg</f>
        <v>0.12786124417188571</v>
      </c>
      <c r="P103" s="23">
        <f>'Activity data'!P62*ManureNEF*NtoN2O*kgtoGg</f>
        <v>0.13064574448639998</v>
      </c>
      <c r="Q103" s="23">
        <f>'Activity data'!Q62*ManureNEF*NtoN2O*kgtoGg</f>
        <v>0.13395704215771428</v>
      </c>
      <c r="R103" s="23">
        <f>'Activity data'!R62*ManureNEF*NtoN2O*kgtoGg</f>
        <v>0.12394789237851427</v>
      </c>
      <c r="S103" s="23">
        <f>'Activity data'!S62*ManureNEF*NtoN2O*kgtoGg</f>
        <v>0.12628085210148574</v>
      </c>
      <c r="T103" s="23">
        <f>'Activity data'!T62*ManureNEF*NtoN2O*kgtoGg</f>
        <v>0.12868906858971427</v>
      </c>
      <c r="U103" s="23">
        <f>'Activity data'!U62*ManureNEF*NtoN2O*kgtoGg</f>
        <v>0.12515200062262857</v>
      </c>
      <c r="V103" s="23">
        <f>'Activity data'!V62*ManureNEF*NtoN2O*kgtoGg</f>
        <v>0.12515200062262857</v>
      </c>
      <c r="W103" s="23">
        <f>'Activity data'!W62*ManureNEF*NtoN2O*kgtoGg</f>
        <v>0.12424891943954286</v>
      </c>
      <c r="X103" s="23">
        <f>'Activity data'!X62*ManureNEF*NtoN2O*kgtoGg</f>
        <v>0.12206647324708569</v>
      </c>
      <c r="Y103" s="23">
        <f>'Activity data'!Y62*ManureNEF*NtoN2O*kgtoGg</f>
        <v>0.12424891943954286</v>
      </c>
      <c r="Z103" s="23">
        <f>'Activity data'!Z62*ManureNEF*NtoN2O*kgtoGg</f>
        <v>0.12153967589028571</v>
      </c>
      <c r="AA103" s="23">
        <f>'Activity data'!AA62*ManureNEF*NtoN2O*kgtoGg</f>
        <v>0.12138916235977143</v>
      </c>
      <c r="AB103" s="23">
        <f>'Activity data'!AB62*ManureNEF*NtoN2O*kgtoGg</f>
        <v>0.11995928381988573</v>
      </c>
      <c r="AC103" s="23">
        <f>'Activity data'!AC62*ManureNEF*NtoN2O*kgtoGg</f>
        <v>0.11920671616731429</v>
      </c>
      <c r="AD103" s="23">
        <f>'Activity data'!AD62*ManureNEF*NtoN2O*kgtoGg</f>
        <v>0.11883043234102857</v>
      </c>
      <c r="AE103" s="23">
        <f>'Activity data'!AE62*ManureNEF*NtoN2O*kgtoGg</f>
        <v>0.11845414851474285</v>
      </c>
      <c r="AF103" s="23">
        <f>'Activity data'!AF62*ManureNEF*NtoN2O*kgtoGg</f>
        <v>0.11755106733165713</v>
      </c>
      <c r="AG103" s="23">
        <f>'Activity data'!AG62*ManureNEF*NtoN2O*kgtoGg</f>
        <v>0.11461605348662858</v>
      </c>
      <c r="AH103" s="23">
        <f>'Activity data'!AH62*ManureNEF*NtoN2O*kgtoGg</f>
        <v>0.1137882290688</v>
      </c>
      <c r="AI103" s="23">
        <f>'Activity data'!AI62*ManureNEF*NtoN2O*kgtoGg</f>
        <v>0.11145526934582858</v>
      </c>
      <c r="AJ103" s="23">
        <f>'Activity data'!AJ62*ManureNEF*NtoN2O*kgtoGg</f>
        <v>0.11601784910917123</v>
      </c>
      <c r="AK103" s="23">
        <f>'Activity data'!AK62*ManureNEF*NtoN2O*kgtoGg</f>
        <v>0.11584733071140076</v>
      </c>
      <c r="AL103" s="23">
        <f>'Activity data'!AL62*ManureNEF*NtoN2O*kgtoGg</f>
        <v>0.11630584601668958</v>
      </c>
      <c r="AM103" s="23">
        <f>'Activity data'!AM62*ManureNEF*NtoN2O*kgtoGg</f>
        <v>0.1160401271078397</v>
      </c>
      <c r="AN103" s="23">
        <f>'Activity data'!AN62*ManureNEF*NtoN2O*kgtoGg</f>
        <v>0.11578080248417268</v>
      </c>
      <c r="AO103" s="23">
        <f>'Activity data'!AO62*ManureNEF*NtoN2O*kgtoGg</f>
        <v>0.1155200425188788</v>
      </c>
      <c r="AP103" s="23">
        <f>'Activity data'!AP62*ManureNEF*NtoN2O*kgtoGg</f>
        <v>0.11526478714003856</v>
      </c>
      <c r="AQ103" s="23">
        <f>'Activity data'!AQ62*ManureNEF*NtoN2O*kgtoGg</f>
        <v>0.11500314700586282</v>
      </c>
      <c r="AR103" s="23">
        <f>'Activity data'!AR62*ManureNEF*NtoN2O*kgtoGg</f>
        <v>0.11470348646557445</v>
      </c>
      <c r="AS103" s="23">
        <f>'Activity data'!AS62*ManureNEF*NtoN2O*kgtoGg</f>
        <v>0.11440551881714695</v>
      </c>
      <c r="AT103" s="23">
        <f>'Activity data'!AT62*ManureNEF*NtoN2O*kgtoGg</f>
        <v>0.11409890881893063</v>
      </c>
      <c r="AU103" s="23">
        <f>'Activity data'!AU62*ManureNEF*NtoN2O*kgtoGg</f>
        <v>0.11378588156810872</v>
      </c>
      <c r="AV103" s="23">
        <f>'Activity data'!AV62*ManureNEF*NtoN2O*kgtoGg</f>
        <v>0.11346585134560055</v>
      </c>
      <c r="AW103" s="23">
        <f>'Activity data'!AW62*ManureNEF*NtoN2O*kgtoGg</f>
        <v>0.11310858807338123</v>
      </c>
      <c r="AX103" s="23">
        <f>'Activity data'!AX62*ManureNEF*NtoN2O*kgtoGg</f>
        <v>0.11276283783615752</v>
      </c>
      <c r="AY103" s="23">
        <f>'Activity data'!AY62*ManureNEF*NtoN2O*kgtoGg</f>
        <v>0.11239111998467419</v>
      </c>
      <c r="AZ103" s="23">
        <f>'Activity data'!AZ62*ManureNEF*NtoN2O*kgtoGg</f>
        <v>0.11200124850897009</v>
      </c>
      <c r="BA103" s="23">
        <f>'Activity data'!BA62*ManureNEF*NtoN2O*kgtoGg</f>
        <v>0.11159224085539293</v>
      </c>
      <c r="BB103" s="23">
        <f>'Activity data'!BB62*ManureNEF*NtoN2O*kgtoGg</f>
        <v>0.11117008551159367</v>
      </c>
      <c r="BC103" s="23">
        <f>'Activity data'!BC62*ManureNEF*NtoN2O*kgtoGg</f>
        <v>0.11073476773809168</v>
      </c>
      <c r="BD103" s="23">
        <f>'Activity data'!BD62*ManureNEF*NtoN2O*kgtoGg</f>
        <v>0.1102945601774219</v>
      </c>
      <c r="BE103" s="23">
        <f>'Activity data'!BE62*ManureNEF*NtoN2O*kgtoGg</f>
        <v>0.10984106605272548</v>
      </c>
      <c r="BF103" s="23">
        <f>'Activity data'!BF62*ManureNEF*NtoN2O*kgtoGg</f>
        <v>0.10936685037452185</v>
      </c>
      <c r="BG103" s="23">
        <f>'Activity data'!BG62*ManureNEF*NtoN2O*kgtoGg</f>
        <v>0.10886152132063566</v>
      </c>
      <c r="BH103" s="23">
        <f>'Activity data'!BH62*ManureNEF*NtoN2O*kgtoGg</f>
        <v>0.10834028499860225</v>
      </c>
      <c r="BI103" s="23">
        <f>'Activity data'!BI62*ManureNEF*NtoN2O*kgtoGg</f>
        <v>0.10780404820614611</v>
      </c>
      <c r="BJ103" s="23">
        <f>'Activity data'!BJ62*ManureNEF*NtoN2O*kgtoGg</f>
        <v>0.10725057265286368</v>
      </c>
      <c r="BK103" s="23">
        <f>'Activity data'!BK62*ManureNEF*NtoN2O*kgtoGg</f>
        <v>0.10667098409601346</v>
      </c>
      <c r="BL103" s="23">
        <f>'Activity data'!BL62*ManureNEF*NtoN2O*kgtoGg</f>
        <v>0.10607388924944222</v>
      </c>
      <c r="BM103" s="23">
        <f>'Activity data'!BM62*ManureNEF*NtoN2O*kgtoGg</f>
        <v>0.10545427903886273</v>
      </c>
      <c r="BN103" s="23">
        <f>'Activity data'!BN62*ManureNEF*NtoN2O*kgtoGg</f>
        <v>0.10482902275829639</v>
      </c>
      <c r="BO103" s="23">
        <f>'Activity data'!BO62*ManureNEF*NtoN2O*kgtoGg</f>
        <v>0.10417921050656241</v>
      </c>
      <c r="BP103" s="23">
        <f>'Activity data'!BP62*ManureNEF*NtoN2O*kgtoGg</f>
        <v>0.10350279312016825</v>
      </c>
    </row>
    <row r="104" spans="1:68" x14ac:dyDescent="0.25">
      <c r="A104" t="str">
        <f t="shared" si="29"/>
        <v>3C Aggregated and non-CO2 emissions on land</v>
      </c>
      <c r="B104" t="str">
        <f t="shared" si="31"/>
        <v>3C4 Direct N2O from managed soils (N2O)</v>
      </c>
      <c r="C104" t="str">
        <f t="shared" si="35"/>
        <v>MM emissions</v>
      </c>
      <c r="D104" t="str">
        <f>'Activity data'!D63</f>
        <v xml:space="preserve"> - Subsistence swine</v>
      </c>
      <c r="E104" t="str">
        <f t="shared" si="32"/>
        <v>MM emissions - Subsistence swine</v>
      </c>
      <c r="F104" t="str">
        <f t="shared" si="33"/>
        <v>N2O</v>
      </c>
      <c r="G104" t="str">
        <f t="shared" si="34"/>
        <v>Gg N2O</v>
      </c>
      <c r="H104" s="23">
        <f>'Activity data'!H63*ManureNEF*NtoN2O*kgtoGg</f>
        <v>2.7864346310359195E-2</v>
      </c>
      <c r="I104" s="23">
        <f>'Activity data'!I63*ManureNEF*NtoN2O*kgtoGg</f>
        <v>3.0442346854821566E-2</v>
      </c>
      <c r="J104" s="23">
        <f>'Activity data'!J63*ManureNEF*NtoN2O*kgtoGg</f>
        <v>3.0241226244969888E-2</v>
      </c>
      <c r="K104" s="23">
        <f>'Activity data'!K63*ManureNEF*NtoN2O*kgtoGg</f>
        <v>3.0222942553165193E-2</v>
      </c>
      <c r="L104" s="23">
        <f>'Activity data'!L63*ManureNEF*NtoN2O*kgtoGg</f>
        <v>2.8705396133375288E-2</v>
      </c>
      <c r="M104" s="23">
        <f>'Activity data'!M63*ManureNEF*NtoN2O*kgtoGg</f>
        <v>2.8979651510445754E-2</v>
      </c>
      <c r="N104" s="23">
        <f>'Activity data'!N63*ManureNEF*NtoN2O*kgtoGg</f>
        <v>3.1210261910618868E-2</v>
      </c>
      <c r="O104" s="23">
        <f>'Activity data'!O63*ManureNEF*NtoN2O*kgtoGg</f>
        <v>3.1063992376181286E-2</v>
      </c>
      <c r="P104" s="23">
        <f>'Activity data'!P63*ManureNEF*NtoN2O*kgtoGg</f>
        <v>3.1740488972955096E-2</v>
      </c>
      <c r="Q104" s="23">
        <f>'Activity data'!Q63*ManureNEF*NtoN2O*kgtoGg</f>
        <v>3.2544971412361789E-2</v>
      </c>
      <c r="R104" s="23">
        <f>'Activity data'!R63*ManureNEF*NtoN2O*kgtoGg</f>
        <v>3.011324040233701E-2</v>
      </c>
      <c r="S104" s="23">
        <f>'Activity data'!S63*ManureNEF*NtoN2O*kgtoGg</f>
        <v>3.0680034848282637E-2</v>
      </c>
      <c r="T104" s="23">
        <f>'Activity data'!T63*ManureNEF*NtoN2O*kgtoGg</f>
        <v>3.1265112986032961E-2</v>
      </c>
      <c r="U104" s="23">
        <f>'Activity data'!U63*ManureNEF*NtoN2O*kgtoGg</f>
        <v>3.0405779471212167E-2</v>
      </c>
      <c r="V104" s="23">
        <f>'Activity data'!V63*ManureNEF*NtoN2O*kgtoGg</f>
        <v>3.0405779471212167E-2</v>
      </c>
      <c r="W104" s="23">
        <f>'Activity data'!W63*ManureNEF*NtoN2O*kgtoGg</f>
        <v>3.0186375169555798E-2</v>
      </c>
      <c r="X104" s="23">
        <f>'Activity data'!X63*ManureNEF*NtoN2O*kgtoGg</f>
        <v>2.9656148107219563E-2</v>
      </c>
      <c r="Y104" s="23">
        <f>'Activity data'!Y63*ManureNEF*NtoN2O*kgtoGg</f>
        <v>3.0186375169555798E-2</v>
      </c>
      <c r="Z104" s="23">
        <f>'Activity data'!Z63*ManureNEF*NtoN2O*kgtoGg</f>
        <v>2.9528162264586686E-2</v>
      </c>
      <c r="AA104" s="23">
        <f>'Activity data'!AA63*ManureNEF*NtoN2O*kgtoGg</f>
        <v>2.9491594880977284E-2</v>
      </c>
      <c r="AB104" s="23">
        <f>'Activity data'!AB63*ManureNEF*NtoN2O*kgtoGg</f>
        <v>2.9144204736688033E-2</v>
      </c>
      <c r="AC104" s="23">
        <f>'Activity data'!AC63*ManureNEF*NtoN2O*kgtoGg</f>
        <v>2.8961367818641053E-2</v>
      </c>
      <c r="AD104" s="23">
        <f>'Activity data'!AD63*ManureNEF*NtoN2O*kgtoGg</f>
        <v>2.8869949359617567E-2</v>
      </c>
      <c r="AE104" s="23">
        <f>'Activity data'!AE63*ManureNEF*NtoN2O*kgtoGg</f>
        <v>2.8778530900594079E-2</v>
      </c>
      <c r="AF104" s="23">
        <f>'Activity data'!AF63*ManureNEF*NtoN2O*kgtoGg</f>
        <v>2.8559126598937709E-2</v>
      </c>
      <c r="AG104" s="23">
        <f>'Activity data'!AG63*ManureNEF*NtoN2O*kgtoGg</f>
        <v>2.7846062618554504E-2</v>
      </c>
      <c r="AH104" s="23">
        <f>'Activity data'!AH63*ManureNEF*NtoN2O*kgtoGg</f>
        <v>2.7644942008702829E-2</v>
      </c>
      <c r="AI104" s="23">
        <f>'Activity data'!AI63*ManureNEF*NtoN2O*kgtoGg</f>
        <v>2.7078147562757202E-2</v>
      </c>
      <c r="AJ104" s="23">
        <f>'Activity data'!AJ63*ManureNEF*NtoN2O*kgtoGg</f>
        <v>2.8276427286979013E-2</v>
      </c>
      <c r="AK104" s="23">
        <f>'Activity data'!AK63*ManureNEF*NtoN2O*kgtoGg</f>
        <v>2.8234867724268004E-2</v>
      </c>
      <c r="AL104" s="23">
        <f>'Activity data'!AL63*ManureNEF*NtoN2O*kgtoGg</f>
        <v>2.8346619276201766E-2</v>
      </c>
      <c r="AM104" s="23">
        <f>'Activity data'!AM63*ManureNEF*NtoN2O*kgtoGg</f>
        <v>2.8281856987790448E-2</v>
      </c>
      <c r="AN104" s="23">
        <f>'Activity data'!AN63*ManureNEF*NtoN2O*kgtoGg</f>
        <v>2.8218653145268391E-2</v>
      </c>
      <c r="AO104" s="23">
        <f>'Activity data'!AO63*ManureNEF*NtoN2O*kgtoGg</f>
        <v>2.8155099474392722E-2</v>
      </c>
      <c r="AP104" s="23">
        <f>'Activity data'!AP63*ManureNEF*NtoN2O*kgtoGg</f>
        <v>2.8092887407759812E-2</v>
      </c>
      <c r="AQ104" s="23">
        <f>'Activity data'!AQ63*ManureNEF*NtoN2O*kgtoGg</f>
        <v>2.8029119217897806E-2</v>
      </c>
      <c r="AR104" s="23">
        <f>'Activity data'!AR63*ManureNEF*NtoN2O*kgtoGg</f>
        <v>2.7956084512089141E-2</v>
      </c>
      <c r="AS104" s="23">
        <f>'Activity data'!AS63*ManureNEF*NtoN2O*kgtoGg</f>
        <v>2.7883462406013866E-2</v>
      </c>
      <c r="AT104" s="23">
        <f>'Activity data'!AT63*ManureNEF*NtoN2O*kgtoGg</f>
        <v>2.7808733944948656E-2</v>
      </c>
      <c r="AU104" s="23">
        <f>'Activity data'!AU63*ManureNEF*NtoN2O*kgtoGg</f>
        <v>2.7732441440263621E-2</v>
      </c>
      <c r="AV104" s="23">
        <f>'Activity data'!AV63*ManureNEF*NtoN2O*kgtoGg</f>
        <v>2.765444213769189E-2</v>
      </c>
      <c r="AW104" s="23">
        <f>'Activity data'!AW63*ManureNEF*NtoN2O*kgtoGg</f>
        <v>2.7567368217456457E-2</v>
      </c>
      <c r="AX104" s="23">
        <f>'Activity data'!AX63*ManureNEF*NtoN2O*kgtoGg</f>
        <v>2.7483100309394212E-2</v>
      </c>
      <c r="AY104" s="23">
        <f>'Activity data'!AY63*ManureNEF*NtoN2O*kgtoGg</f>
        <v>2.7392503449691612E-2</v>
      </c>
      <c r="AZ104" s="23">
        <f>'Activity data'!AZ63*ManureNEF*NtoN2O*kgtoGg</f>
        <v>2.729748210152267E-2</v>
      </c>
      <c r="BA104" s="23">
        <f>'Activity data'!BA63*ManureNEF*NtoN2O*kgtoGg</f>
        <v>2.7197796792193162E-2</v>
      </c>
      <c r="BB104" s="23">
        <f>'Activity data'!BB63*ManureNEF*NtoN2O*kgtoGg</f>
        <v>2.7094907064669282E-2</v>
      </c>
      <c r="BC104" s="23">
        <f>'Activity data'!BC63*ManureNEF*NtoN2O*kgtoGg</f>
        <v>2.6988809326574031E-2</v>
      </c>
      <c r="BD104" s="23">
        <f>'Activity data'!BD63*ManureNEF*NtoN2O*kgtoGg</f>
        <v>2.6881519826070149E-2</v>
      </c>
      <c r="BE104" s="23">
        <f>'Activity data'!BE63*ManureNEF*NtoN2O*kgtoGg</f>
        <v>2.6770992060381412E-2</v>
      </c>
      <c r="BF104" s="23">
        <f>'Activity data'!BF63*ManureNEF*NtoN2O*kgtoGg</f>
        <v>2.665541393816977E-2</v>
      </c>
      <c r="BG104" s="23">
        <f>'Activity data'!BG63*ManureNEF*NtoN2O*kgtoGg</f>
        <v>2.6532252714634549E-2</v>
      </c>
      <c r="BH104" s="23">
        <f>'Activity data'!BH63*ManureNEF*NtoN2O*kgtoGg</f>
        <v>2.6405214495321933E-2</v>
      </c>
      <c r="BI104" s="23">
        <f>'Activity data'!BI63*ManureNEF*NtoN2O*kgtoGg</f>
        <v>2.6274520289327634E-2</v>
      </c>
      <c r="BJ104" s="23">
        <f>'Activity data'!BJ63*ManureNEF*NtoN2O*kgtoGg</f>
        <v>2.613962456976655E-2</v>
      </c>
      <c r="BK104" s="23">
        <f>'Activity data'!BK63*ManureNEF*NtoN2O*kgtoGg</f>
        <v>2.5998364463584792E-2</v>
      </c>
      <c r="BL104" s="23">
        <f>'Activity data'!BL63*ManureNEF*NtoN2O*kgtoGg</f>
        <v>2.5852837640409389E-2</v>
      </c>
      <c r="BM104" s="23">
        <f>'Activity data'!BM63*ManureNEF*NtoN2O*kgtoGg</f>
        <v>2.5701823264602141E-2</v>
      </c>
      <c r="BN104" s="23">
        <f>'Activity data'!BN63*ManureNEF*NtoN2O*kgtoGg</f>
        <v>2.5549432801506029E-2</v>
      </c>
      <c r="BO104" s="23">
        <f>'Activity data'!BO63*ManureNEF*NtoN2O*kgtoGg</f>
        <v>2.5391057439202475E-2</v>
      </c>
      <c r="BP104" s="23">
        <f>'Activity data'!BP63*ManureNEF*NtoN2O*kgtoGg</f>
        <v>2.5226197745725269E-2</v>
      </c>
    </row>
    <row r="105" spans="1:68" x14ac:dyDescent="0.25">
      <c r="A105" t="str">
        <f t="shared" si="29"/>
        <v>3C Aggregated and non-CO2 emissions on land</v>
      </c>
      <c r="B105" t="str">
        <f t="shared" si="31"/>
        <v>3C4 Direct N2O from managed soils (N2O)</v>
      </c>
      <c r="C105" t="str">
        <f t="shared" si="35"/>
        <v>MM emissions</v>
      </c>
      <c r="D105" t="str">
        <f>'Activity data'!D64</f>
        <v xml:space="preserve"> - Commercial layers</v>
      </c>
      <c r="E105" t="str">
        <f t="shared" si="32"/>
        <v>MM emissions - Commercial layers</v>
      </c>
      <c r="F105" t="str">
        <f t="shared" si="33"/>
        <v>N2O</v>
      </c>
      <c r="G105" t="str">
        <f t="shared" si="34"/>
        <v>Gg N2O</v>
      </c>
      <c r="H105" s="23">
        <f>'Activity data'!H64*ManureNEF*NtoN2O*kgtoGg</f>
        <v>9.7200530286632988E-2</v>
      </c>
      <c r="I105" s="23">
        <f>'Activity data'!I64*ManureNEF*NtoN2O*kgtoGg</f>
        <v>9.4428858969144991E-2</v>
      </c>
      <c r="J105" s="23">
        <f>'Activity data'!J64*ManureNEF*NtoN2O*kgtoGg</f>
        <v>8.9559204193753711E-2</v>
      </c>
      <c r="K105" s="23">
        <f>'Activity data'!K64*ManureNEF*NtoN2O*kgtoGg</f>
        <v>8.8151043346442318E-2</v>
      </c>
      <c r="L105" s="23">
        <f>'Activity data'!L64*ManureNEF*NtoN2O*kgtoGg</f>
        <v>8.4316790348484383E-2</v>
      </c>
      <c r="M105" s="23">
        <f>'Activity data'!M64*ManureNEF*NtoN2O*kgtoGg</f>
        <v>9.2000112653199614E-2</v>
      </c>
      <c r="N105" s="23">
        <f>'Activity data'!N64*ManureNEF*NtoN2O*kgtoGg</f>
        <v>9.7180196522010265E-2</v>
      </c>
      <c r="O105" s="23">
        <f>'Activity data'!O64*ManureNEF*NtoN2O*kgtoGg</f>
        <v>9.7499760881509301E-2</v>
      </c>
      <c r="P105" s="23">
        <f>'Activity data'!P64*ManureNEF*NtoN2O*kgtoGg</f>
        <v>0.10977650358290812</v>
      </c>
      <c r="Q105" s="23">
        <f>'Activity data'!Q64*ManureNEF*NtoN2O*kgtoGg</f>
        <v>0.11769142781513957</v>
      </c>
      <c r="R105" s="23">
        <f>'Activity data'!R64*ManureNEF*NtoN2O*kgtoGg</f>
        <v>0.11519773530237168</v>
      </c>
      <c r="S105" s="23">
        <f>'Activity data'!S64*ManureNEF*NtoN2O*kgtoGg</f>
        <v>0.11827079994576317</v>
      </c>
      <c r="T105" s="23">
        <f>'Activity data'!T64*ManureNEF*NtoN2O*kgtoGg</f>
        <v>0.11734254390212158</v>
      </c>
      <c r="U105" s="23">
        <f>'Activity data'!U64*ManureNEF*NtoN2O*kgtoGg</f>
        <v>0.11265793599714678</v>
      </c>
      <c r="V105" s="23">
        <f>'Activity data'!V64*ManureNEF*NtoN2O*kgtoGg</f>
        <v>0.11674302954549233</v>
      </c>
      <c r="W105" s="23">
        <f>'Activity data'!W64*ManureNEF*NtoN2O*kgtoGg</f>
        <v>0.12378269546779383</v>
      </c>
      <c r="X105" s="23">
        <f>'Activity data'!X64*ManureNEF*NtoN2O*kgtoGg</f>
        <v>0.136608752009132</v>
      </c>
      <c r="Y105" s="23">
        <f>'Activity data'!Y64*ManureNEF*NtoN2O*kgtoGg</f>
        <v>0.15118112258886537</v>
      </c>
      <c r="Z105" s="23">
        <f>'Activity data'!Z64*ManureNEF*NtoN2O*kgtoGg</f>
        <v>0.15317215945854146</v>
      </c>
      <c r="AA105" s="23">
        <f>'Activity data'!AA64*ManureNEF*NtoN2O*kgtoGg</f>
        <v>0.14752524872712022</v>
      </c>
      <c r="AB105" s="23">
        <f>'Activity data'!AB64*ManureNEF*NtoN2O*kgtoGg</f>
        <v>0.1532718669032935</v>
      </c>
      <c r="AC105" s="23">
        <f>'Activity data'!AC64*ManureNEF*NtoN2O*kgtoGg</f>
        <v>0.16034648531014095</v>
      </c>
      <c r="AD105" s="23">
        <f>'Activity data'!AD64*ManureNEF*NtoN2O*kgtoGg</f>
        <v>0.16618759234442027</v>
      </c>
      <c r="AE105" s="23">
        <f>'Activity data'!AE64*ManureNEF*NtoN2O*kgtoGg</f>
        <v>0.16295307541339268</v>
      </c>
      <c r="AF105" s="23">
        <f>'Activity data'!AF64*ManureNEF*NtoN2O*kgtoGg</f>
        <v>0.16156528351840518</v>
      </c>
      <c r="AG105" s="23">
        <f>'Activity data'!AG64*ManureNEF*NtoN2O*kgtoGg</f>
        <v>0.16495490453172248</v>
      </c>
      <c r="AH105" s="23">
        <f>'Activity data'!AH64*ManureNEF*NtoN2O*kgtoGg</f>
        <v>0.16461531428571427</v>
      </c>
      <c r="AI105" s="23">
        <f>'Activity data'!AI64*ManureNEF*NtoN2O*kgtoGg</f>
        <v>0.15372946285714284</v>
      </c>
      <c r="AJ105" s="23">
        <f>'Activity data'!AJ64*ManureNEF*NtoN2O*kgtoGg</f>
        <v>0.17040981006195188</v>
      </c>
      <c r="AK105" s="23">
        <f>'Activity data'!AK64*ManureNEF*NtoN2O*kgtoGg</f>
        <v>0.1720359192588499</v>
      </c>
      <c r="AL105" s="23">
        <f>'Activity data'!AL64*ManureNEF*NtoN2O*kgtoGg</f>
        <v>0.17126323736292176</v>
      </c>
      <c r="AM105" s="23">
        <f>'Activity data'!AM64*ManureNEF*NtoN2O*kgtoGg</f>
        <v>0.17326566853418648</v>
      </c>
      <c r="AN105" s="23">
        <f>'Activity data'!AN64*ManureNEF*NtoN2O*kgtoGg</f>
        <v>0.17524371537476788</v>
      </c>
      <c r="AO105" s="23">
        <f>'Activity data'!AO64*ManureNEF*NtoN2O*kgtoGg</f>
        <v>0.17722723582462169</v>
      </c>
      <c r="AP105" s="23">
        <f>'Activity data'!AP64*ManureNEF*NtoN2O*kgtoGg</f>
        <v>0.17918976478723003</v>
      </c>
      <c r="AQ105" s="23">
        <f>'Activity data'!AQ64*ManureNEF*NtoN2O*kgtoGg</f>
        <v>0.18117664173888709</v>
      </c>
      <c r="AR105" s="23">
        <f>'Activity data'!AR64*ManureNEF*NtoN2O*kgtoGg</f>
        <v>0.18339099351714877</v>
      </c>
      <c r="AS105" s="23">
        <f>'Activity data'!AS64*ManureNEF*NtoN2O*kgtoGg</f>
        <v>0.18559888953016701</v>
      </c>
      <c r="AT105" s="23">
        <f>'Activity data'!AT64*ManureNEF*NtoN2O*kgtoGg</f>
        <v>0.18783974274658116</v>
      </c>
      <c r="AU105" s="23">
        <f>'Activity data'!AU64*ManureNEF*NtoN2O*kgtoGg</f>
        <v>0.19010506786063114</v>
      </c>
      <c r="AV105" s="23">
        <f>'Activity data'!AV64*ManureNEF*NtoN2O*kgtoGg</f>
        <v>0.19239709848508951</v>
      </c>
      <c r="AW105" s="23">
        <f>'Activity data'!AW64*ManureNEF*NtoN2O*kgtoGg</f>
        <v>0.19479473432358027</v>
      </c>
      <c r="AX105" s="23">
        <f>'Activity data'!AX64*ManureNEF*NtoN2O*kgtoGg</f>
        <v>0.19714846571442493</v>
      </c>
      <c r="AY105" s="23">
        <f>'Activity data'!AY64*ManureNEF*NtoN2O*kgtoGg</f>
        <v>0.19960122342606881</v>
      </c>
      <c r="AZ105" s="23">
        <f>'Activity data'!AZ64*ManureNEF*NtoN2O*kgtoGg</f>
        <v>0.20212320913040507</v>
      </c>
      <c r="BA105" s="23">
        <f>'Activity data'!BA64*ManureNEF*NtoN2O*kgtoGg</f>
        <v>0.20471816976884941</v>
      </c>
      <c r="BB105" s="23">
        <f>'Activity data'!BB64*ManureNEF*NtoN2O*kgtoGg</f>
        <v>0.20740396822278087</v>
      </c>
      <c r="BC105" s="23">
        <f>'Activity data'!BC64*ManureNEF*NtoN2O*kgtoGg</f>
        <v>0.21013996099694865</v>
      </c>
      <c r="BD105" s="23">
        <f>'Activity data'!BD64*ManureNEF*NtoN2O*kgtoGg</f>
        <v>0.21289460073130673</v>
      </c>
      <c r="BE105" s="23">
        <f>'Activity data'!BE64*ManureNEF*NtoN2O*kgtoGg</f>
        <v>0.21569990818469306</v>
      </c>
      <c r="BF105" s="23">
        <f>'Activity data'!BF64*ManureNEF*NtoN2O*kgtoGg</f>
        <v>0.2185842363292459</v>
      </c>
      <c r="BG105" s="23">
        <f>'Activity data'!BG64*ManureNEF*NtoN2O*kgtoGg</f>
        <v>0.22173948828271073</v>
      </c>
      <c r="BH105" s="23">
        <f>'Activity data'!BH64*ManureNEF*NtoN2O*kgtoGg</f>
        <v>0.2249554018533074</v>
      </c>
      <c r="BI105" s="23">
        <f>'Activity data'!BI64*ManureNEF*NtoN2O*kgtoGg</f>
        <v>0.22822851904613922</v>
      </c>
      <c r="BJ105" s="23">
        <f>'Activity data'!BJ64*ManureNEF*NtoN2O*kgtoGg</f>
        <v>0.23156737546044714</v>
      </c>
      <c r="BK105" s="23">
        <f>'Activity data'!BK64*ManureNEF*NtoN2O*kgtoGg</f>
        <v>0.23500581261273595</v>
      </c>
      <c r="BL105" s="23">
        <f>'Activity data'!BL64*ManureNEF*NtoN2O*kgtoGg</f>
        <v>0.23846766081549822</v>
      </c>
      <c r="BM105" s="23">
        <f>'Activity data'!BM64*ManureNEF*NtoN2O*kgtoGg</f>
        <v>0.24201537032326237</v>
      </c>
      <c r="BN105" s="23">
        <f>'Activity data'!BN64*ManureNEF*NtoN2O*kgtoGg</f>
        <v>0.24558461087747549</v>
      </c>
      <c r="BO105" s="23">
        <f>'Activity data'!BO64*ManureNEF*NtoN2O*kgtoGg</f>
        <v>0.24924749447997285</v>
      </c>
      <c r="BP105" s="23">
        <f>'Activity data'!BP64*ManureNEF*NtoN2O*kgtoGg</f>
        <v>0.25301183553973494</v>
      </c>
    </row>
    <row r="106" spans="1:68" x14ac:dyDescent="0.25">
      <c r="A106" t="str">
        <f t="shared" si="29"/>
        <v>3C Aggregated and non-CO2 emissions on land</v>
      </c>
      <c r="B106" t="str">
        <f t="shared" si="31"/>
        <v>3C4 Direct N2O from managed soils (N2O)</v>
      </c>
      <c r="C106" t="str">
        <f t="shared" si="35"/>
        <v>MM emissions</v>
      </c>
      <c r="D106" t="str">
        <f>'Activity data'!D65</f>
        <v xml:space="preserve"> - Commercial broilers</v>
      </c>
      <c r="E106" t="str">
        <f t="shared" si="32"/>
        <v>MM emissions - Commercial broilers</v>
      </c>
      <c r="F106" t="str">
        <f t="shared" si="33"/>
        <v>N2O</v>
      </c>
      <c r="G106" t="str">
        <f t="shared" si="34"/>
        <v>Gg N2O</v>
      </c>
      <c r="H106" s="23">
        <f>'Activity data'!H65*ManureNEF*NtoN2O*kgtoGg</f>
        <v>0.33694552073148476</v>
      </c>
      <c r="I106" s="23">
        <f>'Activity data'!I65*ManureNEF*NtoN2O*kgtoGg</f>
        <v>0.31672878989639686</v>
      </c>
      <c r="J106" s="23">
        <f>'Activity data'!J65*ManureNEF*NtoN2O*kgtoGg</f>
        <v>0.29933136362353469</v>
      </c>
      <c r="K106" s="23">
        <f>'Activity data'!K65*ManureNEF*NtoN2O*kgtoGg</f>
        <v>0.33664137760432367</v>
      </c>
      <c r="L106" s="23">
        <f>'Activity data'!L65*ManureNEF*NtoN2O*kgtoGg</f>
        <v>0.33348410598324085</v>
      </c>
      <c r="M106" s="23">
        <f>'Activity data'!M65*ManureNEF*NtoN2O*kgtoGg</f>
        <v>0.3817213101364974</v>
      </c>
      <c r="N106" s="23">
        <f>'Activity data'!N65*ManureNEF*NtoN2O*kgtoGg</f>
        <v>0.44384349237162696</v>
      </c>
      <c r="O106" s="23">
        <f>'Activity data'!O65*ManureNEF*NtoN2O*kgtoGg</f>
        <v>0.45178194059776339</v>
      </c>
      <c r="P106" s="23">
        <f>'Activity data'!P65*ManureNEF*NtoN2O*kgtoGg</f>
        <v>0.49503233967174015</v>
      </c>
      <c r="Q106" s="23">
        <f>'Activity data'!Q65*ManureNEF*NtoN2O*kgtoGg</f>
        <v>0.51680820971951225</v>
      </c>
      <c r="R106" s="23">
        <f>'Activity data'!R65*ManureNEF*NtoN2O*kgtoGg</f>
        <v>0.55604755062988331</v>
      </c>
      <c r="S106" s="23">
        <f>'Activity data'!S65*ManureNEF*NtoN2O*kgtoGg</f>
        <v>0.53692233734035788</v>
      </c>
      <c r="T106" s="23">
        <f>'Activity data'!T65*ManureNEF*NtoN2O*kgtoGg</f>
        <v>0.59508410809033618</v>
      </c>
      <c r="U106" s="23">
        <f>'Activity data'!U65*ManureNEF*NtoN2O*kgtoGg</f>
        <v>0.56601482196260933</v>
      </c>
      <c r="V106" s="23">
        <f>'Activity data'!V65*ManureNEF*NtoN2O*kgtoGg</f>
        <v>0.57967891352922574</v>
      </c>
      <c r="W106" s="23">
        <f>'Activity data'!W65*ManureNEF*NtoN2O*kgtoGg</f>
        <v>0.64140005161544356</v>
      </c>
      <c r="X106" s="23">
        <f>'Activity data'!X65*ManureNEF*NtoN2O*kgtoGg</f>
        <v>0.68603730264816176</v>
      </c>
      <c r="Y106" s="23">
        <f>'Activity data'!Y65*ManureNEF*NtoN2O*kgtoGg</f>
        <v>0.71778306696636274</v>
      </c>
      <c r="Z106" s="23">
        <f>'Activity data'!Z65*ManureNEF*NtoN2O*kgtoGg</f>
        <v>0.76424406737632311</v>
      </c>
      <c r="AA106" s="23">
        <f>'Activity data'!AA65*ManureNEF*NtoN2O*kgtoGg</f>
        <v>0.7211479440293127</v>
      </c>
      <c r="AB106" s="23">
        <f>'Activity data'!AB65*ManureNEF*NtoN2O*kgtoGg</f>
        <v>0.73928538984856018</v>
      </c>
      <c r="AC106" s="23">
        <f>'Activity data'!AC65*ManureNEF*NtoN2O*kgtoGg</f>
        <v>0.76461491186701336</v>
      </c>
      <c r="AD106" s="23">
        <f>'Activity data'!AD65*ManureNEF*NtoN2O*kgtoGg</f>
        <v>0.78164864866115036</v>
      </c>
      <c r="AE106" s="23">
        <f>'Activity data'!AE65*ManureNEF*NtoN2O*kgtoGg</f>
        <v>0.76118958134878045</v>
      </c>
      <c r="AF106" s="23">
        <f>'Activity data'!AF65*ManureNEF*NtoN2O*kgtoGg</f>
        <v>0.79580938226051134</v>
      </c>
      <c r="AG106" s="23">
        <f>'Activity data'!AG65*ManureNEF*NtoN2O*kgtoGg</f>
        <v>0.82791716242155999</v>
      </c>
      <c r="AH106" s="23">
        <f>'Activity data'!AH65*ManureNEF*NtoN2O*kgtoGg</f>
        <v>0.76990487023999987</v>
      </c>
      <c r="AI106" s="23">
        <f>'Activity data'!AI65*ManureNEF*NtoN2O*kgtoGg</f>
        <v>0.76891970275999999</v>
      </c>
      <c r="AJ106" s="23">
        <f>'Activity data'!AJ65*ManureNEF*NtoN2O*kgtoGg</f>
        <v>0.85303616791574954</v>
      </c>
      <c r="AK106" s="23">
        <f>'Activity data'!AK65*ManureNEF*NtoN2O*kgtoGg</f>
        <v>0.86840823222572061</v>
      </c>
      <c r="AL106" s="23">
        <f>'Activity data'!AL65*ManureNEF*NtoN2O*kgtoGg</f>
        <v>0.88378029653569135</v>
      </c>
      <c r="AM106" s="23">
        <f>'Activity data'!AM65*ManureNEF*NtoN2O*kgtoGg</f>
        <v>0.8993615423812148</v>
      </c>
      <c r="AN106" s="23">
        <f>'Activity data'!AN65*ManureNEF*NtoN2O*kgtoGg</f>
        <v>0.91494278793913308</v>
      </c>
      <c r="AO106" s="23">
        <f>'Activity data'!AO65*ManureNEF*NtoN2O*kgtoGg</f>
        <v>0.93052403349705104</v>
      </c>
      <c r="AP106" s="23">
        <f>'Activity data'!AP65*ManureNEF*NtoN2O*kgtoGg</f>
        <v>0.94610527905496877</v>
      </c>
      <c r="AQ106" s="23">
        <f>'Activity data'!AQ65*ManureNEF*NtoN2O*kgtoGg</f>
        <v>0.96168652490049189</v>
      </c>
      <c r="AR106" s="23">
        <f>'Activity data'!AR65*ManureNEF*NtoN2O*kgtoGg</f>
        <v>0.97856713302963161</v>
      </c>
      <c r="AS106" s="23">
        <f>'Activity data'!AS65*ManureNEF*NtoN2O*kgtoGg</f>
        <v>0.99544774115877088</v>
      </c>
      <c r="AT106" s="23">
        <f>'Activity data'!AT65*ManureNEF*NtoN2O*kgtoGg</f>
        <v>1.01232834928791</v>
      </c>
      <c r="AU106" s="23">
        <f>'Activity data'!AU65*ManureNEF*NtoN2O*kgtoGg</f>
        <v>1.0292089574170493</v>
      </c>
      <c r="AV106" s="23">
        <f>'Activity data'!AV65*ManureNEF*NtoN2O*kgtoGg</f>
        <v>1.0460895655461888</v>
      </c>
      <c r="AW106" s="23">
        <f>'Activity data'!AW65*ManureNEF*NtoN2O*kgtoGg</f>
        <v>1.0623970747322844</v>
      </c>
      <c r="AX106" s="23">
        <f>'Activity data'!AX65*ManureNEF*NtoN2O*kgtoGg</f>
        <v>1.0787045836307751</v>
      </c>
      <c r="AY106" s="23">
        <f>'Activity data'!AY65*ManureNEF*NtoN2O*kgtoGg</f>
        <v>1.0950120928168714</v>
      </c>
      <c r="AZ106" s="23">
        <f>'Activity data'!AZ65*ManureNEF*NtoN2O*kgtoGg</f>
        <v>1.1113196017153626</v>
      </c>
      <c r="BA106" s="23">
        <f>'Activity data'!BA65*ManureNEF*NtoN2O*kgtoGg</f>
        <v>1.1276271106138529</v>
      </c>
      <c r="BB106" s="23">
        <f>'Activity data'!BB65*ManureNEF*NtoN2O*kgtoGg</f>
        <v>1.1445757442578472</v>
      </c>
      <c r="BC106" s="23">
        <f>'Activity data'!BC65*ManureNEF*NtoN2O*kgtoGg</f>
        <v>1.1615243779018405</v>
      </c>
      <c r="BD106" s="23">
        <f>'Activity data'!BD65*ManureNEF*NtoN2O*kgtoGg</f>
        <v>1.1784730112582293</v>
      </c>
      <c r="BE106" s="23">
        <f>'Activity data'!BE65*ManureNEF*NtoN2O*kgtoGg</f>
        <v>1.1954216449022228</v>
      </c>
      <c r="BF106" s="23">
        <f>'Activity data'!BF65*ManureNEF*NtoN2O*kgtoGg</f>
        <v>1.2123702785462165</v>
      </c>
      <c r="BG106" s="23">
        <f>'Activity data'!BG65*ManureNEF*NtoN2O*kgtoGg</f>
        <v>1.2317176243609165</v>
      </c>
      <c r="BH106" s="23">
        <f>'Activity data'!BH65*ManureNEF*NtoN2O*kgtoGg</f>
        <v>1.251064969888011</v>
      </c>
      <c r="BI106" s="23">
        <f>'Activity data'!BI65*ManureNEF*NtoN2O*kgtoGg</f>
        <v>1.270412315702711</v>
      </c>
      <c r="BJ106" s="23">
        <f>'Activity data'!BJ65*ManureNEF*NtoN2O*kgtoGg</f>
        <v>1.2897596615174107</v>
      </c>
      <c r="BK106" s="23">
        <f>'Activity data'!BK65*ManureNEF*NtoN2O*kgtoGg</f>
        <v>1.3091070073321101</v>
      </c>
      <c r="BL106" s="23">
        <f>'Activity data'!BL65*ManureNEF*NtoN2O*kgtoGg</f>
        <v>1.3277715049504488</v>
      </c>
      <c r="BM106" s="23">
        <f>'Activity data'!BM65*ManureNEF*NtoN2O*kgtoGg</f>
        <v>1.3464360025687865</v>
      </c>
      <c r="BN106" s="23">
        <f>'Activity data'!BN65*ManureNEF*NtoN2O*kgtoGg</f>
        <v>1.3651005004747294</v>
      </c>
      <c r="BO106" s="23">
        <f>'Activity data'!BO65*ManureNEF*NtoN2O*kgtoGg</f>
        <v>1.3837649980930673</v>
      </c>
      <c r="BP106" s="23">
        <f>'Activity data'!BP65*ManureNEF*NtoN2O*kgtoGg</f>
        <v>1.4024294957114054</v>
      </c>
    </row>
    <row r="107" spans="1:68" x14ac:dyDescent="0.25">
      <c r="A107" t="str">
        <f t="shared" si="29"/>
        <v>3C Aggregated and non-CO2 emissions on land</v>
      </c>
      <c r="B107" t="str">
        <f t="shared" si="31"/>
        <v>3C4 Direct N2O from managed soils (N2O)</v>
      </c>
      <c r="C107" t="s">
        <v>497</v>
      </c>
      <c r="D107" t="str">
        <f>D91</f>
        <v xml:space="preserve"> - TMR</v>
      </c>
      <c r="E107" t="str">
        <f t="shared" si="32"/>
        <v>U&amp;D emissions - TMR</v>
      </c>
      <c r="F107" t="str">
        <f t="shared" ref="F107:F139" si="36">F106</f>
        <v>N2O</v>
      </c>
      <c r="G107" t="str">
        <f t="shared" ref="G107:G139" si="37">G106</f>
        <v>Gg N2O</v>
      </c>
      <c r="H107" s="23">
        <f>'Activity data'!H66*UDCPPEF*NtoN2O*kgtoGg</f>
        <v>0</v>
      </c>
      <c r="I107" s="23">
        <f>'Activity data'!I66*UDCPPEF*NtoN2O*kgtoGg</f>
        <v>0</v>
      </c>
      <c r="J107" s="23">
        <f>'Activity data'!J66*UDCPPEF*NtoN2O*kgtoGg</f>
        <v>0</v>
      </c>
      <c r="K107" s="23">
        <f>'Activity data'!K66*UDCPPEF*NtoN2O*kgtoGg</f>
        <v>0</v>
      </c>
      <c r="L107" s="23">
        <f>'Activity data'!L66*UDCPPEF*NtoN2O*kgtoGg</f>
        <v>0</v>
      </c>
      <c r="M107" s="23">
        <f>'Activity data'!M66*UDCPPEF*NtoN2O*kgtoGg</f>
        <v>0</v>
      </c>
      <c r="N107" s="23">
        <f>'Activity data'!N66*UDCPPEF*NtoN2O*kgtoGg</f>
        <v>0</v>
      </c>
      <c r="O107" s="23">
        <f>'Activity data'!O66*UDCPPEF*NtoN2O*kgtoGg</f>
        <v>0</v>
      </c>
      <c r="P107" s="23">
        <f>'Activity data'!P66*UDCPPEF*NtoN2O*kgtoGg</f>
        <v>0</v>
      </c>
      <c r="Q107" s="23">
        <f>'Activity data'!Q66*UDCPPEF*NtoN2O*kgtoGg</f>
        <v>0</v>
      </c>
      <c r="R107" s="23">
        <f>'Activity data'!R66*UDCPPEF*NtoN2O*kgtoGg</f>
        <v>0</v>
      </c>
      <c r="S107" s="23">
        <f>'Activity data'!S66*UDCPPEF*NtoN2O*kgtoGg</f>
        <v>0</v>
      </c>
      <c r="T107" s="23">
        <f>'Activity data'!T66*UDCPPEF*NtoN2O*kgtoGg</f>
        <v>0</v>
      </c>
      <c r="U107" s="23">
        <f>'Activity data'!U66*UDCPPEF*NtoN2O*kgtoGg</f>
        <v>0</v>
      </c>
      <c r="V107" s="23">
        <f>'Activity data'!V66*UDCPPEF*NtoN2O*kgtoGg</f>
        <v>0</v>
      </c>
      <c r="W107" s="23">
        <f>'Activity data'!W66*UDCPPEF*NtoN2O*kgtoGg</f>
        <v>0</v>
      </c>
      <c r="X107" s="23">
        <f>'Activity data'!X66*UDCPPEF*NtoN2O*kgtoGg</f>
        <v>0</v>
      </c>
      <c r="Y107" s="23">
        <f>'Activity data'!Y66*UDCPPEF*NtoN2O*kgtoGg</f>
        <v>0</v>
      </c>
      <c r="Z107" s="23">
        <f>'Activity data'!Z66*UDCPPEF*NtoN2O*kgtoGg</f>
        <v>0</v>
      </c>
      <c r="AA107" s="23">
        <f>'Activity data'!AA66*UDCPPEF*NtoN2O*kgtoGg</f>
        <v>0</v>
      </c>
      <c r="AB107" s="23">
        <f>'Activity data'!AB66*UDCPPEF*NtoN2O*kgtoGg</f>
        <v>0</v>
      </c>
      <c r="AC107" s="23">
        <f>'Activity data'!AC66*UDCPPEF*NtoN2O*kgtoGg</f>
        <v>0</v>
      </c>
      <c r="AD107" s="23">
        <f>'Activity data'!AD66*UDCPPEF*NtoN2O*kgtoGg</f>
        <v>0</v>
      </c>
      <c r="AE107" s="23">
        <f>'Activity data'!AE66*UDCPPEF*NtoN2O*kgtoGg</f>
        <v>0</v>
      </c>
      <c r="AF107" s="23">
        <f>'Activity data'!AF66*UDCPPEF*NtoN2O*kgtoGg</f>
        <v>0</v>
      </c>
      <c r="AG107" s="23">
        <f>'Activity data'!AG66*UDCPPEF*NtoN2O*kgtoGg</f>
        <v>0</v>
      </c>
      <c r="AH107" s="23">
        <f>'Activity data'!AH66*UDCPPEF*NtoN2O*kgtoGg</f>
        <v>0</v>
      </c>
      <c r="AI107" s="23">
        <f>'Activity data'!AI66*UDCPPEF*NtoN2O*kgtoGg</f>
        <v>0</v>
      </c>
      <c r="AJ107" s="23">
        <f>'Activity data'!AJ66*UDCPPEF*NtoN2O*kgtoGg</f>
        <v>0</v>
      </c>
      <c r="AK107" s="23">
        <f>'Activity data'!AK66*UDCPPEF*NtoN2O*kgtoGg</f>
        <v>0</v>
      </c>
      <c r="AL107" s="23">
        <f>'Activity data'!AL66*UDCPPEF*NtoN2O*kgtoGg</f>
        <v>0</v>
      </c>
      <c r="AM107" s="23">
        <f>'Activity data'!AM66*UDCPPEF*NtoN2O*kgtoGg</f>
        <v>0</v>
      </c>
      <c r="AN107" s="23">
        <f>'Activity data'!AN66*UDCPPEF*NtoN2O*kgtoGg</f>
        <v>0</v>
      </c>
      <c r="AO107" s="23">
        <f>'Activity data'!AO66*UDCPPEF*NtoN2O*kgtoGg</f>
        <v>0</v>
      </c>
      <c r="AP107" s="23">
        <f>'Activity data'!AP66*UDCPPEF*NtoN2O*kgtoGg</f>
        <v>0</v>
      </c>
      <c r="AQ107" s="23">
        <f>'Activity data'!AQ66*UDCPPEF*NtoN2O*kgtoGg</f>
        <v>0</v>
      </c>
      <c r="AR107" s="23">
        <f>'Activity data'!AR66*UDCPPEF*NtoN2O*kgtoGg</f>
        <v>0</v>
      </c>
      <c r="AS107" s="23">
        <f>'Activity data'!AS66*UDCPPEF*NtoN2O*kgtoGg</f>
        <v>0</v>
      </c>
      <c r="AT107" s="23">
        <f>'Activity data'!AT66*UDCPPEF*NtoN2O*kgtoGg</f>
        <v>0</v>
      </c>
      <c r="AU107" s="23">
        <f>'Activity data'!AU66*UDCPPEF*NtoN2O*kgtoGg</f>
        <v>0</v>
      </c>
      <c r="AV107" s="23">
        <f>'Activity data'!AV66*UDCPPEF*NtoN2O*kgtoGg</f>
        <v>0</v>
      </c>
      <c r="AW107" s="23">
        <f>'Activity data'!AW66*UDCPPEF*NtoN2O*kgtoGg</f>
        <v>0</v>
      </c>
      <c r="AX107" s="23">
        <f>'Activity data'!AX66*UDCPPEF*NtoN2O*kgtoGg</f>
        <v>0</v>
      </c>
      <c r="AY107" s="23">
        <f>'Activity data'!AY66*UDCPPEF*NtoN2O*kgtoGg</f>
        <v>0</v>
      </c>
      <c r="AZ107" s="23">
        <f>'Activity data'!AZ66*UDCPPEF*NtoN2O*kgtoGg</f>
        <v>0</v>
      </c>
      <c r="BA107" s="23">
        <f>'Activity data'!BA66*UDCPPEF*NtoN2O*kgtoGg</f>
        <v>0</v>
      </c>
      <c r="BB107" s="23">
        <f>'Activity data'!BB66*UDCPPEF*NtoN2O*kgtoGg</f>
        <v>0</v>
      </c>
      <c r="BC107" s="23">
        <f>'Activity data'!BC66*UDCPPEF*NtoN2O*kgtoGg</f>
        <v>0</v>
      </c>
      <c r="BD107" s="23">
        <f>'Activity data'!BD66*UDCPPEF*NtoN2O*kgtoGg</f>
        <v>0</v>
      </c>
      <c r="BE107" s="23">
        <f>'Activity data'!BE66*UDCPPEF*NtoN2O*kgtoGg</f>
        <v>0</v>
      </c>
      <c r="BF107" s="23">
        <f>'Activity data'!BF66*UDCPPEF*NtoN2O*kgtoGg</f>
        <v>0</v>
      </c>
      <c r="BG107" s="23">
        <f>'Activity data'!BG66*UDCPPEF*NtoN2O*kgtoGg</f>
        <v>0</v>
      </c>
      <c r="BH107" s="23">
        <f>'Activity data'!BH66*UDCPPEF*NtoN2O*kgtoGg</f>
        <v>0</v>
      </c>
      <c r="BI107" s="23">
        <f>'Activity data'!BI66*UDCPPEF*NtoN2O*kgtoGg</f>
        <v>0</v>
      </c>
      <c r="BJ107" s="23">
        <f>'Activity data'!BJ66*UDCPPEF*NtoN2O*kgtoGg</f>
        <v>0</v>
      </c>
      <c r="BK107" s="23">
        <f>'Activity data'!BK66*UDCPPEF*NtoN2O*kgtoGg</f>
        <v>0</v>
      </c>
      <c r="BL107" s="23">
        <f>'Activity data'!BL66*UDCPPEF*NtoN2O*kgtoGg</f>
        <v>0</v>
      </c>
      <c r="BM107" s="23">
        <f>'Activity data'!BM66*UDCPPEF*NtoN2O*kgtoGg</f>
        <v>0</v>
      </c>
      <c r="BN107" s="23">
        <f>'Activity data'!BN66*UDCPPEF*NtoN2O*kgtoGg</f>
        <v>0</v>
      </c>
      <c r="BO107" s="23">
        <f>'Activity data'!BO66*UDCPPEF*NtoN2O*kgtoGg</f>
        <v>0</v>
      </c>
      <c r="BP107" s="23">
        <f>'Activity data'!BP66*UDCPPEF*NtoN2O*kgtoGg</f>
        <v>0</v>
      </c>
    </row>
    <row r="108" spans="1:68" x14ac:dyDescent="0.25">
      <c r="A108" t="str">
        <f t="shared" si="29"/>
        <v>3C Aggregated and non-CO2 emissions on land</v>
      </c>
      <c r="B108" t="str">
        <f t="shared" si="31"/>
        <v>3C4 Direct N2O from managed soils (N2O)</v>
      </c>
      <c r="C108" t="s">
        <v>497</v>
      </c>
      <c r="D108" t="str">
        <f t="shared" ref="D108:D122" si="38">D92</f>
        <v xml:space="preserve"> - Pasture</v>
      </c>
      <c r="E108" t="str">
        <f t="shared" si="32"/>
        <v>U&amp;D emissions - Pasture</v>
      </c>
      <c r="F108" t="str">
        <f t="shared" si="36"/>
        <v>N2O</v>
      </c>
      <c r="G108" t="str">
        <f t="shared" si="37"/>
        <v>Gg N2O</v>
      </c>
      <c r="H108" s="23">
        <f>'Activity data'!H67*UDCPPEF*NtoN2O*kgtoGg</f>
        <v>0.88103728610164056</v>
      </c>
      <c r="I108" s="23">
        <f>'Activity data'!I67*UDCPPEF*NtoN2O*kgtoGg</f>
        <v>1.0143027628293235</v>
      </c>
      <c r="J108" s="23">
        <f>'Activity data'!J67*UDCPPEF*NtoN2O*kgtoGg</f>
        <v>0.87750313013359393</v>
      </c>
      <c r="K108" s="23">
        <f>'Activity data'!K67*UDCPPEF*NtoN2O*kgtoGg</f>
        <v>0.93067430812476426</v>
      </c>
      <c r="L108" s="23">
        <f>'Activity data'!L67*UDCPPEF*NtoN2O*kgtoGg</f>
        <v>0.86336650626140843</v>
      </c>
      <c r="M108" s="23">
        <f>'Activity data'!M67*UDCPPEF*NtoN2O*kgtoGg</f>
        <v>0.92360599618867145</v>
      </c>
      <c r="N108" s="23">
        <f>'Activity data'!N67*UDCPPEF*NtoN2O*kgtoGg</f>
        <v>0.92714015215671775</v>
      </c>
      <c r="O108" s="23">
        <f>'Activity data'!O67*UDCPPEF*NtoN2O*kgtoGg</f>
        <v>0.89382378297479725</v>
      </c>
      <c r="P108" s="23">
        <f>'Activity data'!P67*UDCPPEF*NtoN2O*kgtoGg</f>
        <v>0.88322131507065782</v>
      </c>
      <c r="Q108" s="23">
        <f>'Activity data'!Q67*UDCPPEF*NtoN2O*kgtoGg</f>
        <v>0.86757572572896902</v>
      </c>
      <c r="R108" s="23">
        <f>'Activity data'!R67*UDCPPEF*NtoN2O*kgtoGg</f>
        <v>1.1171109628436178</v>
      </c>
      <c r="S108" s="23">
        <f>'Activity data'!S67*UDCPPEF*NtoN2O*kgtoGg</f>
        <v>1.1135768068755714</v>
      </c>
      <c r="T108" s="23">
        <f>'Activity data'!T67*UDCPPEF*NtoN2O*kgtoGg</f>
        <v>0.97105898924277778</v>
      </c>
      <c r="U108" s="23">
        <f>'Activity data'!U67*UDCPPEF*NtoN2O*kgtoGg</f>
        <v>0.88322131507065782</v>
      </c>
      <c r="V108" s="23">
        <f>'Activity data'!V67*UDCPPEF*NtoN2O*kgtoGg</f>
        <v>0.85276403835726899</v>
      </c>
      <c r="W108" s="23">
        <f>'Activity data'!W67*UDCPPEF*NtoN2O*kgtoGg</f>
        <v>0.91300352828453224</v>
      </c>
      <c r="X108" s="23">
        <f>'Activity data'!X67*UDCPPEF*NtoN2O*kgtoGg</f>
        <v>0.89314871947528263</v>
      </c>
      <c r="Y108" s="23">
        <f>'Activity data'!Y67*UDCPPEF*NtoN2O*kgtoGg</f>
        <v>0.88675547103870456</v>
      </c>
      <c r="Z108" s="23">
        <f>'Activity data'!Z67*UDCPPEF*NtoN2O*kgtoGg</f>
        <v>1.0859786226307144</v>
      </c>
      <c r="AA108" s="23">
        <f>'Activity data'!AA67*UDCPPEF*NtoN2O*kgtoGg</f>
        <v>1.1129017433760566</v>
      </c>
      <c r="AB108" s="23">
        <f>'Activity data'!AB67*UDCPPEF*NtoN2O*kgtoGg</f>
        <v>1.1129017433760566</v>
      </c>
      <c r="AC108" s="23">
        <f>'Activity data'!AC67*UDCPPEF*NtoN2O*kgtoGg</f>
        <v>1.0725170622580433</v>
      </c>
      <c r="AD108" s="23">
        <f>'Activity data'!AD67*UDCPPEF*NtoN2O*kgtoGg</f>
        <v>1.0328074446395441</v>
      </c>
      <c r="AE108" s="23">
        <f>'Activity data'!AE67*UDCPPEF*NtoN2O*kgtoGg</f>
        <v>1.1135768068755714</v>
      </c>
      <c r="AF108" s="23">
        <f>'Activity data'!AF67*UDCPPEF*NtoN2O*kgtoGg</f>
        <v>1.0526622534487937</v>
      </c>
      <c r="AG108" s="23">
        <f>'Activity data'!AG67*UDCPPEF*NtoN2O*kgtoGg</f>
        <v>1.0654487503219503</v>
      </c>
      <c r="AH108" s="23">
        <f>'Activity data'!AH67*UDCPPEF*NtoN2O*kgtoGg</f>
        <v>1.1051583679404495</v>
      </c>
      <c r="AI108" s="23">
        <f>'Activity data'!AI67*UDCPPEF*NtoN2O*kgtoGg</f>
        <v>1.1887868226450087</v>
      </c>
      <c r="AJ108" s="23">
        <f>'Activity data'!AJ67*UDCPPEF*NtoN2O*kgtoGg</f>
        <v>1.0833043378882803</v>
      </c>
      <c r="AK108" s="23">
        <f>'Activity data'!AK67*UDCPPEF*NtoN2O*kgtoGg</f>
        <v>1.0871426410904328</v>
      </c>
      <c r="AL108" s="23">
        <f>'Activity data'!AL67*UDCPPEF*NtoN2O*kgtoGg</f>
        <v>1.0849924910745261</v>
      </c>
      <c r="AM108" s="23">
        <f>'Activity data'!AM67*UDCPPEF*NtoN2O*kgtoGg</f>
        <v>1.0897672519410282</v>
      </c>
      <c r="AN108" s="23">
        <f>'Activity data'!AN67*UDCPPEF*NtoN2O*kgtoGg</f>
        <v>1.0944811386388456</v>
      </c>
      <c r="AO108" s="23">
        <f>'Activity data'!AO67*UDCPPEF*NtoN2O*kgtoGg</f>
        <v>1.0992086899084381</v>
      </c>
      <c r="AP108" s="23">
        <f>'Activity data'!AP67*UDCPPEF*NtoN2O*kgtoGg</f>
        <v>1.1038838370567534</v>
      </c>
      <c r="AQ108" s="23">
        <f>'Activity data'!AQ67*UDCPPEF*NtoN2O*kgtoGg</f>
        <v>1.1086197676488132</v>
      </c>
      <c r="AR108" s="23">
        <f>'Activity data'!AR67*UDCPPEF*NtoN2O*kgtoGg</f>
        <v>1.1139048802015152</v>
      </c>
      <c r="AS108" s="23">
        <f>'Activity data'!AS67*UDCPPEF*NtoN2O*kgtoGg</f>
        <v>1.1191738762827736</v>
      </c>
      <c r="AT108" s="23">
        <f>'Activity data'!AT67*UDCPPEF*NtoN2O*kgtoGg</f>
        <v>1.1245251482534679</v>
      </c>
      <c r="AU108" s="23">
        <f>'Activity data'!AU67*UDCPPEF*NtoN2O*kgtoGg</f>
        <v>1.1299375130031828</v>
      </c>
      <c r="AV108" s="23">
        <f>'Activity data'!AV67*UDCPPEF*NtoN2O*kgtoGg</f>
        <v>1.1354165466263237</v>
      </c>
      <c r="AW108" s="23">
        <f>'Activity data'!AW67*UDCPPEF*NtoN2O*kgtoGg</f>
        <v>1.1411674644122656</v>
      </c>
      <c r="AX108" s="23">
        <f>'Activity data'!AX67*UDCPPEF*NtoN2O*kgtoGg</f>
        <v>1.1468087771051867</v>
      </c>
      <c r="AY108" s="23">
        <f>'Activity data'!AY67*UDCPPEF*NtoN2O*kgtoGg</f>
        <v>1.1526973036890171</v>
      </c>
      <c r="AZ108" s="23">
        <f>'Activity data'!AZ67*UDCPPEF*NtoN2O*kgtoGg</f>
        <v>1.1587586542452164</v>
      </c>
      <c r="BA108" s="23">
        <f>'Activity data'!BA67*UDCPPEF*NtoN2O*kgtoGg</f>
        <v>1.165002182807789</v>
      </c>
      <c r="BB108" s="23">
        <f>'Activity data'!BB67*UDCPPEF*NtoN2O*kgtoGg</f>
        <v>1.1714632578531559</v>
      </c>
      <c r="BC108" s="23">
        <f>'Activity data'!BC67*UDCPPEF*NtoN2O*kgtoGg</f>
        <v>1.1780496403250209</v>
      </c>
      <c r="BD108" s="23">
        <f>'Activity data'!BD67*UDCPPEF*NtoN2O*kgtoGg</f>
        <v>1.1846825739363407</v>
      </c>
      <c r="BE108" s="23">
        <f>'Activity data'!BE67*UDCPPEF*NtoN2O*kgtoGg</f>
        <v>1.1914419967846961</v>
      </c>
      <c r="BF108" s="23">
        <f>'Activity data'!BF67*UDCPPEF*NtoN2O*kgtoGg</f>
        <v>1.19839869054744</v>
      </c>
      <c r="BG108" s="23">
        <f>'Activity data'!BG67*UDCPPEF*NtoN2O*kgtoGg</f>
        <v>1.2059972155989056</v>
      </c>
      <c r="BH108" s="23">
        <f>'Activity data'!BH67*UDCPPEF*NtoN2O*kgtoGg</f>
        <v>1.2137471791259193</v>
      </c>
      <c r="BI108" s="23">
        <f>'Activity data'!BI67*UDCPPEF*NtoN2O*kgtoGg</f>
        <v>1.2216399484215361</v>
      </c>
      <c r="BJ108" s="23">
        <f>'Activity data'!BJ67*UDCPPEF*NtoN2O*kgtoGg</f>
        <v>1.2296968321552886</v>
      </c>
      <c r="BK108" s="23">
        <f>'Activity data'!BK67*UDCPPEF*NtoN2O*kgtoGg</f>
        <v>1.2380023138568252</v>
      </c>
      <c r="BL108" s="23">
        <f>'Activity data'!BL67*UDCPPEF*NtoN2O*kgtoGg</f>
        <v>1.2463760656031233</v>
      </c>
      <c r="BM108" s="23">
        <f>'Activity data'!BM67*UDCPPEF*NtoN2O*kgtoGg</f>
        <v>1.2549641654891082</v>
      </c>
      <c r="BN108" s="23">
        <f>'Activity data'!BN67*UDCPPEF*NtoN2O*kgtoGg</f>
        <v>1.2636060164728256</v>
      </c>
      <c r="BO108" s="23">
        <f>'Activity data'!BO67*UDCPPEF*NtoN2O*kgtoGg</f>
        <v>1.2724816423048189</v>
      </c>
      <c r="BP108" s="23">
        <f>'Activity data'!BP67*UDCPPEF*NtoN2O*kgtoGg</f>
        <v>1.2816105512335654</v>
      </c>
    </row>
    <row r="109" spans="1:68" x14ac:dyDescent="0.25">
      <c r="A109" t="str">
        <f t="shared" si="29"/>
        <v>3C Aggregated and non-CO2 emissions on land</v>
      </c>
      <c r="B109" t="str">
        <f t="shared" si="31"/>
        <v>3C4 Direct N2O from managed soils (N2O)</v>
      </c>
      <c r="C109" t="s">
        <v>497</v>
      </c>
      <c r="D109" t="str">
        <f t="shared" si="38"/>
        <v xml:space="preserve"> - Non-lactating</v>
      </c>
      <c r="E109" t="str">
        <f t="shared" si="32"/>
        <v>U&amp;D emissions - Non-lactating</v>
      </c>
      <c r="F109" t="str">
        <f t="shared" si="36"/>
        <v>N2O</v>
      </c>
      <c r="G109" t="str">
        <f t="shared" si="37"/>
        <v>Gg N2O</v>
      </c>
      <c r="H109" s="23">
        <f>'Activity data'!H68*UDCPPEF*NtoN2O*kgtoGg</f>
        <v>0.70829542150320102</v>
      </c>
      <c r="I109" s="23">
        <f>'Activity data'!I68*UDCPPEF*NtoN2O*kgtoGg</f>
        <v>0.80509081056291543</v>
      </c>
      <c r="J109" s="23">
        <f>'Activity data'!J68*UDCPPEF*NtoN2O*kgtoGg</f>
        <v>0.69640564763455981</v>
      </c>
      <c r="K109" s="23">
        <f>'Activity data'!K68*UDCPPEF*NtoN2O*kgtoGg</f>
        <v>0.72881054383034738</v>
      </c>
      <c r="L109" s="23">
        <f>'Activity data'!L68*UDCPPEF*NtoN2O*kgtoGg</f>
        <v>0.64884655215999665</v>
      </c>
      <c r="M109" s="23">
        <f>'Activity data'!M68*UDCPPEF*NtoN2O*kgtoGg</f>
        <v>0.7050309960930653</v>
      </c>
      <c r="N109" s="23">
        <f>'Activity data'!N68*UDCPPEF*NtoN2O*kgtoGg</f>
        <v>0.71692076996170606</v>
      </c>
      <c r="O109" s="23">
        <f>'Activity data'!O68*UDCPPEF*NtoN2O*kgtoGg</f>
        <v>0.69272192269677746</v>
      </c>
      <c r="P109" s="23">
        <f>'Activity data'!P68*UDCPPEF*NtoN2O*kgtoGg</f>
        <v>0.65705260109085506</v>
      </c>
      <c r="Q109" s="23">
        <f>'Activity data'!Q68*UDCPPEF*NtoN2O*kgtoGg</f>
        <v>0.69230262316913072</v>
      </c>
      <c r="R109" s="23">
        <f>'Activity data'!R68*UDCPPEF*NtoN2O*kgtoGg</f>
        <v>0.85801082908584869</v>
      </c>
      <c r="S109" s="23">
        <f>'Activity data'!S68*UDCPPEF*NtoN2O*kgtoGg</f>
        <v>0.84612105521720782</v>
      </c>
      <c r="T109" s="23">
        <f>'Activity data'!T68*UDCPPEF*NtoN2O*kgtoGg</f>
        <v>0.77678893883255762</v>
      </c>
      <c r="U109" s="23">
        <f>'Activity data'!U68*UDCPPEF*NtoN2O*kgtoGg</f>
        <v>0.65705260109085506</v>
      </c>
      <c r="V109" s="23">
        <f>'Activity data'!V68*UDCPPEF*NtoN2O*kgtoGg</f>
        <v>0.6131772305540738</v>
      </c>
      <c r="W109" s="23">
        <f>'Activity data'!W68*UDCPPEF*NtoN2O*kgtoGg</f>
        <v>0.66936167448714268</v>
      </c>
      <c r="X109" s="23">
        <f>'Activity data'!X68*UDCPPEF*NtoN2O*kgtoGg</f>
        <v>0.66115562555628415</v>
      </c>
      <c r="Y109" s="23">
        <f>'Activity data'!Y68*UDCPPEF*NtoN2O*kgtoGg</f>
        <v>0.66894237495949582</v>
      </c>
      <c r="Z109" s="23">
        <f>'Activity data'!Z68*UDCPPEF*NtoN2O*kgtoGg</f>
        <v>0.78256916140857435</v>
      </c>
      <c r="AA109" s="23">
        <f>'Activity data'!AA68*UDCPPEF*NtoN2O*kgtoGg</f>
        <v>0.8145547580767144</v>
      </c>
      <c r="AB109" s="23">
        <f>'Activity data'!AB68*UDCPPEF*NtoN2O*kgtoGg</f>
        <v>0.8145547580767144</v>
      </c>
      <c r="AC109" s="23">
        <f>'Activity data'!AC68*UDCPPEF*NtoN2O*kgtoGg</f>
        <v>0.76657636307450427</v>
      </c>
      <c r="AD109" s="23">
        <f>'Activity data'!AD68*UDCPPEF*NtoN2O*kgtoGg</f>
        <v>0.75016426521278701</v>
      </c>
      <c r="AE109" s="23">
        <f>'Activity data'!AE68*UDCPPEF*NtoN2O*kgtoGg</f>
        <v>0.84612105521720782</v>
      </c>
      <c r="AF109" s="23">
        <f>'Activity data'!AF68*UDCPPEF*NtoN2O*kgtoGg</f>
        <v>0.75837031414364542</v>
      </c>
      <c r="AG109" s="23">
        <f>'Activity data'!AG68*UDCPPEF*NtoN2O*kgtoGg</f>
        <v>0.7427968153372223</v>
      </c>
      <c r="AH109" s="23">
        <f>'Activity data'!AH68*UDCPPEF*NtoN2O*kgtoGg</f>
        <v>0.75920891319893924</v>
      </c>
      <c r="AI109" s="23">
        <f>'Activity data'!AI68*UDCPPEF*NtoN2O*kgtoGg</f>
        <v>0.83548917993150729</v>
      </c>
      <c r="AJ109" s="23">
        <f>'Activity data'!AJ68*UDCPPEF*NtoN2O*kgtoGg</f>
        <v>0.79622121422267178</v>
      </c>
      <c r="AK109" s="23">
        <f>'Activity data'!AK68*UDCPPEF*NtoN2O*kgtoGg</f>
        <v>0.79850770923118408</v>
      </c>
      <c r="AL109" s="23">
        <f>'Activity data'!AL68*UDCPPEF*NtoN2O*kgtoGg</f>
        <v>0.79722685490050837</v>
      </c>
      <c r="AM109" s="23">
        <f>'Activity data'!AM68*UDCPPEF*NtoN2O*kgtoGg</f>
        <v>0.80007120208026616</v>
      </c>
      <c r="AN109" s="23">
        <f>'Activity data'!AN68*UDCPPEF*NtoN2O*kgtoGg</f>
        <v>0.80287928623557925</v>
      </c>
      <c r="AO109" s="23">
        <f>'Activity data'!AO68*UDCPPEF*NtoN2O*kgtoGg</f>
        <v>0.80569551043963572</v>
      </c>
      <c r="AP109" s="23">
        <f>'Activity data'!AP68*UDCPPEF*NtoN2O*kgtoGg</f>
        <v>0.80848051726574821</v>
      </c>
      <c r="AQ109" s="23">
        <f>'Activity data'!AQ68*UDCPPEF*NtoN2O*kgtoGg</f>
        <v>0.81130173307103737</v>
      </c>
      <c r="AR109" s="23">
        <f>'Activity data'!AR68*UDCPPEF*NtoN2O*kgtoGg</f>
        <v>0.81445009911580502</v>
      </c>
      <c r="AS109" s="23">
        <f>'Activity data'!AS68*UDCPPEF*NtoN2O*kgtoGg</f>
        <v>0.81758886450383161</v>
      </c>
      <c r="AT109" s="23">
        <f>'Activity data'!AT68*UDCPPEF*NtoN2O*kgtoGg</f>
        <v>0.82077664202055411</v>
      </c>
      <c r="AU109" s="23">
        <f>'Activity data'!AU68*UDCPPEF*NtoN2O*kgtoGg</f>
        <v>0.82400081278891091</v>
      </c>
      <c r="AV109" s="23">
        <f>'Activity data'!AV68*UDCPPEF*NtoN2O*kgtoGg</f>
        <v>0.82726469851418605</v>
      </c>
      <c r="AW109" s="23">
        <f>'Activity data'!AW68*UDCPPEF*NtoN2O*kgtoGg</f>
        <v>0.83069054689545718</v>
      </c>
      <c r="AX109" s="23">
        <f>'Activity data'!AX68*UDCPPEF*NtoN2O*kgtoGg</f>
        <v>0.83405110301478291</v>
      </c>
      <c r="AY109" s="23">
        <f>'Activity data'!AY68*UDCPPEF*NtoN2O*kgtoGg</f>
        <v>0.83755892559478895</v>
      </c>
      <c r="AZ109" s="23">
        <f>'Activity data'!AZ68*UDCPPEF*NtoN2O*kgtoGg</f>
        <v>0.84116970021619442</v>
      </c>
      <c r="BA109" s="23">
        <f>'Activity data'!BA68*UDCPPEF*NtoN2O*kgtoGg</f>
        <v>0.84488899912041371</v>
      </c>
      <c r="BB109" s="23">
        <f>'Activity data'!BB68*UDCPPEF*NtoN2O*kgtoGg</f>
        <v>0.84873789147278722</v>
      </c>
      <c r="BC109" s="23">
        <f>'Activity data'!BC68*UDCPPEF*NtoN2O*kgtoGg</f>
        <v>0.85266143003994044</v>
      </c>
      <c r="BD109" s="23">
        <f>'Activity data'!BD68*UDCPPEF*NtoN2O*kgtoGg</f>
        <v>0.85661269933663675</v>
      </c>
      <c r="BE109" s="23">
        <f>'Activity data'!BE68*UDCPPEF*NtoN2O*kgtoGg</f>
        <v>0.8606393188581275</v>
      </c>
      <c r="BF109" s="23">
        <f>'Activity data'!BF68*UDCPPEF*NtoN2O*kgtoGg</f>
        <v>0.86478345357769393</v>
      </c>
      <c r="BG109" s="23">
        <f>'Activity data'!BG68*UDCPPEF*NtoN2O*kgtoGg</f>
        <v>0.86930993017091607</v>
      </c>
      <c r="BH109" s="23">
        <f>'Activity data'!BH68*UDCPPEF*NtoN2O*kgtoGg</f>
        <v>0.87392661936595739</v>
      </c>
      <c r="BI109" s="23">
        <f>'Activity data'!BI68*UDCPPEF*NtoN2O*kgtoGg</f>
        <v>0.87862837861927723</v>
      </c>
      <c r="BJ109" s="23">
        <f>'Activity data'!BJ68*UDCPPEF*NtoN2O*kgtoGg</f>
        <v>0.88342790160408413</v>
      </c>
      <c r="BK109" s="23">
        <f>'Activity data'!BK68*UDCPPEF*NtoN2O*kgtoGg</f>
        <v>0.88837551555058114</v>
      </c>
      <c r="BL109" s="23">
        <f>'Activity data'!BL68*UDCPPEF*NtoN2O*kgtoGg</f>
        <v>0.89336379827918244</v>
      </c>
      <c r="BM109" s="23">
        <f>'Activity data'!BM68*UDCPPEF*NtoN2O*kgtoGg</f>
        <v>0.89847976918812411</v>
      </c>
      <c r="BN109" s="23">
        <f>'Activity data'!BN68*UDCPPEF*NtoN2O*kgtoGg</f>
        <v>0.90362775987512756</v>
      </c>
      <c r="BO109" s="23">
        <f>'Activity data'!BO68*UDCPPEF*NtoN2O*kgtoGg</f>
        <v>0.90891501132282337</v>
      </c>
      <c r="BP109" s="23">
        <f>'Activity data'!BP68*UDCPPEF*NtoN2O*kgtoGg</f>
        <v>0.91435314468525219</v>
      </c>
    </row>
    <row r="110" spans="1:68" x14ac:dyDescent="0.25">
      <c r="A110" t="str">
        <f t="shared" si="29"/>
        <v>3C Aggregated and non-CO2 emissions on land</v>
      </c>
      <c r="B110" t="str">
        <f t="shared" si="31"/>
        <v>3C4 Direct N2O from managed soils (N2O)</v>
      </c>
      <c r="C110" t="s">
        <v>497</v>
      </c>
      <c r="D110" t="str">
        <f t="shared" si="38"/>
        <v xml:space="preserve"> - Commercial cattle</v>
      </c>
      <c r="E110" t="str">
        <f t="shared" si="32"/>
        <v>U&amp;D emissions - Commercial cattle</v>
      </c>
      <c r="F110" t="str">
        <f t="shared" si="36"/>
        <v>N2O</v>
      </c>
      <c r="G110" t="str">
        <f t="shared" si="37"/>
        <v>Gg N2O</v>
      </c>
      <c r="H110" s="23">
        <f>'Activity data'!H69*UDCPPEF*NtoN2O*kgtoGg</f>
        <v>17.576597352821153</v>
      </c>
      <c r="I110" s="23">
        <f>'Activity data'!I69*UDCPPEF*NtoN2O*kgtoGg</f>
        <v>16.817955407552034</v>
      </c>
      <c r="J110" s="23">
        <f>'Activity data'!J69*UDCPPEF*NtoN2O*kgtoGg</f>
        <v>16.811844812764484</v>
      </c>
      <c r="K110" s="23">
        <f>'Activity data'!K69*UDCPPEF*NtoN2O*kgtoGg</f>
        <v>15.728077971837282</v>
      </c>
      <c r="L110" s="23">
        <f>'Activity data'!L69*UDCPPEF*NtoN2O*kgtoGg</f>
        <v>16.202229187630483</v>
      </c>
      <c r="M110" s="23">
        <f>'Activity data'!M69*UDCPPEF*NtoN2O*kgtoGg</f>
        <v>16.570618125708414</v>
      </c>
      <c r="N110" s="23">
        <f>'Activity data'!N69*UDCPPEF*NtoN2O*kgtoGg</f>
        <v>17.258021364656891</v>
      </c>
      <c r="O110" s="23">
        <f>'Activity data'!O69*UDCPPEF*NtoN2O*kgtoGg</f>
        <v>17.911777657623301</v>
      </c>
      <c r="P110" s="23">
        <f>'Activity data'!P69*UDCPPEF*NtoN2O*kgtoGg</f>
        <v>18.066914572545961</v>
      </c>
      <c r="Q110" s="23">
        <f>'Activity data'!Q69*UDCPPEF*NtoN2O*kgtoGg</f>
        <v>17.774559997457377</v>
      </c>
      <c r="R110" s="23">
        <f>'Activity data'!R69*UDCPPEF*NtoN2O*kgtoGg</f>
        <v>16.567111624058178</v>
      </c>
      <c r="S110" s="23">
        <f>'Activity data'!S69*UDCPPEF*NtoN2O*kgtoGg</f>
        <v>16.653201396191591</v>
      </c>
      <c r="T110" s="23">
        <f>'Activity data'!T69*UDCPPEF*NtoN2O*kgtoGg</f>
        <v>15.520936543469553</v>
      </c>
      <c r="U110" s="23">
        <f>'Activity data'!U69*UDCPPEF*NtoN2O*kgtoGg</f>
        <v>15.926917241886068</v>
      </c>
      <c r="V110" s="23">
        <f>'Activity data'!V69*UDCPPEF*NtoN2O*kgtoGg</f>
        <v>16.073751998489783</v>
      </c>
      <c r="W110" s="23">
        <f>'Activity data'!W69*UDCPPEF*NtoN2O*kgtoGg</f>
        <v>16.210093033243147</v>
      </c>
      <c r="X110" s="23">
        <f>'Activity data'!X69*UDCPPEF*NtoN2O*kgtoGg</f>
        <v>15.840827469752652</v>
      </c>
      <c r="Y110" s="23">
        <f>'Activity data'!Y69*UDCPPEF*NtoN2O*kgtoGg</f>
        <v>16.304923276401787</v>
      </c>
      <c r="Z110" s="23">
        <f>'Activity data'!Z69*UDCPPEF*NtoN2O*kgtoGg</f>
        <v>15.851842654807969</v>
      </c>
      <c r="AA110" s="23">
        <f>'Activity data'!AA69*UDCPPEF*NtoN2O*kgtoGg</f>
        <v>15.585679412511292</v>
      </c>
      <c r="AB110" s="23">
        <f>'Activity data'!AB69*UDCPPEF*NtoN2O*kgtoGg</f>
        <v>15.5366840017385</v>
      </c>
      <c r="AC110" s="23">
        <f>'Activity data'!AC69*UDCPPEF*NtoN2O*kgtoGg</f>
        <v>15.48089495887754</v>
      </c>
      <c r="AD110" s="23">
        <f>'Activity data'!AD69*UDCPPEF*NtoN2O*kgtoGg</f>
        <v>18.319837333366273</v>
      </c>
      <c r="AE110" s="23">
        <f>'Activity data'!AE69*UDCPPEF*NtoN2O*kgtoGg</f>
        <v>15.202517832217547</v>
      </c>
      <c r="AF110" s="23">
        <f>'Activity data'!AF69*UDCPPEF*NtoN2O*kgtoGg</f>
        <v>15.551940721663751</v>
      </c>
      <c r="AG110" s="23">
        <f>'Activity data'!AG69*UDCPPEF*NtoN2O*kgtoGg</f>
        <v>15.195167070302231</v>
      </c>
      <c r="AH110" s="23">
        <f>'Activity data'!AH69*UDCPPEF*NtoN2O*kgtoGg</f>
        <v>14.467320460114321</v>
      </c>
      <c r="AI110" s="23">
        <f>'Activity data'!AI69*UDCPPEF*NtoN2O*kgtoGg</f>
        <v>13.459874174590569</v>
      </c>
      <c r="AJ110" s="23">
        <f>'Activity data'!AJ69*UDCPPEF*NtoN2O*kgtoGg</f>
        <v>15.081167562282292</v>
      </c>
      <c r="AK110" s="23">
        <f>'Activity data'!AK69*UDCPPEF*NtoN2O*kgtoGg</f>
        <v>15.035369633922251</v>
      </c>
      <c r="AL110" s="23">
        <f>'Activity data'!AL69*UDCPPEF*NtoN2O*kgtoGg</f>
        <v>15.056088788958014</v>
      </c>
      <c r="AM110" s="23">
        <f>'Activity data'!AM69*UDCPPEF*NtoN2O*kgtoGg</f>
        <v>14.999846051928074</v>
      </c>
      <c r="AN110" s="23">
        <f>'Activity data'!AN69*UDCPPEF*NtoN2O*kgtoGg</f>
        <v>14.944279478234817</v>
      </c>
      <c r="AO110" s="23">
        <f>'Activity data'!AO69*UDCPPEF*NtoN2O*kgtoGg</f>
        <v>14.888561124536405</v>
      </c>
      <c r="AP110" s="23">
        <f>'Activity data'!AP69*UDCPPEF*NtoN2O*kgtoGg</f>
        <v>14.833424852584038</v>
      </c>
      <c r="AQ110" s="23">
        <f>'Activity data'!AQ69*UDCPPEF*NtoN2O*kgtoGg</f>
        <v>14.77761342502739</v>
      </c>
      <c r="AR110" s="23">
        <f>'Activity data'!AR69*UDCPPEF*NtoN2O*kgtoGg</f>
        <v>14.715434503143419</v>
      </c>
      <c r="AS110" s="23">
        <f>'Activity data'!AS69*UDCPPEF*NtoN2O*kgtoGg</f>
        <v>14.653434595879084</v>
      </c>
      <c r="AT110" s="23">
        <f>'Activity data'!AT69*UDCPPEF*NtoN2O*kgtoGg</f>
        <v>14.590520804511488</v>
      </c>
      <c r="AU110" s="23">
        <f>'Activity data'!AU69*UDCPPEF*NtoN2O*kgtoGg</f>
        <v>14.526928421639711</v>
      </c>
      <c r="AV110" s="23">
        <f>'Activity data'!AV69*UDCPPEF*NtoN2O*kgtoGg</f>
        <v>14.46259551047922</v>
      </c>
      <c r="AW110" s="23">
        <f>'Activity data'!AW69*UDCPPEF*NtoN2O*kgtoGg</f>
        <v>14.395360581320226</v>
      </c>
      <c r="AX110" s="23">
        <f>'Activity data'!AX69*UDCPPEF*NtoN2O*kgtoGg</f>
        <v>14.329343097000843</v>
      </c>
      <c r="AY110" s="23">
        <f>'Activity data'!AY69*UDCPPEF*NtoN2O*kgtoGg</f>
        <v>14.260579670323066</v>
      </c>
      <c r="AZ110" s="23">
        <f>'Activity data'!AZ69*UDCPPEF*NtoN2O*kgtoGg</f>
        <v>14.189896591640045</v>
      </c>
      <c r="BA110" s="23">
        <f>'Activity data'!BA69*UDCPPEF*NtoN2O*kgtoGg</f>
        <v>14.117189960429926</v>
      </c>
      <c r="BB110" s="23">
        <f>'Activity data'!BB69*UDCPPEF*NtoN2O*kgtoGg</f>
        <v>14.041934968054861</v>
      </c>
      <c r="BC110" s="23">
        <f>'Activity data'!BC69*UDCPPEF*NtoN2O*kgtoGg</f>
        <v>13.96528811634067</v>
      </c>
      <c r="BD110" s="23">
        <f>'Activity data'!BD69*UDCPPEF*NtoN2O*kgtoGg</f>
        <v>13.888124195266819</v>
      </c>
      <c r="BE110" s="23">
        <f>'Activity data'!BE69*UDCPPEF*NtoN2O*kgtoGg</f>
        <v>13.809555287767143</v>
      </c>
      <c r="BF110" s="23">
        <f>'Activity data'!BF69*UDCPPEF*NtoN2O*kgtoGg</f>
        <v>13.728795182409508</v>
      </c>
      <c r="BG110" s="23">
        <f>'Activity data'!BG69*UDCPPEF*NtoN2O*kgtoGg</f>
        <v>13.640412215465833</v>
      </c>
      <c r="BH110" s="23">
        <f>'Activity data'!BH69*UDCPPEF*NtoN2O*kgtoGg</f>
        <v>13.550347137134461</v>
      </c>
      <c r="BI110" s="23">
        <f>'Activity data'!BI69*UDCPPEF*NtoN2O*kgtoGg</f>
        <v>13.458695835578453</v>
      </c>
      <c r="BJ110" s="23">
        <f>'Activity data'!BJ69*UDCPPEF*NtoN2O*kgtoGg</f>
        <v>13.365221623602952</v>
      </c>
      <c r="BK110" s="23">
        <f>'Activity data'!BK69*UDCPPEF*NtoN2O*kgtoGg</f>
        <v>13.268986095615945</v>
      </c>
      <c r="BL110" s="23">
        <f>'Activity data'!BL69*UDCPPEF*NtoN2O*kgtoGg</f>
        <v>13.172132792715527</v>
      </c>
      <c r="BM110" s="23">
        <f>'Activity data'!BM69*UDCPPEF*NtoN2O*kgtoGg</f>
        <v>13.072898605709627</v>
      </c>
      <c r="BN110" s="23">
        <f>'Activity data'!BN69*UDCPPEF*NtoN2O*kgtoGg</f>
        <v>12.973067375281206</v>
      </c>
      <c r="BO110" s="23">
        <f>'Activity data'!BO69*UDCPPEF*NtoN2O*kgtoGg</f>
        <v>12.870639477540211</v>
      </c>
      <c r="BP110" s="23">
        <f>'Activity data'!BP69*UDCPPEF*NtoN2O*kgtoGg</f>
        <v>12.765398223452266</v>
      </c>
    </row>
    <row r="111" spans="1:68" x14ac:dyDescent="0.25">
      <c r="A111" t="str">
        <f t="shared" si="29"/>
        <v>3C Aggregated and non-CO2 emissions on land</v>
      </c>
      <c r="B111" t="str">
        <f t="shared" si="31"/>
        <v>3C4 Direct N2O from managed soils (N2O)</v>
      </c>
      <c r="C111" t="s">
        <v>497</v>
      </c>
      <c r="D111" t="str">
        <f t="shared" si="38"/>
        <v xml:space="preserve"> - Subsistence cattle</v>
      </c>
      <c r="E111" t="str">
        <f t="shared" si="32"/>
        <v>U&amp;D emissions - Subsistence cattle</v>
      </c>
      <c r="F111" t="str">
        <f t="shared" si="36"/>
        <v>N2O</v>
      </c>
      <c r="G111" t="str">
        <f t="shared" si="37"/>
        <v>Gg N2O</v>
      </c>
      <c r="H111" s="23">
        <f>'Activity data'!H70*UDCPPEF*NtoN2O*kgtoGg</f>
        <v>10.402518774722227</v>
      </c>
      <c r="I111" s="23">
        <f>'Activity data'!I70*UDCPPEF*NtoN2O*kgtoGg</f>
        <v>11.206931474349256</v>
      </c>
      <c r="J111" s="23">
        <f>'Activity data'!J70*UDCPPEF*NtoN2O*kgtoGg</f>
        <v>11.316624115207485</v>
      </c>
      <c r="K111" s="23">
        <f>'Activity data'!K70*UDCPPEF*NtoN2O*kgtoGg</f>
        <v>11.316624115207484</v>
      </c>
      <c r="L111" s="23">
        <f>'Activity data'!L70*UDCPPEF*NtoN2O*kgtoGg</f>
        <v>9.9454661044795998</v>
      </c>
      <c r="M111" s="23">
        <f>'Activity data'!M70*UDCPPEF*NtoN2O*kgtoGg</f>
        <v>9.8174913568116633</v>
      </c>
      <c r="N111" s="23">
        <f>'Activity data'!N70*UDCPPEF*NtoN2O*kgtoGg</f>
        <v>10.055158745337833</v>
      </c>
      <c r="O111" s="23">
        <f>'Activity data'!O70*UDCPPEF*NtoN2O*kgtoGg</f>
        <v>10.347672454293111</v>
      </c>
      <c r="P111" s="23">
        <f>'Activity data'!P70*UDCPPEF*NtoN2O*kgtoGg</f>
        <v>10.804725124535743</v>
      </c>
      <c r="Q111" s="23">
        <f>'Activity data'!Q70*UDCPPEF*NtoN2O*kgtoGg</f>
        <v>11.188649367539549</v>
      </c>
      <c r="R111" s="23">
        <f>'Activity data'!R70*UDCPPEF*NtoN2O*kgtoGg</f>
        <v>11.499445183304539</v>
      </c>
      <c r="S111" s="23">
        <f>'Activity data'!S70*UDCPPEF*NtoN2O*kgtoGg</f>
        <v>11.261777794778371</v>
      </c>
      <c r="T111" s="23">
        <f>'Activity data'!T70*UDCPPEF*NtoN2O*kgtoGg</f>
        <v>12.157601028453922</v>
      </c>
      <c r="U111" s="23">
        <f>'Activity data'!U70*UDCPPEF*NtoN2O*kgtoGg</f>
        <v>12.13931892164422</v>
      </c>
      <c r="V111" s="23">
        <f>'Activity data'!V70*UDCPPEF*NtoN2O*kgtoGg</f>
        <v>11.883369426308347</v>
      </c>
      <c r="W111" s="23">
        <f>'Activity data'!W70*UDCPPEF*NtoN2O*kgtoGg</f>
        <v>11.737112571830703</v>
      </c>
      <c r="X111" s="23">
        <f>'Activity data'!X70*UDCPPEF*NtoN2O*kgtoGg</f>
        <v>12.011344173976282</v>
      </c>
      <c r="Y111" s="23">
        <f>'Activity data'!Y70*UDCPPEF*NtoN2O*kgtoGg</f>
        <v>12.413550523789793</v>
      </c>
      <c r="Z111" s="23">
        <f>'Activity data'!Z70*UDCPPEF*NtoN2O*kgtoGg</f>
        <v>12.651217912315962</v>
      </c>
      <c r="AA111" s="23">
        <f>'Activity data'!AA70*UDCPPEF*NtoN2O*kgtoGg</f>
        <v>12.614653698696554</v>
      </c>
      <c r="AB111" s="23">
        <f>'Activity data'!AB70*UDCPPEF*NtoN2O*kgtoGg</f>
        <v>12.468396844218912</v>
      </c>
      <c r="AC111" s="23">
        <f>'Activity data'!AC70*UDCPPEF*NtoN2O*kgtoGg</f>
        <v>12.4318326305995</v>
      </c>
      <c r="AD111" s="23">
        <f>'Activity data'!AD70*UDCPPEF*NtoN2O*kgtoGg</f>
        <v>10.768160910916333</v>
      </c>
      <c r="AE111" s="23">
        <f>'Activity data'!AE70*UDCPPEF*NtoN2O*kgtoGg</f>
        <v>12.870603194032425</v>
      </c>
      <c r="AF111" s="23">
        <f>'Activity data'!AF70*UDCPPEF*NtoN2O*kgtoGg</f>
        <v>12.651217912315962</v>
      </c>
      <c r="AG111" s="23">
        <f>'Activity data'!AG70*UDCPPEF*NtoN2O*kgtoGg</f>
        <v>12.504961057838322</v>
      </c>
      <c r="AH111" s="23">
        <f>'Activity data'!AH70*UDCPPEF*NtoN2O*kgtoGg</f>
        <v>12.395268416980093</v>
      </c>
      <c r="AI111" s="23">
        <f>'Activity data'!AI70*UDCPPEF*NtoN2O*kgtoGg</f>
        <v>12.267293669312153</v>
      </c>
      <c r="AJ111" s="23">
        <f>'Activity data'!AJ70*UDCPPEF*NtoN2O*kgtoGg</f>
        <v>12.740529716504696</v>
      </c>
      <c r="AK111" s="23">
        <f>'Activity data'!AK70*UDCPPEF*NtoN2O*kgtoGg</f>
        <v>13.998923251363312</v>
      </c>
      <c r="AL111" s="23">
        <f>'Activity data'!AL70*UDCPPEF*NtoN2O*kgtoGg</f>
        <v>14.096540665784875</v>
      </c>
      <c r="AM111" s="23">
        <f>'Activity data'!AM70*UDCPPEF*NtoN2O*kgtoGg</f>
        <v>14.195486448357499</v>
      </c>
      <c r="AN111" s="23">
        <f>'Activity data'!AN70*UDCPPEF*NtoN2O*kgtoGg</f>
        <v>14.294432229103737</v>
      </c>
      <c r="AO111" s="23">
        <f>'Activity data'!AO70*UDCPPEF*NtoN2O*kgtoGg</f>
        <v>14.393378009849975</v>
      </c>
      <c r="AP111" s="23">
        <f>'Activity data'!AP70*UDCPPEF*NtoN2O*kgtoGg</f>
        <v>14.492323790596217</v>
      </c>
      <c r="AQ111" s="23">
        <f>'Activity data'!AQ70*UDCPPEF*NtoN2O*kgtoGg</f>
        <v>14.591269573168834</v>
      </c>
      <c r="AR111" s="23">
        <f>'Activity data'!AR70*UDCPPEF*NtoN2O*kgtoGg</f>
        <v>14.698466712486123</v>
      </c>
      <c r="AS111" s="23">
        <f>'Activity data'!AS70*UDCPPEF*NtoN2O*kgtoGg</f>
        <v>14.805663851803407</v>
      </c>
      <c r="AT111" s="23">
        <f>'Activity data'!AT70*UDCPPEF*NtoN2O*kgtoGg</f>
        <v>14.912860991120693</v>
      </c>
      <c r="AU111" s="23">
        <f>'Activity data'!AU70*UDCPPEF*NtoN2O*kgtoGg</f>
        <v>15.020058130437981</v>
      </c>
      <c r="AV111" s="23">
        <f>'Activity data'!AV70*UDCPPEF*NtoN2O*kgtoGg</f>
        <v>15.127255269755265</v>
      </c>
      <c r="AW111" s="23">
        <f>'Activity data'!AW70*UDCPPEF*NtoN2O*kgtoGg</f>
        <v>15.23081305160569</v>
      </c>
      <c r="AX111" s="23">
        <f>'Activity data'!AX70*UDCPPEF*NtoN2O*kgtoGg</f>
        <v>15.334370831629728</v>
      </c>
      <c r="AY111" s="23">
        <f>'Activity data'!AY70*UDCPPEF*NtoN2O*kgtoGg</f>
        <v>15.437928613480148</v>
      </c>
      <c r="AZ111" s="23">
        <f>'Activity data'!AZ70*UDCPPEF*NtoN2O*kgtoGg</f>
        <v>15.54148639350419</v>
      </c>
      <c r="BA111" s="23">
        <f>'Activity data'!BA70*UDCPPEF*NtoN2O*kgtoGg</f>
        <v>15.645044173528227</v>
      </c>
      <c r="BB111" s="23">
        <f>'Activity data'!BB70*UDCPPEF*NtoN2O*kgtoGg</f>
        <v>15.752673296132915</v>
      </c>
      <c r="BC111" s="23">
        <f>'Activity data'!BC70*UDCPPEF*NtoN2O*kgtoGg</f>
        <v>15.860302418737607</v>
      </c>
      <c r="BD111" s="23">
        <f>'Activity data'!BD70*UDCPPEF*NtoN2O*kgtoGg</f>
        <v>15.967931539515909</v>
      </c>
      <c r="BE111" s="23">
        <f>'Activity data'!BE70*UDCPPEF*NtoN2O*kgtoGg</f>
        <v>16.075560662120598</v>
      </c>
      <c r="BF111" s="23">
        <f>'Activity data'!BF70*UDCPPEF*NtoN2O*kgtoGg</f>
        <v>16.183189784725286</v>
      </c>
      <c r="BG111" s="23">
        <f>'Activity data'!BG70*UDCPPEF*NtoN2O*kgtoGg</f>
        <v>16.306051479567785</v>
      </c>
      <c r="BH111" s="23">
        <f>'Activity data'!BH70*UDCPPEF*NtoN2O*kgtoGg</f>
        <v>16.428913172583897</v>
      </c>
      <c r="BI111" s="23">
        <f>'Activity data'!BI70*UDCPPEF*NtoN2O*kgtoGg</f>
        <v>16.551774867426403</v>
      </c>
      <c r="BJ111" s="23">
        <f>'Activity data'!BJ70*UDCPPEF*NtoN2O*kgtoGg</f>
        <v>16.674636562268894</v>
      </c>
      <c r="BK111" s="23">
        <f>'Activity data'!BK70*UDCPPEF*NtoN2O*kgtoGg</f>
        <v>16.797498257111389</v>
      </c>
      <c r="BL111" s="23">
        <f>'Activity data'!BL70*UDCPPEF*NtoN2O*kgtoGg</f>
        <v>16.916023652415518</v>
      </c>
      <c r="BM111" s="23">
        <f>'Activity data'!BM70*UDCPPEF*NtoN2O*kgtoGg</f>
        <v>17.034549047719626</v>
      </c>
      <c r="BN111" s="23">
        <f>'Activity data'!BN70*UDCPPEF*NtoN2O*kgtoGg</f>
        <v>17.153074444850127</v>
      </c>
      <c r="BO111" s="23">
        <f>'Activity data'!BO70*UDCPPEF*NtoN2O*kgtoGg</f>
        <v>17.271599840154249</v>
      </c>
      <c r="BP111" s="23">
        <f>'Activity data'!BP70*UDCPPEF*NtoN2O*kgtoGg</f>
        <v>17.390125235458363</v>
      </c>
    </row>
    <row r="112" spans="1:68" x14ac:dyDescent="0.25">
      <c r="A112" t="str">
        <f t="shared" si="29"/>
        <v>3C Aggregated and non-CO2 emissions on land</v>
      </c>
      <c r="B112" t="str">
        <f t="shared" si="31"/>
        <v>3C4 Direct N2O from managed soils (N2O)</v>
      </c>
      <c r="C112" t="s">
        <v>497</v>
      </c>
      <c r="D112" t="str">
        <f t="shared" si="38"/>
        <v xml:space="preserve"> - Feedlot</v>
      </c>
      <c r="E112" t="str">
        <f t="shared" si="32"/>
        <v>U&amp;D emissions - Feedlot</v>
      </c>
      <c r="F112" t="str">
        <f t="shared" si="36"/>
        <v>N2O</v>
      </c>
      <c r="G112" t="str">
        <f t="shared" si="37"/>
        <v>Gg N2O</v>
      </c>
      <c r="H112" s="23">
        <f>'Activity data'!H71*UDCPPEF*NtoN2O*kgtoGg</f>
        <v>0</v>
      </c>
      <c r="I112" s="23">
        <f>'Activity data'!I71*UDCPPEF*NtoN2O*kgtoGg</f>
        <v>0</v>
      </c>
      <c r="J112" s="23">
        <f>'Activity data'!J71*UDCPPEF*NtoN2O*kgtoGg</f>
        <v>0</v>
      </c>
      <c r="K112" s="23">
        <f>'Activity data'!K71*UDCPPEF*NtoN2O*kgtoGg</f>
        <v>0</v>
      </c>
      <c r="L112" s="23">
        <f>'Activity data'!L71*UDCPPEF*NtoN2O*kgtoGg</f>
        <v>0</v>
      </c>
      <c r="M112" s="23">
        <f>'Activity data'!M71*UDCPPEF*NtoN2O*kgtoGg</f>
        <v>0</v>
      </c>
      <c r="N112" s="23">
        <f>'Activity data'!N71*UDCPPEF*NtoN2O*kgtoGg</f>
        <v>0</v>
      </c>
      <c r="O112" s="23">
        <f>'Activity data'!O71*UDCPPEF*NtoN2O*kgtoGg</f>
        <v>0</v>
      </c>
      <c r="P112" s="23">
        <f>'Activity data'!P71*UDCPPEF*NtoN2O*kgtoGg</f>
        <v>0</v>
      </c>
      <c r="Q112" s="23">
        <f>'Activity data'!Q71*UDCPPEF*NtoN2O*kgtoGg</f>
        <v>0</v>
      </c>
      <c r="R112" s="23">
        <f>'Activity data'!R71*UDCPPEF*NtoN2O*kgtoGg</f>
        <v>0</v>
      </c>
      <c r="S112" s="23">
        <f>'Activity data'!S71*UDCPPEF*NtoN2O*kgtoGg</f>
        <v>0</v>
      </c>
      <c r="T112" s="23">
        <f>'Activity data'!T71*UDCPPEF*NtoN2O*kgtoGg</f>
        <v>0</v>
      </c>
      <c r="U112" s="23">
        <f>'Activity data'!U71*UDCPPEF*NtoN2O*kgtoGg</f>
        <v>0</v>
      </c>
      <c r="V112" s="23">
        <f>'Activity data'!V71*UDCPPEF*NtoN2O*kgtoGg</f>
        <v>0</v>
      </c>
      <c r="W112" s="23">
        <f>'Activity data'!W71*UDCPPEF*NtoN2O*kgtoGg</f>
        <v>0</v>
      </c>
      <c r="X112" s="23">
        <f>'Activity data'!X71*UDCPPEF*NtoN2O*kgtoGg</f>
        <v>0</v>
      </c>
      <c r="Y112" s="23">
        <f>'Activity data'!Y71*UDCPPEF*NtoN2O*kgtoGg</f>
        <v>0</v>
      </c>
      <c r="Z112" s="23">
        <f>'Activity data'!Z71*UDCPPEF*NtoN2O*kgtoGg</f>
        <v>0</v>
      </c>
      <c r="AA112" s="23">
        <f>'Activity data'!AA71*UDCPPEF*NtoN2O*kgtoGg</f>
        <v>0</v>
      </c>
      <c r="AB112" s="23">
        <f>'Activity data'!AB71*UDCPPEF*NtoN2O*kgtoGg</f>
        <v>0</v>
      </c>
      <c r="AC112" s="23">
        <f>'Activity data'!AC71*UDCPPEF*NtoN2O*kgtoGg</f>
        <v>0</v>
      </c>
      <c r="AD112" s="23">
        <f>'Activity data'!AD71*UDCPPEF*NtoN2O*kgtoGg</f>
        <v>0</v>
      </c>
      <c r="AE112" s="23">
        <f>'Activity data'!AE71*UDCPPEF*NtoN2O*kgtoGg</f>
        <v>0</v>
      </c>
      <c r="AF112" s="23">
        <f>'Activity data'!AF71*UDCPPEF*NtoN2O*kgtoGg</f>
        <v>0</v>
      </c>
      <c r="AG112" s="23">
        <f>'Activity data'!AG71*UDCPPEF*NtoN2O*kgtoGg</f>
        <v>0</v>
      </c>
      <c r="AH112" s="23">
        <f>'Activity data'!AH71*UDCPPEF*NtoN2O*kgtoGg</f>
        <v>0</v>
      </c>
      <c r="AI112" s="23">
        <f>'Activity data'!AI71*UDCPPEF*NtoN2O*kgtoGg</f>
        <v>0</v>
      </c>
      <c r="AJ112" s="23">
        <f>'Activity data'!AJ71*UDCPPEF*NtoN2O*kgtoGg</f>
        <v>0</v>
      </c>
      <c r="AK112" s="23">
        <f>'Activity data'!AK71*UDCPPEF*NtoN2O*kgtoGg</f>
        <v>0</v>
      </c>
      <c r="AL112" s="23">
        <f>'Activity data'!AL71*UDCPPEF*NtoN2O*kgtoGg</f>
        <v>0</v>
      </c>
      <c r="AM112" s="23">
        <f>'Activity data'!AM71*UDCPPEF*NtoN2O*kgtoGg</f>
        <v>0</v>
      </c>
      <c r="AN112" s="23">
        <f>'Activity data'!AN71*UDCPPEF*NtoN2O*kgtoGg</f>
        <v>0</v>
      </c>
      <c r="AO112" s="23">
        <f>'Activity data'!AO71*UDCPPEF*NtoN2O*kgtoGg</f>
        <v>0</v>
      </c>
      <c r="AP112" s="23">
        <f>'Activity data'!AP71*UDCPPEF*NtoN2O*kgtoGg</f>
        <v>0</v>
      </c>
      <c r="AQ112" s="23">
        <f>'Activity data'!AQ71*UDCPPEF*NtoN2O*kgtoGg</f>
        <v>0</v>
      </c>
      <c r="AR112" s="23">
        <f>'Activity data'!AR71*UDCPPEF*NtoN2O*kgtoGg</f>
        <v>0</v>
      </c>
      <c r="AS112" s="23">
        <f>'Activity data'!AS71*UDCPPEF*NtoN2O*kgtoGg</f>
        <v>0</v>
      </c>
      <c r="AT112" s="23">
        <f>'Activity data'!AT71*UDCPPEF*NtoN2O*kgtoGg</f>
        <v>0</v>
      </c>
      <c r="AU112" s="23">
        <f>'Activity data'!AU71*UDCPPEF*NtoN2O*kgtoGg</f>
        <v>0</v>
      </c>
      <c r="AV112" s="23">
        <f>'Activity data'!AV71*UDCPPEF*NtoN2O*kgtoGg</f>
        <v>0</v>
      </c>
      <c r="AW112" s="23">
        <f>'Activity data'!AW71*UDCPPEF*NtoN2O*kgtoGg</f>
        <v>0</v>
      </c>
      <c r="AX112" s="23">
        <f>'Activity data'!AX71*UDCPPEF*NtoN2O*kgtoGg</f>
        <v>0</v>
      </c>
      <c r="AY112" s="23">
        <f>'Activity data'!AY71*UDCPPEF*NtoN2O*kgtoGg</f>
        <v>0</v>
      </c>
      <c r="AZ112" s="23">
        <f>'Activity data'!AZ71*UDCPPEF*NtoN2O*kgtoGg</f>
        <v>0</v>
      </c>
      <c r="BA112" s="23">
        <f>'Activity data'!BA71*UDCPPEF*NtoN2O*kgtoGg</f>
        <v>0</v>
      </c>
      <c r="BB112" s="23">
        <f>'Activity data'!BB71*UDCPPEF*NtoN2O*kgtoGg</f>
        <v>0</v>
      </c>
      <c r="BC112" s="23">
        <f>'Activity data'!BC71*UDCPPEF*NtoN2O*kgtoGg</f>
        <v>0</v>
      </c>
      <c r="BD112" s="23">
        <f>'Activity data'!BD71*UDCPPEF*NtoN2O*kgtoGg</f>
        <v>0</v>
      </c>
      <c r="BE112" s="23">
        <f>'Activity data'!BE71*UDCPPEF*NtoN2O*kgtoGg</f>
        <v>0</v>
      </c>
      <c r="BF112" s="23">
        <f>'Activity data'!BF71*UDCPPEF*NtoN2O*kgtoGg</f>
        <v>0</v>
      </c>
      <c r="BG112" s="23">
        <f>'Activity data'!BG71*UDCPPEF*NtoN2O*kgtoGg</f>
        <v>0</v>
      </c>
      <c r="BH112" s="23">
        <f>'Activity data'!BH71*UDCPPEF*NtoN2O*kgtoGg</f>
        <v>0</v>
      </c>
      <c r="BI112" s="23">
        <f>'Activity data'!BI71*UDCPPEF*NtoN2O*kgtoGg</f>
        <v>0</v>
      </c>
      <c r="BJ112" s="23">
        <f>'Activity data'!BJ71*UDCPPEF*NtoN2O*kgtoGg</f>
        <v>0</v>
      </c>
      <c r="BK112" s="23">
        <f>'Activity data'!BK71*UDCPPEF*NtoN2O*kgtoGg</f>
        <v>0</v>
      </c>
      <c r="BL112" s="23">
        <f>'Activity data'!BL71*UDCPPEF*NtoN2O*kgtoGg</f>
        <v>0</v>
      </c>
      <c r="BM112" s="23">
        <f>'Activity data'!BM71*UDCPPEF*NtoN2O*kgtoGg</f>
        <v>0</v>
      </c>
      <c r="BN112" s="23">
        <f>'Activity data'!BN71*UDCPPEF*NtoN2O*kgtoGg</f>
        <v>0</v>
      </c>
      <c r="BO112" s="23">
        <f>'Activity data'!BO71*UDCPPEF*NtoN2O*kgtoGg</f>
        <v>0</v>
      </c>
      <c r="BP112" s="23">
        <f>'Activity data'!BP71*UDCPPEF*NtoN2O*kgtoGg</f>
        <v>0</v>
      </c>
    </row>
    <row r="113" spans="1:68" x14ac:dyDescent="0.25">
      <c r="A113" t="str">
        <f t="shared" si="29"/>
        <v>3C Aggregated and non-CO2 emissions on land</v>
      </c>
      <c r="B113" t="str">
        <f t="shared" si="31"/>
        <v>3C4 Direct N2O from managed soils (N2O)</v>
      </c>
      <c r="C113" t="s">
        <v>497</v>
      </c>
      <c r="D113" t="str">
        <f t="shared" si="38"/>
        <v xml:space="preserve"> - Commercial sheep</v>
      </c>
      <c r="E113" t="str">
        <f t="shared" si="32"/>
        <v>U&amp;D emissions - Commercial sheep</v>
      </c>
      <c r="F113" t="str">
        <f t="shared" si="36"/>
        <v>N2O</v>
      </c>
      <c r="G113" t="str">
        <f t="shared" si="37"/>
        <v>Gg N2O</v>
      </c>
      <c r="H113" s="23">
        <f>'Activity data'!H72*UDSOEF*NtoN2O*kgtoGg</f>
        <v>9.1437692552590502</v>
      </c>
      <c r="I113" s="23">
        <f>'Activity data'!I72*UDSOEF*NtoN2O*kgtoGg</f>
        <v>8.7326214199046639</v>
      </c>
      <c r="J113" s="23">
        <f>'Activity data'!J72*UDSOEF*NtoN2O*kgtoGg</f>
        <v>8.371799543625551</v>
      </c>
      <c r="K113" s="23">
        <f>'Activity data'!K72*UDSOEF*NtoN2O*kgtoGg</f>
        <v>7.8294992088628641</v>
      </c>
      <c r="L113" s="23">
        <f>'Activity data'!L72*UDSOEF*NtoN2O*kgtoGg</f>
        <v>7.8847052609393824</v>
      </c>
      <c r="M113" s="23">
        <f>'Activity data'!M72*UDSOEF*NtoN2O*kgtoGg</f>
        <v>7.7718531102857282</v>
      </c>
      <c r="N113" s="23">
        <f>'Activity data'!N72*UDSOEF*NtoN2O*kgtoGg</f>
        <v>7.7977786043548116</v>
      </c>
      <c r="O113" s="23">
        <f>'Activity data'!O72*UDSOEF*NtoN2O*kgtoGg</f>
        <v>7.6281953725617546</v>
      </c>
      <c r="P113" s="23">
        <f>'Activity data'!P72*UDSOEF*NtoN2O*kgtoGg</f>
        <v>7.6492407736295975</v>
      </c>
      <c r="Q113" s="23">
        <f>'Activity data'!Q72*UDSOEF*NtoN2O*kgtoGg</f>
        <v>7.4613571930818949</v>
      </c>
      <c r="R113" s="23">
        <f>'Activity data'!R72*UDSOEF*NtoN2O*kgtoGg</f>
        <v>7.1938670954514805</v>
      </c>
      <c r="S113" s="23">
        <f>'Activity data'!S72*UDSOEF*NtoN2O*kgtoGg</f>
        <v>7.0145236776559479</v>
      </c>
      <c r="T113" s="23">
        <f>'Activity data'!T72*UDSOEF*NtoN2O*kgtoGg</f>
        <v>6.89740144562621</v>
      </c>
      <c r="U113" s="23">
        <f>'Activity data'!U72*UDSOEF*NtoN2O*kgtoGg</f>
        <v>6.9214969048198283</v>
      </c>
      <c r="V113" s="23">
        <f>'Activity data'!V72*UDSOEF*NtoN2O*kgtoGg</f>
        <v>6.7982745565385434</v>
      </c>
      <c r="W113" s="23">
        <f>'Activity data'!W72*UDSOEF*NtoN2O*kgtoGg</f>
        <v>6.7821092484719374</v>
      </c>
      <c r="X113" s="23">
        <f>'Activity data'!X72*UDSOEF*NtoN2O*kgtoGg</f>
        <v>6.6933525570119041</v>
      </c>
      <c r="Y113" s="23">
        <f>'Activity data'!Y72*UDSOEF*NtoN2O*kgtoGg</f>
        <v>6.6869474349477782</v>
      </c>
      <c r="Z113" s="23">
        <f>'Activity data'!Z72*UDSOEF*NtoN2O*kgtoGg</f>
        <v>6.7086028476407771</v>
      </c>
      <c r="AA113" s="23">
        <f>'Activity data'!AA72*UDSOEF*NtoN2O*kgtoGg</f>
        <v>6.6848123942597351</v>
      </c>
      <c r="AB113" s="23">
        <f>'Activity data'!AB72*UDSOEF*NtoN2O*kgtoGg</f>
        <v>6.5554899297269005</v>
      </c>
      <c r="AC113" s="23">
        <f>'Activity data'!AC72*UDSOEF*NtoN2O*kgtoGg</f>
        <v>6.5042489532138905</v>
      </c>
      <c r="AD113" s="23">
        <f>'Activity data'!AD72*UDSOEF*NtoN2O*kgtoGg</f>
        <v>6.5353595460967906</v>
      </c>
      <c r="AE113" s="23">
        <f>'Activity data'!AE72*UDSOEF*NtoN2O*kgtoGg</f>
        <v>6.5847704877343354</v>
      </c>
      <c r="AF113" s="23">
        <f>'Activity data'!AF72*UDSOEF*NtoN2O*kgtoGg</f>
        <v>6.4667332382668672</v>
      </c>
      <c r="AG113" s="23">
        <f>'Activity data'!AG72*UDSOEF*NtoN2O*kgtoGg</f>
        <v>6.4151872559412793</v>
      </c>
      <c r="AH113" s="23">
        <f>'Activity data'!AH72*UDSOEF*NtoN2O*kgtoGg</f>
        <v>6.2337087974577035</v>
      </c>
      <c r="AI113" s="23">
        <f>'Activity data'!AI72*UDSOEF*NtoN2O*kgtoGg</f>
        <v>6.0824259144192929</v>
      </c>
      <c r="AJ113" s="23">
        <f>'Activity data'!AJ72*UDSOEF*NtoN2O*kgtoGg</f>
        <v>6.4684971012345747</v>
      </c>
      <c r="AK113" s="23">
        <f>'Activity data'!AK72*UDSOEF*NtoN2O*kgtoGg</f>
        <v>6.4482780464719323</v>
      </c>
      <c r="AL113" s="23">
        <f>'Activity data'!AL72*UDSOEF*NtoN2O*kgtoGg</f>
        <v>6.3811268524241349</v>
      </c>
      <c r="AM113" s="23">
        <f>'Activity data'!AM72*UDSOEF*NtoN2O*kgtoGg</f>
        <v>6.3675624343866479</v>
      </c>
      <c r="AN113" s="23">
        <f>'Activity data'!AN72*UDSOEF*NtoN2O*kgtoGg</f>
        <v>6.3535209400117774</v>
      </c>
      <c r="AO113" s="23">
        <f>'Activity data'!AO72*UDSOEF*NtoN2O*kgtoGg</f>
        <v>6.3395865363266868</v>
      </c>
      <c r="AP113" s="23">
        <f>'Activity data'!AP72*UDSOEF*NtoN2O*kgtoGg</f>
        <v>6.325241436017718</v>
      </c>
      <c r="AQ113" s="23">
        <f>'Activity data'!AQ72*UDSOEF*NtoN2O*kgtoGg</f>
        <v>6.3113727010252108</v>
      </c>
      <c r="AR113" s="23">
        <f>'Activity data'!AR72*UDSOEF*NtoN2O*kgtoGg</f>
        <v>6.2975562089010966</v>
      </c>
      <c r="AS113" s="23">
        <f>'Activity data'!AS72*UDSOEF*NtoN2O*kgtoGg</f>
        <v>6.2836134102909789</v>
      </c>
      <c r="AT113" s="23">
        <f>'Activity data'!AT72*UDSOEF*NtoN2O*kgtoGg</f>
        <v>6.2703154165014414</v>
      </c>
      <c r="AU113" s="23">
        <f>'Activity data'!AU72*UDSOEF*NtoN2O*kgtoGg</f>
        <v>6.2574962132626331</v>
      </c>
      <c r="AV113" s="23">
        <f>'Activity data'!AV72*UDSOEF*NtoN2O*kgtoGg</f>
        <v>6.2451995010143557</v>
      </c>
      <c r="AW113" s="23">
        <f>'Activity data'!AW72*UDSOEF*NtoN2O*kgtoGg</f>
        <v>6.2369088595091462</v>
      </c>
      <c r="AX113" s="23">
        <f>'Activity data'!AX72*UDSOEF*NtoN2O*kgtoGg</f>
        <v>6.2277592322744058</v>
      </c>
      <c r="AY113" s="23">
        <f>'Activity data'!AY72*UDSOEF*NtoN2O*kgtoGg</f>
        <v>6.2205470454275531</v>
      </c>
      <c r="AZ113" s="23">
        <f>'Activity data'!AZ72*UDSOEF*NtoN2O*kgtoGg</f>
        <v>6.2146892992155998</v>
      </c>
      <c r="BA113" s="23">
        <f>'Activity data'!BA72*UDSOEF*NtoN2O*kgtoGg</f>
        <v>6.210259301248227</v>
      </c>
      <c r="BB113" s="23">
        <f>'Activity data'!BB72*UDSOEF*NtoN2O*kgtoGg</f>
        <v>6.2054363590867707</v>
      </c>
      <c r="BC113" s="23">
        <f>'Activity data'!BC72*UDSOEF*NtoN2O*kgtoGg</f>
        <v>6.201595464439043</v>
      </c>
      <c r="BD113" s="23">
        <f>'Activity data'!BD72*UDSOEF*NtoN2O*kgtoGg</f>
        <v>6.1981193969206139</v>
      </c>
      <c r="BE113" s="23">
        <f>'Activity data'!BE72*UDSOEF*NtoN2O*kgtoGg</f>
        <v>6.1956346379486114</v>
      </c>
      <c r="BF113" s="23">
        <f>'Activity data'!BF72*UDSOEF*NtoN2O*kgtoGg</f>
        <v>6.1946959119326737</v>
      </c>
      <c r="BG113" s="23">
        <f>'Activity data'!BG72*UDSOEF*NtoN2O*kgtoGg</f>
        <v>6.1909382548839842</v>
      </c>
      <c r="BH113" s="23">
        <f>'Activity data'!BH72*UDSOEF*NtoN2O*kgtoGg</f>
        <v>6.1883674380767397</v>
      </c>
      <c r="BI113" s="23">
        <f>'Activity data'!BI72*UDSOEF*NtoN2O*kgtoGg</f>
        <v>6.1869158041942152</v>
      </c>
      <c r="BJ113" s="23">
        <f>'Activity data'!BJ72*UDSOEF*NtoN2O*kgtoGg</f>
        <v>6.1867503524673833</v>
      </c>
      <c r="BK113" s="23">
        <f>'Activity data'!BK72*UDSOEF*NtoN2O*kgtoGg</f>
        <v>6.1885331892259492</v>
      </c>
      <c r="BL113" s="23">
        <f>'Activity data'!BL72*UDSOEF*NtoN2O*kgtoGg</f>
        <v>6.1930854713004937</v>
      </c>
      <c r="BM113" s="23">
        <f>'Activity data'!BM72*UDSOEF*NtoN2O*kgtoGg</f>
        <v>6.1993176223463768</v>
      </c>
      <c r="BN113" s="23">
        <f>'Activity data'!BN72*UDSOEF*NtoN2O*kgtoGg</f>
        <v>6.2059710254715341</v>
      </c>
      <c r="BO113" s="23">
        <f>'Activity data'!BO72*UDSOEF*NtoN2O*kgtoGg</f>
        <v>6.2144565476726719</v>
      </c>
      <c r="BP113" s="23">
        <f>'Activity data'!BP72*UDSOEF*NtoN2O*kgtoGg</f>
        <v>6.2249270762089237</v>
      </c>
    </row>
    <row r="114" spans="1:68" x14ac:dyDescent="0.25">
      <c r="A114" t="str">
        <f t="shared" si="29"/>
        <v>3C Aggregated and non-CO2 emissions on land</v>
      </c>
      <c r="B114" t="str">
        <f t="shared" si="31"/>
        <v>3C4 Direct N2O from managed soils (N2O)</v>
      </c>
      <c r="C114" t="s">
        <v>497</v>
      </c>
      <c r="D114" t="str">
        <f t="shared" si="38"/>
        <v xml:space="preserve"> - Subsistence sheep</v>
      </c>
      <c r="E114" t="str">
        <f t="shared" si="32"/>
        <v>U&amp;D emissions - Subsistence sheep</v>
      </c>
      <c r="F114" t="str">
        <f t="shared" si="36"/>
        <v>N2O</v>
      </c>
      <c r="G114" t="str">
        <f t="shared" si="37"/>
        <v>Gg N2O</v>
      </c>
      <c r="H114" s="23">
        <f>'Activity data'!H73*UDSOEF*NtoN2O*kgtoGg</f>
        <v>0.95332401035894265</v>
      </c>
      <c r="I114" s="23">
        <f>'Activity data'!I73*UDSOEF*NtoN2O*kgtoGg</f>
        <v>0.9104579786045861</v>
      </c>
      <c r="J114" s="23">
        <f>'Activity data'!J73*UDSOEF*NtoN2O*kgtoGg</f>
        <v>0.87283890177565138</v>
      </c>
      <c r="K114" s="23">
        <f>'Activity data'!K73*UDSOEF*NtoN2O*kgtoGg</f>
        <v>0.81629898748837704</v>
      </c>
      <c r="L114" s="23">
        <f>'Activity data'!L73*UDSOEF*NtoN2O*kgtoGg</f>
        <v>0.82205473804293083</v>
      </c>
      <c r="M114" s="23">
        <f>'Activity data'!M73*UDSOEF*NtoN2O*kgtoGg</f>
        <v>0.8102888391192572</v>
      </c>
      <c r="N114" s="23">
        <f>'Activity data'!N73*UDSOEF*NtoN2O*kgtoGg</f>
        <v>0.81299181589902014</v>
      </c>
      <c r="O114" s="23">
        <f>'Activity data'!O73*UDSOEF*NtoN2O*kgtoGg</f>
        <v>0.79531116778668909</v>
      </c>
      <c r="P114" s="23">
        <f>'Activity data'!P73*UDSOEF*NtoN2O*kgtoGg</f>
        <v>0.79750534893732261</v>
      </c>
      <c r="Q114" s="23">
        <f>'Activity data'!Q73*UDSOEF*NtoN2O*kgtoGg</f>
        <v>0.77791671721574718</v>
      </c>
      <c r="R114" s="23">
        <f>'Activity data'!R73*UDSOEF*NtoN2O*kgtoGg</f>
        <v>0.75002835679395885</v>
      </c>
      <c r="S114" s="23">
        <f>'Activity data'!S73*UDSOEF*NtoN2O*kgtoGg</f>
        <v>0.73133011742336396</v>
      </c>
      <c r="T114" s="23">
        <f>'Activity data'!T73*UDSOEF*NtoN2O*kgtoGg</f>
        <v>0.71911902232420011</v>
      </c>
      <c r="U114" s="23">
        <f>'Activity data'!U73*UDSOEF*NtoN2O*kgtoGg</f>
        <v>0.72163120074303855</v>
      </c>
      <c r="V114" s="23">
        <f>'Activity data'!V73*UDSOEF*NtoN2O*kgtoGg</f>
        <v>0.70878411110745976</v>
      </c>
      <c r="W114" s="23">
        <f>'Activity data'!W73*UDSOEF*NtoN2O*kgtoGg</f>
        <v>0.70709872558596065</v>
      </c>
      <c r="X114" s="23">
        <f>'Activity data'!X73*UDSOEF*NtoN2O*kgtoGg</f>
        <v>0.69784500508112535</v>
      </c>
      <c r="Y114" s="23">
        <f>'Activity data'!Y73*UDSOEF*NtoN2O*kgtoGg</f>
        <v>0.69717721081788997</v>
      </c>
      <c r="Z114" s="23">
        <f>'Activity data'!Z73*UDSOEF*NtoN2O*kgtoGg</f>
        <v>0.69943499142216237</v>
      </c>
      <c r="AA114" s="23">
        <f>'Activity data'!AA73*UDSOEF*NtoN2O*kgtoGg</f>
        <v>0.6969546127301447</v>
      </c>
      <c r="AB114" s="23">
        <f>'Activity data'!AB73*UDSOEF*NtoN2O*kgtoGg</f>
        <v>0.68347152855815141</v>
      </c>
      <c r="AC114" s="23">
        <f>'Activity data'!AC73*UDSOEF*NtoN2O*kgtoGg</f>
        <v>0.67812917445226706</v>
      </c>
      <c r="AD114" s="23">
        <f>'Activity data'!AD73*UDSOEF*NtoN2O*kgtoGg</f>
        <v>0.68137274658798253</v>
      </c>
      <c r="AE114" s="23">
        <f>'Activity data'!AE73*UDSOEF*NtoN2O*kgtoGg</f>
        <v>0.68652430233294226</v>
      </c>
      <c r="AF114" s="23">
        <f>'Activity data'!AF73*UDSOEF*NtoN2O*kgtoGg</f>
        <v>0.67421780805331621</v>
      </c>
      <c r="AG114" s="23">
        <f>'Activity data'!AG73*UDSOEF*NtoN2O*kgtoGg</f>
        <v>0.66884365422061132</v>
      </c>
      <c r="AH114" s="23">
        <f>'Activity data'!AH73*UDSOEF*NtoN2O*kgtoGg</f>
        <v>0.64992281676227126</v>
      </c>
      <c r="AI114" s="23">
        <f>'Activity data'!AI73*UDSOEF*NtoN2O*kgtoGg</f>
        <v>0.63415015225918459</v>
      </c>
      <c r="AJ114" s="23">
        <f>'Activity data'!AJ73*UDSOEF*NtoN2O*kgtoGg</f>
        <v>0.67652898491728952</v>
      </c>
      <c r="AK114" s="23">
        <f>'Activity data'!AK73*UDSOEF*NtoN2O*kgtoGg</f>
        <v>0.6744143087598331</v>
      </c>
      <c r="AL114" s="23">
        <f>'Activity data'!AL73*UDSOEF*NtoN2O*kgtoGg</f>
        <v>0.66739108088569976</v>
      </c>
      <c r="AM114" s="23">
        <f>'Activity data'!AM73*UDSOEF*NtoN2O*kgtoGg</f>
        <v>0.66597240173623495</v>
      </c>
      <c r="AN114" s="23">
        <f>'Activity data'!AN73*UDSOEF*NtoN2O*kgtoGg</f>
        <v>0.66450382599329483</v>
      </c>
      <c r="AO114" s="23">
        <f>'Activity data'!AO73*UDSOEF*NtoN2O*kgtoGg</f>
        <v>0.66304645068138457</v>
      </c>
      <c r="AP114" s="23">
        <f>'Activity data'!AP73*UDSOEF*NtoN2O*kgtoGg</f>
        <v>0.66154612131605017</v>
      </c>
      <c r="AQ114" s="23">
        <f>'Activity data'!AQ73*UDSOEF*NtoN2O*kgtoGg</f>
        <v>0.66009561417973606</v>
      </c>
      <c r="AR114" s="23">
        <f>'Activity data'!AR73*UDSOEF*NtoN2O*kgtoGg</f>
        <v>0.65865057103516056</v>
      </c>
      <c r="AS114" s="23">
        <f>'Activity data'!AS73*UDSOEF*NtoN2O*kgtoGg</f>
        <v>0.65719231771248243</v>
      </c>
      <c r="AT114" s="23">
        <f>'Activity data'!AT73*UDSOEF*NtoN2O*kgtoGg</f>
        <v>0.65580150341681631</v>
      </c>
      <c r="AU114" s="23">
        <f>'Activity data'!AU73*UDSOEF*NtoN2O*kgtoGg</f>
        <v>0.65446076500125072</v>
      </c>
      <c r="AV114" s="23">
        <f>'Activity data'!AV73*UDSOEF*NtoN2O*kgtoGg</f>
        <v>0.65317467301961241</v>
      </c>
      <c r="AW114" s="23">
        <f>'Activity data'!AW73*UDSOEF*NtoN2O*kgtoGg</f>
        <v>0.65230756908587795</v>
      </c>
      <c r="AX114" s="23">
        <f>'Activity data'!AX73*UDSOEF*NtoN2O*kgtoGg</f>
        <v>0.65135062531229104</v>
      </c>
      <c r="AY114" s="23">
        <f>'Activity data'!AY73*UDSOEF*NtoN2O*kgtoGg</f>
        <v>0.65059631509615068</v>
      </c>
      <c r="AZ114" s="23">
        <f>'Activity data'!AZ73*UDSOEF*NtoN2O*kgtoGg</f>
        <v>0.64998366349614933</v>
      </c>
      <c r="BA114" s="23">
        <f>'Activity data'!BA73*UDSOEF*NtoN2O*kgtoGg</f>
        <v>0.64952033762908212</v>
      </c>
      <c r="BB114" s="23">
        <f>'Activity data'!BB73*UDSOEF*NtoN2O*kgtoGg</f>
        <v>0.64901591440468542</v>
      </c>
      <c r="BC114" s="23">
        <f>'Activity data'!BC73*UDSOEF*NtoN2O*kgtoGg</f>
        <v>0.64861420184046292</v>
      </c>
      <c r="BD114" s="23">
        <f>'Activity data'!BD73*UDSOEF*NtoN2O*kgtoGg</f>
        <v>0.64825064591813042</v>
      </c>
      <c r="BE114" s="23">
        <f>'Activity data'!BE73*UDSOEF*NtoN2O*kgtoGg</f>
        <v>0.64799076925145094</v>
      </c>
      <c r="BF114" s="23">
        <f>'Activity data'!BF73*UDSOEF*NtoN2O*kgtoGg</f>
        <v>0.64789258951221029</v>
      </c>
      <c r="BG114" s="23">
        <f>'Activity data'!BG73*UDSOEF*NtoN2O*kgtoGg</f>
        <v>0.64749958262528884</v>
      </c>
      <c r="BH114" s="23">
        <f>'Activity data'!BH73*UDSOEF*NtoN2O*kgtoGg</f>
        <v>0.64723070531765559</v>
      </c>
      <c r="BI114" s="23">
        <f>'Activity data'!BI73*UDSOEF*NtoN2O*kgtoGg</f>
        <v>0.64707888142693659</v>
      </c>
      <c r="BJ114" s="23">
        <f>'Activity data'!BJ73*UDSOEF*NtoN2O*kgtoGg</f>
        <v>0.64706157711543177</v>
      </c>
      <c r="BK114" s="23">
        <f>'Activity data'!BK73*UDSOEF*NtoN2O*kgtoGg</f>
        <v>0.6472480409452317</v>
      </c>
      <c r="BL114" s="23">
        <f>'Activity data'!BL73*UDSOEF*NtoN2O*kgtoGg</f>
        <v>0.64772415629671909</v>
      </c>
      <c r="BM114" s="23">
        <f>'Activity data'!BM73*UDSOEF*NtoN2O*kgtoGg</f>
        <v>0.64837596625426186</v>
      </c>
      <c r="BN114" s="23">
        <f>'Activity data'!BN73*UDSOEF*NtoN2O*kgtoGg</f>
        <v>0.64907183424215176</v>
      </c>
      <c r="BO114" s="23">
        <f>'Activity data'!BO73*UDSOEF*NtoN2O*kgtoGg</f>
        <v>0.64995932041264637</v>
      </c>
      <c r="BP114" s="23">
        <f>'Activity data'!BP73*UDSOEF*NtoN2O*kgtoGg</f>
        <v>0.6510544149811861</v>
      </c>
    </row>
    <row r="115" spans="1:68" x14ac:dyDescent="0.25">
      <c r="A115" t="str">
        <f t="shared" si="29"/>
        <v>3C Aggregated and non-CO2 emissions on land</v>
      </c>
      <c r="B115" t="str">
        <f t="shared" si="31"/>
        <v>3C4 Direct N2O from managed soils (N2O)</v>
      </c>
      <c r="C115" t="s">
        <v>497</v>
      </c>
      <c r="D115" t="str">
        <f t="shared" si="38"/>
        <v xml:space="preserve"> - Commercial goats</v>
      </c>
      <c r="E115" t="str">
        <f t="shared" si="32"/>
        <v>U&amp;D emissions - Commercial goats</v>
      </c>
      <c r="F115" t="str">
        <f t="shared" si="36"/>
        <v>N2O</v>
      </c>
      <c r="G115" t="str">
        <f t="shared" si="37"/>
        <v>Gg N2O</v>
      </c>
      <c r="H115" s="23">
        <f>'Activity data'!H74*UDSOEF*NtoN2O*kgtoGg</f>
        <v>0.9618222082748461</v>
      </c>
      <c r="I115" s="23">
        <f>'Activity data'!I74*UDSOEF*NtoN2O*kgtoGg</f>
        <v>0.85052266650980479</v>
      </c>
      <c r="J115" s="23">
        <f>'Activity data'!J74*UDSOEF*NtoN2O*kgtoGg</f>
        <v>0.79227243904398814</v>
      </c>
      <c r="K115" s="23">
        <f>'Activity data'!K74*UDSOEF*NtoN2O*kgtoGg</f>
        <v>0.74858476844462585</v>
      </c>
      <c r="L115" s="23">
        <f>'Activity data'!L74*UDSOEF*NtoN2O*kgtoGg</f>
        <v>0.81030227135483579</v>
      </c>
      <c r="M115" s="23">
        <f>'Activity data'!M74*UDSOEF*NtoN2O*kgtoGg</f>
        <v>0.82139755277689641</v>
      </c>
      <c r="N115" s="23">
        <f>'Activity data'!N74*UDSOEF*NtoN2O*kgtoGg</f>
        <v>0.83422647192115318</v>
      </c>
      <c r="O115" s="23">
        <f>'Activity data'!O74*UDSOEF*NtoN2O*kgtoGg</f>
        <v>0.83006574138788081</v>
      </c>
      <c r="P115" s="23">
        <f>'Activity data'!P74*UDSOEF*NtoN2O*kgtoGg</f>
        <v>0.81827700487694188</v>
      </c>
      <c r="Q115" s="23">
        <f>'Activity data'!Q74*UDSOEF*NtoN2O*kgtoGg</f>
        <v>0.80614154082156364</v>
      </c>
      <c r="R115" s="23">
        <f>'Activity data'!R74*UDSOEF*NtoN2O*kgtoGg</f>
        <v>0.81654336715474485</v>
      </c>
      <c r="S115" s="23">
        <f>'Activity data'!S74*UDSOEF*NtoN2O*kgtoGg</f>
        <v>0.84150775035438052</v>
      </c>
      <c r="T115" s="23">
        <f>'Activity data'!T74*UDSOEF*NtoN2O*kgtoGg</f>
        <v>0.76834823847767098</v>
      </c>
      <c r="U115" s="23">
        <f>'Activity data'!U74*UDSOEF*NtoN2O*kgtoGg</f>
        <v>0.7489314959890655</v>
      </c>
      <c r="V115" s="23">
        <f>'Activity data'!V74*UDSOEF*NtoN2O*kgtoGg</f>
        <v>0.75031840616682322</v>
      </c>
      <c r="W115" s="23">
        <f>'Activity data'!W74*UDSOEF*NtoN2O*kgtoGg</f>
        <v>0.74061003492252009</v>
      </c>
      <c r="X115" s="23">
        <f>'Activity data'!X74*UDSOEF*NtoN2O*kgtoGg</f>
        <v>0.75621277442229229</v>
      </c>
      <c r="Y115" s="23">
        <f>'Activity data'!Y74*UDSOEF*NtoN2O*kgtoGg</f>
        <v>0.73367548403373262</v>
      </c>
      <c r="Z115" s="23">
        <f>'Activity data'!Z74*UDSOEF*NtoN2O*kgtoGg</f>
        <v>0.73298202894485398</v>
      </c>
      <c r="AA115" s="23">
        <f>'Activity data'!AA74*UDSOEF*NtoN2O*kgtoGg</f>
        <v>0.72015310980059655</v>
      </c>
      <c r="AB115" s="23">
        <f>'Activity data'!AB74*UDSOEF*NtoN2O*kgtoGg</f>
        <v>0.71148492118961226</v>
      </c>
      <c r="AC115" s="23">
        <f>'Activity data'!AC74*UDSOEF*NtoN2O*kgtoGg</f>
        <v>0.704897097845264</v>
      </c>
      <c r="AD115" s="23">
        <f>'Activity data'!AD74*UDSOEF*NtoN2O*kgtoGg</f>
        <v>0.70316346012306696</v>
      </c>
      <c r="AE115" s="23">
        <f>'Activity data'!AE74*UDSOEF*NtoN2O*kgtoGg</f>
        <v>0.69518872660096109</v>
      </c>
      <c r="AF115" s="23">
        <f>'Activity data'!AF74*UDSOEF*NtoN2O*kgtoGg</f>
        <v>0.68894763080105237</v>
      </c>
      <c r="AG115" s="23">
        <f>'Activity data'!AG74*UDSOEF*NtoN2O*kgtoGg</f>
        <v>0.67958598710118912</v>
      </c>
      <c r="AH115" s="23">
        <f>'Activity data'!AH74*UDSOEF*NtoN2O*kgtoGg</f>
        <v>0.65912906197926535</v>
      </c>
      <c r="AI115" s="23">
        <f>'Activity data'!AI74*UDSOEF*NtoN2O*kgtoGg</f>
        <v>0.63901886440178135</v>
      </c>
      <c r="AJ115" s="23">
        <f>'Activity data'!AJ74*UDSOEF*NtoN2O*kgtoGg</f>
        <v>0.73012836606254772</v>
      </c>
      <c r="AK115" s="23">
        <f>'Activity data'!AK74*UDSOEF*NtoN2O*kgtoGg</f>
        <v>0.72802349263108324</v>
      </c>
      <c r="AL115" s="23">
        <f>'Activity data'!AL74*UDSOEF*NtoN2O*kgtoGg</f>
        <v>0.72599008602223747</v>
      </c>
      <c r="AM115" s="23">
        <f>'Activity data'!AM74*UDSOEF*NtoN2O*kgtoGg</f>
        <v>0.72384601723080388</v>
      </c>
      <c r="AN115" s="23">
        <f>'Activity data'!AN74*UDSOEF*NtoN2O*kgtoGg</f>
        <v>0.7217026749565455</v>
      </c>
      <c r="AO115" s="23">
        <f>'Activity data'!AO74*UDSOEF*NtoN2O*kgtoGg</f>
        <v>0.71955916960786859</v>
      </c>
      <c r="AP115" s="23">
        <f>'Activity data'!AP74*UDSOEF*NtoN2O*kgtoGg</f>
        <v>0.71741628965541726</v>
      </c>
      <c r="AQ115" s="23">
        <f>'Activity data'!AQ74*UDSOEF*NtoN2O*kgtoGg</f>
        <v>0.71527268426851132</v>
      </c>
      <c r="AR115" s="23">
        <f>'Activity data'!AR74*UDSOEF*NtoN2O*kgtoGg</f>
        <v>0.71294847710891329</v>
      </c>
      <c r="AS115" s="23">
        <f>'Activity data'!AS74*UDSOEF*NtoN2O*kgtoGg</f>
        <v>0.71062446228495912</v>
      </c>
      <c r="AT115" s="23">
        <f>'Activity data'!AT74*UDSOEF*NtoN2O*kgtoGg</f>
        <v>0.70829946557199563</v>
      </c>
      <c r="AU115" s="23">
        <f>'Activity data'!AU74*UDSOEF*NtoN2O*kgtoGg</f>
        <v>0.70597373977146305</v>
      </c>
      <c r="AV115" s="23">
        <f>'Activity data'!AV74*UDSOEF*NtoN2O*kgtoGg</f>
        <v>0.70364721833767097</v>
      </c>
      <c r="AW115" s="23">
        <f>'Activity data'!AW74*UDSOEF*NtoN2O*kgtoGg</f>
        <v>0.70139421801966417</v>
      </c>
      <c r="AX115" s="23">
        <f>'Activity data'!AX74*UDSOEF*NtoN2O*kgtoGg</f>
        <v>0.69914252577874469</v>
      </c>
      <c r="AY115" s="23">
        <f>'Activity data'!AY74*UDSOEF*NtoN2O*kgtoGg</f>
        <v>0.69688788322305295</v>
      </c>
      <c r="AZ115" s="23">
        <f>'Activity data'!AZ74*UDSOEF*NtoN2O*kgtoGg</f>
        <v>0.69463117820665099</v>
      </c>
      <c r="BA115" s="23">
        <f>'Activity data'!BA74*UDSOEF*NtoN2O*kgtoGg</f>
        <v>0.69237229905900122</v>
      </c>
      <c r="BB115" s="23">
        <f>'Activity data'!BB74*UDSOEF*NtoN2O*kgtoGg</f>
        <v>0.69002494591739683</v>
      </c>
      <c r="BC115" s="23">
        <f>'Activity data'!BC74*UDSOEF*NtoN2O*kgtoGg</f>
        <v>0.68767609734395108</v>
      </c>
      <c r="BD115" s="23">
        <f>'Activity data'!BD74*UDSOEF*NtoN2O*kgtoGg</f>
        <v>0.68532669326289697</v>
      </c>
      <c r="BE115" s="23">
        <f>'Activity data'!BE74*UDSOEF*NtoN2O*kgtoGg</f>
        <v>0.68297577960762756</v>
      </c>
      <c r="BF115" s="23">
        <f>'Activity data'!BF74*UDSOEF*NtoN2O*kgtoGg</f>
        <v>0.6806225117007787</v>
      </c>
      <c r="BG115" s="23">
        <f>'Activity data'!BG74*UDSOEF*NtoN2O*kgtoGg</f>
        <v>0.67794027993987116</v>
      </c>
      <c r="BH115" s="23">
        <f>'Activity data'!BH74*UDSOEF*NtoN2O*kgtoGg</f>
        <v>0.67525624093499359</v>
      </c>
      <c r="BI115" s="23">
        <f>'Activity data'!BI74*UDSOEF*NtoN2O*kgtoGg</f>
        <v>0.67257049763271826</v>
      </c>
      <c r="BJ115" s="23">
        <f>'Activity data'!BJ74*UDSOEF*NtoN2O*kgtoGg</f>
        <v>0.66988279577169463</v>
      </c>
      <c r="BK115" s="23">
        <f>'Activity data'!BK74*UDSOEF*NtoN2O*kgtoGg</f>
        <v>0.66719212711670606</v>
      </c>
      <c r="BL115" s="23">
        <f>'Activity data'!BL74*UDSOEF*NtoN2O*kgtoGg</f>
        <v>0.66459211029000098</v>
      </c>
      <c r="BM115" s="23">
        <f>'Activity data'!BM74*UDSOEF*NtoN2O*kgtoGg</f>
        <v>0.66198953541033667</v>
      </c>
      <c r="BN115" s="23">
        <f>'Activity data'!BN74*UDSOEF*NtoN2O*kgtoGg</f>
        <v>0.65938631902096523</v>
      </c>
      <c r="BO115" s="23">
        <f>'Activity data'!BO74*UDSOEF*NtoN2O*kgtoGg</f>
        <v>0.65678031277680093</v>
      </c>
      <c r="BP115" s="23">
        <f>'Activity data'!BP74*UDSOEF*NtoN2O*kgtoGg</f>
        <v>0.65417128382585565</v>
      </c>
    </row>
    <row r="116" spans="1:68" x14ac:dyDescent="0.25">
      <c r="A116" t="str">
        <f t="shared" si="29"/>
        <v>3C Aggregated and non-CO2 emissions on land</v>
      </c>
      <c r="B116" t="str">
        <f t="shared" si="31"/>
        <v>3C4 Direct N2O from managed soils (N2O)</v>
      </c>
      <c r="C116" t="s">
        <v>497</v>
      </c>
      <c r="D116" t="str">
        <f t="shared" si="38"/>
        <v xml:space="preserve"> - Subsistence goats</v>
      </c>
      <c r="E116" t="str">
        <f t="shared" si="32"/>
        <v>U&amp;D emissions - Subsistence goats</v>
      </c>
      <c r="F116" t="str">
        <f t="shared" si="36"/>
        <v>N2O</v>
      </c>
      <c r="G116" t="str">
        <f t="shared" si="37"/>
        <v>Gg N2O</v>
      </c>
      <c r="H116" s="23">
        <f>'Activity data'!H75*UDSOEF*NtoN2O*kgtoGg</f>
        <v>1.619719745746157</v>
      </c>
      <c r="I116" s="23">
        <f>'Activity data'!I75*UDSOEF*NtoN2O*kgtoGg</f>
        <v>1.4322900275109314</v>
      </c>
      <c r="J116" s="23">
        <f>'Activity data'!J75*UDSOEF*NtoN2O*kgtoGg</f>
        <v>1.334195969369131</v>
      </c>
      <c r="K116" s="23">
        <f>'Activity data'!K75*UDSOEF*NtoN2O*kgtoGg</f>
        <v>1.2606254257627807</v>
      </c>
      <c r="L116" s="23">
        <f>'Activity data'!L75*UDSOEF*NtoN2O*kgtoGg</f>
        <v>1.3645584159368309</v>
      </c>
      <c r="M116" s="23">
        <f>'Activity data'!M75*UDSOEF*NtoN2O*kgtoGg</f>
        <v>1.3832429984400314</v>
      </c>
      <c r="N116" s="23">
        <f>'Activity data'!N75*UDSOEF*NtoN2O*kgtoGg</f>
        <v>1.4048470469593564</v>
      </c>
      <c r="O116" s="23">
        <f>'Activity data'!O75*UDSOEF*NtoN2O*kgtoGg</f>
        <v>1.3978403285206562</v>
      </c>
      <c r="P116" s="23">
        <f>'Activity data'!P75*UDSOEF*NtoN2O*kgtoGg</f>
        <v>1.3779879596110063</v>
      </c>
      <c r="Q116" s="23">
        <f>'Activity data'!Q75*UDSOEF*NtoN2O*kgtoGg</f>
        <v>1.3575516974981312</v>
      </c>
      <c r="R116" s="23">
        <f>'Activity data'!R75*UDSOEF*NtoN2O*kgtoGg</f>
        <v>1.3750684935948814</v>
      </c>
      <c r="S116" s="23">
        <f>'Activity data'!S75*UDSOEF*NtoN2O*kgtoGg</f>
        <v>1.4171088042270812</v>
      </c>
      <c r="T116" s="23">
        <f>'Activity data'!T75*UDSOEF*NtoN2O*kgtoGg</f>
        <v>1.2939073383466055</v>
      </c>
      <c r="U116" s="23">
        <f>'Activity data'!U75*UDSOEF*NtoN2O*kgtoGg</f>
        <v>1.2612093189660056</v>
      </c>
      <c r="V116" s="23">
        <f>'Activity data'!V75*UDSOEF*NtoN2O*kgtoGg</f>
        <v>1.2635448917789056</v>
      </c>
      <c r="W116" s="23">
        <f>'Activity data'!W75*UDSOEF*NtoN2O*kgtoGg</f>
        <v>1.2471958820886055</v>
      </c>
      <c r="X116" s="23">
        <f>'Activity data'!X75*UDSOEF*NtoN2O*kgtoGg</f>
        <v>1.2734710762337309</v>
      </c>
      <c r="Y116" s="23">
        <f>'Activity data'!Y75*UDSOEF*NtoN2O*kgtoGg</f>
        <v>1.2355180180241057</v>
      </c>
      <c r="Z116" s="23">
        <f>'Activity data'!Z75*UDSOEF*NtoN2O*kgtoGg</f>
        <v>1.2343502316176553</v>
      </c>
      <c r="AA116" s="23">
        <f>'Activity data'!AA75*UDSOEF*NtoN2O*kgtoGg</f>
        <v>1.2127461830983304</v>
      </c>
      <c r="AB116" s="23">
        <f>'Activity data'!AB75*UDSOEF*NtoN2O*kgtoGg</f>
        <v>1.1981488530177054</v>
      </c>
      <c r="AC116" s="23">
        <f>'Activity data'!AC75*UDSOEF*NtoN2O*kgtoGg</f>
        <v>1.1870548821564302</v>
      </c>
      <c r="AD116" s="23">
        <f>'Activity data'!AD75*UDSOEF*NtoN2O*kgtoGg</f>
        <v>1.1841354161403053</v>
      </c>
      <c r="AE116" s="23">
        <f>'Activity data'!AE75*UDSOEF*NtoN2O*kgtoGg</f>
        <v>1.1707058724661303</v>
      </c>
      <c r="AF116" s="23">
        <f>'Activity data'!AF75*UDSOEF*NtoN2O*kgtoGg</f>
        <v>1.1601957948080803</v>
      </c>
      <c r="AG116" s="23">
        <f>'Activity data'!AG75*UDSOEF*NtoN2O*kgtoGg</f>
        <v>1.144430678321005</v>
      </c>
      <c r="AH116" s="23">
        <f>'Activity data'!AH75*UDSOEF*NtoN2O*kgtoGg</f>
        <v>1.1099809793307298</v>
      </c>
      <c r="AI116" s="23">
        <f>'Activity data'!AI75*UDSOEF*NtoN2O*kgtoGg</f>
        <v>1.07611517354368</v>
      </c>
      <c r="AJ116" s="23">
        <f>'Activity data'!AJ75*UDSOEF*NtoN2O*kgtoGg</f>
        <v>1.0952691429798473</v>
      </c>
      <c r="AK116" s="23">
        <f>'Activity data'!AK75*UDSOEF*NtoN2O*kgtoGg</f>
        <v>1.0834127758559307</v>
      </c>
      <c r="AL116" s="23">
        <f>'Activity data'!AL75*UDSOEF*NtoN2O*kgtoGg</f>
        <v>1.0715564087320142</v>
      </c>
      <c r="AM116" s="23">
        <f>'Activity data'!AM75*UDSOEF*NtoN2O*kgtoGg</f>
        <v>1.0595387013332302</v>
      </c>
      <c r="AN116" s="23">
        <f>'Activity data'!AN75*UDSOEF*NtoN2O*kgtoGg</f>
        <v>1.047520994156274</v>
      </c>
      <c r="AO116" s="23">
        <f>'Activity data'!AO75*UDSOEF*NtoN2O*kgtoGg</f>
        <v>1.0355032869793175</v>
      </c>
      <c r="AP116" s="23">
        <f>'Activity data'!AP75*UDSOEF*NtoN2O*kgtoGg</f>
        <v>1.023485579802361</v>
      </c>
      <c r="AQ116" s="23">
        <f>'Activity data'!AQ75*UDSOEF*NtoN2O*kgtoGg</f>
        <v>1.0114678724035771</v>
      </c>
      <c r="AR116" s="23">
        <f>'Activity data'!AR75*UDSOEF*NtoN2O*kgtoGg</f>
        <v>0.99844797584197942</v>
      </c>
      <c r="AS116" s="23">
        <f>'Activity data'!AS75*UDSOEF*NtoN2O*kgtoGg</f>
        <v>0.98542807928038223</v>
      </c>
      <c r="AT116" s="23">
        <f>'Activity data'!AT75*UDSOEF*NtoN2O*kgtoGg</f>
        <v>0.97240818271878471</v>
      </c>
      <c r="AU116" s="23">
        <f>'Activity data'!AU75*UDSOEF*NtoN2O*kgtoGg</f>
        <v>0.95938828615718719</v>
      </c>
      <c r="AV116" s="23">
        <f>'Activity data'!AV75*UDSOEF*NtoN2O*kgtoGg</f>
        <v>0.94636838959558967</v>
      </c>
      <c r="AW116" s="23">
        <f>'Activity data'!AW75*UDSOEF*NtoN2O*kgtoGg</f>
        <v>0.93379052029396414</v>
      </c>
      <c r="AX116" s="23">
        <f>'Activity data'!AX75*UDSOEF*NtoN2O*kgtoGg</f>
        <v>0.92121265121416662</v>
      </c>
      <c r="AY116" s="23">
        <f>'Activity data'!AY75*UDSOEF*NtoN2O*kgtoGg</f>
        <v>0.9086347819125411</v>
      </c>
      <c r="AZ116" s="23">
        <f>'Activity data'!AZ75*UDSOEF*NtoN2O*kgtoGg</f>
        <v>0.89605691283274336</v>
      </c>
      <c r="BA116" s="23">
        <f>'Activity data'!BA75*UDSOEF*NtoN2O*kgtoGg</f>
        <v>0.88347904375294595</v>
      </c>
      <c r="BB116" s="23">
        <f>'Activity data'!BB75*UDSOEF*NtoN2O*kgtoGg</f>
        <v>0.87040667958116613</v>
      </c>
      <c r="BC116" s="23">
        <f>'Activity data'!BC75*UDSOEF*NtoN2O*kgtoGg</f>
        <v>0.85733431540938687</v>
      </c>
      <c r="BD116" s="23">
        <f>'Activity data'!BD75*UDSOEF*NtoN2O*kgtoGg</f>
        <v>0.84426195145943517</v>
      </c>
      <c r="BE116" s="23">
        <f>'Activity data'!BE75*UDSOEF*NtoN2O*kgtoGg</f>
        <v>0.83118958728765602</v>
      </c>
      <c r="BF116" s="23">
        <f>'Activity data'!BF75*UDSOEF*NtoN2O*kgtoGg</f>
        <v>0.81811722311587654</v>
      </c>
      <c r="BG116" s="23">
        <f>'Activity data'!BG75*UDSOEF*NtoN2O*kgtoGg</f>
        <v>0.80319474879968056</v>
      </c>
      <c r="BH116" s="23">
        <f>'Activity data'!BH75*UDSOEF*NtoN2O*kgtoGg</f>
        <v>0.78827227470531236</v>
      </c>
      <c r="BI116" s="23">
        <f>'Activity data'!BI75*UDSOEF*NtoN2O*kgtoGg</f>
        <v>0.7733498003891166</v>
      </c>
      <c r="BJ116" s="23">
        <f>'Activity data'!BJ75*UDSOEF*NtoN2O*kgtoGg</f>
        <v>0.75842732607292085</v>
      </c>
      <c r="BK116" s="23">
        <f>'Activity data'!BK75*UDSOEF*NtoN2O*kgtoGg</f>
        <v>0.7435048517567252</v>
      </c>
      <c r="BL116" s="23">
        <f>'Activity data'!BL75*UDSOEF*NtoN2O*kgtoGg</f>
        <v>0.72910905354223621</v>
      </c>
      <c r="BM116" s="23">
        <f>'Activity data'!BM75*UDSOEF*NtoN2O*kgtoGg</f>
        <v>0.71471325532774788</v>
      </c>
      <c r="BN116" s="23">
        <f>'Activity data'!BN75*UDSOEF*NtoN2O*kgtoGg</f>
        <v>0.70031745689143154</v>
      </c>
      <c r="BO116" s="23">
        <f>'Activity data'!BO75*UDSOEF*NtoN2O*kgtoGg</f>
        <v>0.68592165867694332</v>
      </c>
      <c r="BP116" s="23">
        <f>'Activity data'!BP75*UDSOEF*NtoN2O*kgtoGg</f>
        <v>0.67152586046245466</v>
      </c>
    </row>
    <row r="117" spans="1:68" x14ac:dyDescent="0.25">
      <c r="A117" t="str">
        <f t="shared" si="29"/>
        <v>3C Aggregated and non-CO2 emissions on land</v>
      </c>
      <c r="B117" t="str">
        <f t="shared" si="31"/>
        <v>3C4 Direct N2O from managed soils (N2O)</v>
      </c>
      <c r="C117" t="s">
        <v>497</v>
      </c>
      <c r="D117" t="str">
        <f t="shared" si="38"/>
        <v xml:space="preserve"> - Horses</v>
      </c>
      <c r="E117" t="str">
        <f t="shared" si="32"/>
        <v>U&amp;D emissions - Horses</v>
      </c>
      <c r="F117" t="str">
        <f t="shared" si="36"/>
        <v>N2O</v>
      </c>
      <c r="G117" t="str">
        <f t="shared" si="37"/>
        <v>Gg N2O</v>
      </c>
      <c r="H117" s="23">
        <f>'Activity data'!H76*UDSOEF*NtoN2O*kgtoGg</f>
        <v>0.1427642857142857</v>
      </c>
      <c r="I117" s="23">
        <f>'Activity data'!I76*UDSOEF*NtoN2O*kgtoGg</f>
        <v>0.1427642857142857</v>
      </c>
      <c r="J117" s="23">
        <f>'Activity data'!J76*UDSOEF*NtoN2O*kgtoGg</f>
        <v>0.1427642857142857</v>
      </c>
      <c r="K117" s="23">
        <f>'Activity data'!K76*UDSOEF*NtoN2O*kgtoGg</f>
        <v>0.14586785714285713</v>
      </c>
      <c r="L117" s="23">
        <f>'Activity data'!L76*UDSOEF*NtoN2O*kgtoGg</f>
        <v>0.14897142857142856</v>
      </c>
      <c r="M117" s="23">
        <f>'Activity data'!M76*UDSOEF*NtoN2O*kgtoGg</f>
        <v>0.15207499999999999</v>
      </c>
      <c r="N117" s="23">
        <f>'Activity data'!N76*UDSOEF*NtoN2O*kgtoGg</f>
        <v>0.15517857142857142</v>
      </c>
      <c r="O117" s="23">
        <f>'Activity data'!O76*UDSOEF*NtoN2O*kgtoGg</f>
        <v>0.15828214285714284</v>
      </c>
      <c r="P117" s="23">
        <f>'Activity data'!P76*UDSOEF*NtoN2O*kgtoGg</f>
        <v>0.16138571428571427</v>
      </c>
      <c r="Q117" s="23">
        <f>'Activity data'!Q76*UDSOEF*NtoN2O*kgtoGg</f>
        <v>0.16014428571428571</v>
      </c>
      <c r="R117" s="23">
        <f>'Activity data'!R76*UDSOEF*NtoN2O*kgtoGg</f>
        <v>0.16759285714285713</v>
      </c>
      <c r="S117" s="23">
        <f>'Activity data'!S76*UDSOEF*NtoN2O*kgtoGg</f>
        <v>0.16759285714285713</v>
      </c>
      <c r="T117" s="23">
        <f>'Activity data'!T76*UDSOEF*NtoN2O*kgtoGg</f>
        <v>0.16759285714285713</v>
      </c>
      <c r="U117" s="23">
        <f>'Activity data'!U76*UDSOEF*NtoN2O*kgtoGg</f>
        <v>0.16759285714285713</v>
      </c>
      <c r="V117" s="23">
        <f>'Activity data'!V76*UDSOEF*NtoN2O*kgtoGg</f>
        <v>0.16759285714285713</v>
      </c>
      <c r="W117" s="23">
        <f>'Activity data'!W76*UDSOEF*NtoN2O*kgtoGg</f>
        <v>0.16759285714285713</v>
      </c>
      <c r="X117" s="23">
        <f>'Activity data'!X76*UDSOEF*NtoN2O*kgtoGg</f>
        <v>0.17379999999999998</v>
      </c>
      <c r="Y117" s="23">
        <f>'Activity data'!Y76*UDSOEF*NtoN2O*kgtoGg</f>
        <v>0.18000714285714284</v>
      </c>
      <c r="Z117" s="23">
        <f>'Activity data'!Z76*UDSOEF*NtoN2O*kgtoGg</f>
        <v>0.18497285714285713</v>
      </c>
      <c r="AA117" s="23">
        <f>'Activity data'!AA76*UDSOEF*NtoN2O*kgtoGg</f>
        <v>0.18621428571428569</v>
      </c>
      <c r="AB117" s="23">
        <f>'Activity data'!AB76*UDSOEF*NtoN2O*kgtoGg</f>
        <v>0.18621428571428569</v>
      </c>
      <c r="AC117" s="23">
        <f>'Activity data'!AC76*UDSOEF*NtoN2O*kgtoGg</f>
        <v>0.18931785714285712</v>
      </c>
      <c r="AD117" s="23">
        <f>'Activity data'!AD76*UDSOEF*NtoN2O*kgtoGg</f>
        <v>0.19117999999999999</v>
      </c>
      <c r="AE117" s="23">
        <f>'Activity data'!AE76*UDSOEF*NtoN2O*kgtoGg</f>
        <v>0.19242142857142858</v>
      </c>
      <c r="AF117" s="23">
        <f>'Activity data'!AF76*UDSOEF*NtoN2O*kgtoGg</f>
        <v>0.19366285714285711</v>
      </c>
      <c r="AG117" s="23">
        <f>'Activity data'!AG76*UDSOEF*NtoN2O*kgtoGg</f>
        <v>0.195416375</v>
      </c>
      <c r="AH117" s="23">
        <f>'Activity data'!AH76*UDSOEF*NtoN2O*kgtoGg</f>
        <v>0.19916238571428571</v>
      </c>
      <c r="AI117" s="23">
        <f>'Activity data'!AI76*UDSOEF*NtoN2O*kgtoGg</f>
        <v>0.20034857071428572</v>
      </c>
      <c r="AJ117" s="23">
        <f>'Activity data'!AJ76*UDSOEF*NtoN2O*kgtoGg</f>
        <v>0.19705704530376586</v>
      </c>
      <c r="AK117" s="23">
        <f>'Activity data'!AK76*UDSOEF*NtoN2O*kgtoGg</f>
        <v>0.19701855408827507</v>
      </c>
      <c r="AL117" s="23">
        <f>'Activity data'!AL76*UDSOEF*NtoN2O*kgtoGg</f>
        <v>0.1936771132450277</v>
      </c>
      <c r="AM117" s="23">
        <f>'Activity data'!AM76*UDSOEF*NtoN2O*kgtoGg</f>
        <v>0.19415378264702984</v>
      </c>
      <c r="AN117" s="23">
        <f>'Activity data'!AN76*UDSOEF*NtoN2O*kgtoGg</f>
        <v>0.19458862700123938</v>
      </c>
      <c r="AO117" s="23">
        <f>'Activity data'!AO76*UDSOEF*NtoN2O*kgtoGg</f>
        <v>0.19502278676150453</v>
      </c>
      <c r="AP117" s="23">
        <f>'Activity data'!AP76*UDSOEF*NtoN2O*kgtoGg</f>
        <v>0.1954211636323781</v>
      </c>
      <c r="AQ117" s="23">
        <f>'Activity data'!AQ76*UDSOEF*NtoN2O*kgtoGg</f>
        <v>0.19584434638048384</v>
      </c>
      <c r="AR117" s="23">
        <f>'Activity data'!AR76*UDSOEF*NtoN2O*kgtoGg</f>
        <v>0.19637471186665587</v>
      </c>
      <c r="AS117" s="23">
        <f>'Activity data'!AS76*UDSOEF*NtoN2O*kgtoGg</f>
        <v>0.19688655316165266</v>
      </c>
      <c r="AT117" s="23">
        <f>'Activity data'!AT76*UDSOEF*NtoN2O*kgtoGg</f>
        <v>0.19743074349343628</v>
      </c>
      <c r="AU117" s="23">
        <f>'Activity data'!AU76*UDSOEF*NtoN2O*kgtoGg</f>
        <v>0.19799563095594341</v>
      </c>
      <c r="AV117" s="23">
        <f>'Activity data'!AV76*UDSOEF*NtoN2O*kgtoGg</f>
        <v>0.19858343506423085</v>
      </c>
      <c r="AW117" s="23">
        <f>'Activity data'!AW76*UDSOEF*NtoN2O*kgtoGg</f>
        <v>0.19936879808470359</v>
      </c>
      <c r="AX117" s="23">
        <f>'Activity data'!AX76*UDSOEF*NtoN2O*kgtoGg</f>
        <v>0.20008617530028891</v>
      </c>
      <c r="AY117" s="23">
        <f>'Activity data'!AY76*UDSOEF*NtoN2O*kgtoGg</f>
        <v>0.20091179473803683</v>
      </c>
      <c r="AZ117" s="23">
        <f>'Activity data'!AZ76*UDSOEF*NtoN2O*kgtoGg</f>
        <v>0.20180677748392412</v>
      </c>
      <c r="BA117" s="23">
        <f>'Activity data'!BA76*UDSOEF*NtoN2O*kgtoGg</f>
        <v>0.2027738198547</v>
      </c>
      <c r="BB117" s="23">
        <f>'Activity data'!BB76*UDSOEF*NtoN2O*kgtoGg</f>
        <v>0.20374804201116961</v>
      </c>
      <c r="BC117" s="23">
        <f>'Activity data'!BC76*UDSOEF*NtoN2O*kgtoGg</f>
        <v>0.20476421828809754</v>
      </c>
      <c r="BD117" s="23">
        <f>'Activity data'!BD76*UDSOEF*NtoN2O*kgtoGg</f>
        <v>0.20578440487801183</v>
      </c>
      <c r="BE117" s="23">
        <f>'Activity data'!BE76*UDSOEF*NtoN2O*kgtoGg</f>
        <v>0.20684556975988158</v>
      </c>
      <c r="BF117" s="23">
        <f>'Activity data'!BF76*UDSOEF*NtoN2O*kgtoGg</f>
        <v>0.20797920058979316</v>
      </c>
      <c r="BG117" s="23">
        <f>'Activity data'!BG76*UDSOEF*NtoN2O*kgtoGg</f>
        <v>0.20909363990628407</v>
      </c>
      <c r="BH117" s="23">
        <f>'Activity data'!BH76*UDSOEF*NtoN2O*kgtoGg</f>
        <v>0.21025492769793136</v>
      </c>
      <c r="BI117" s="23">
        <f>'Activity data'!BI76*UDSOEF*NtoN2O*kgtoGg</f>
        <v>0.21145786915477072</v>
      </c>
      <c r="BJ117" s="23">
        <f>'Activity data'!BJ76*UDSOEF*NtoN2O*kgtoGg</f>
        <v>0.21271071237681388</v>
      </c>
      <c r="BK117" s="23">
        <f>'Activity data'!BK76*UDSOEF*NtoN2O*kgtoGg</f>
        <v>0.2140490855520901</v>
      </c>
      <c r="BL117" s="23">
        <f>'Activity data'!BL76*UDSOEF*NtoN2O*kgtoGg</f>
        <v>0.21547369965205584</v>
      </c>
      <c r="BM117" s="23">
        <f>'Activity data'!BM76*UDSOEF*NtoN2O*kgtoGg</f>
        <v>0.2169653515043044</v>
      </c>
      <c r="BN117" s="23">
        <f>'Activity data'!BN76*UDSOEF*NtoN2O*kgtoGg</f>
        <v>0.21845374207331378</v>
      </c>
      <c r="BO117" s="23">
        <f>'Activity data'!BO76*UDSOEF*NtoN2O*kgtoGg</f>
        <v>0.22001511079718328</v>
      </c>
      <c r="BP117" s="23">
        <f>'Activity data'!BP76*UDSOEF*NtoN2O*kgtoGg</f>
        <v>0.22165574940025901</v>
      </c>
    </row>
    <row r="118" spans="1:68" x14ac:dyDescent="0.25">
      <c r="A118" t="str">
        <f t="shared" si="29"/>
        <v>3C Aggregated and non-CO2 emissions on land</v>
      </c>
      <c r="B118" t="str">
        <f t="shared" si="31"/>
        <v>3C4 Direct N2O from managed soils (N2O)</v>
      </c>
      <c r="C118" t="s">
        <v>497</v>
      </c>
      <c r="D118" t="str">
        <f t="shared" si="38"/>
        <v xml:space="preserve"> - Mules &amp; Asses</v>
      </c>
      <c r="E118" t="str">
        <f t="shared" si="32"/>
        <v>U&amp;D emissions - Mules &amp; Asses</v>
      </c>
      <c r="F118" t="str">
        <f t="shared" si="36"/>
        <v>N2O</v>
      </c>
      <c r="G118" t="str">
        <f t="shared" si="37"/>
        <v>Gg N2O</v>
      </c>
      <c r="H118" s="23">
        <f>'Activity data'!H77*UDSOEF*NtoN2O*kgtoGg</f>
        <v>4.6463999999999998E-2</v>
      </c>
      <c r="I118" s="23">
        <f>'Activity data'!I77*UDSOEF*NtoN2O*kgtoGg</f>
        <v>4.6463999999999998E-2</v>
      </c>
      <c r="J118" s="23">
        <f>'Activity data'!J77*UDSOEF*NtoN2O*kgtoGg</f>
        <v>4.6463999999999998E-2</v>
      </c>
      <c r="K118" s="23">
        <f>'Activity data'!K77*UDSOEF*NtoN2O*kgtoGg</f>
        <v>4.6463999999999998E-2</v>
      </c>
      <c r="L118" s="23">
        <f>'Activity data'!L77*UDSOEF*NtoN2O*kgtoGg</f>
        <v>4.6463999999999998E-2</v>
      </c>
      <c r="M118" s="23">
        <f>'Activity data'!M77*UDSOEF*NtoN2O*kgtoGg</f>
        <v>4.6463999999999998E-2</v>
      </c>
      <c r="N118" s="23">
        <f>'Activity data'!N77*UDSOEF*NtoN2O*kgtoGg</f>
        <v>4.6463999999999998E-2</v>
      </c>
      <c r="O118" s="23">
        <f>'Activity data'!O77*UDSOEF*NtoN2O*kgtoGg</f>
        <v>4.6463999999999998E-2</v>
      </c>
      <c r="P118" s="23">
        <f>'Activity data'!P77*UDSOEF*NtoN2O*kgtoGg</f>
        <v>4.6463999999999998E-2</v>
      </c>
      <c r="Q118" s="23">
        <f>'Activity data'!Q77*UDSOEF*NtoN2O*kgtoGg</f>
        <v>4.6463999999999998E-2</v>
      </c>
      <c r="R118" s="23">
        <f>'Activity data'!R77*UDSOEF*NtoN2O*kgtoGg</f>
        <v>3.4018285714285709E-2</v>
      </c>
      <c r="S118" s="23">
        <f>'Activity data'!S77*UDSOEF*NtoN2O*kgtoGg</f>
        <v>3.4018285714285709E-2</v>
      </c>
      <c r="T118" s="23">
        <f>'Activity data'!T77*UDSOEF*NtoN2O*kgtoGg</f>
        <v>3.4018285714285709E-2</v>
      </c>
      <c r="U118" s="23">
        <f>'Activity data'!U77*UDSOEF*NtoN2O*kgtoGg</f>
        <v>3.4018285714285709E-2</v>
      </c>
      <c r="V118" s="23">
        <f>'Activity data'!V77*UDSOEF*NtoN2O*kgtoGg</f>
        <v>3.4018285714285709E-2</v>
      </c>
      <c r="W118" s="23">
        <f>'Activity data'!W77*UDSOEF*NtoN2O*kgtoGg</f>
        <v>3.4018285714285709E-2</v>
      </c>
      <c r="X118" s="23">
        <f>'Activity data'!X77*UDSOEF*NtoN2O*kgtoGg</f>
        <v>3.4028657142857147E-2</v>
      </c>
      <c r="Y118" s="23">
        <f>'Activity data'!Y77*UDSOEF*NtoN2O*kgtoGg</f>
        <v>3.414274285714286E-2</v>
      </c>
      <c r="Z118" s="23">
        <f>'Activity data'!Z77*UDSOEF*NtoN2O*kgtoGg</f>
        <v>3.4163485714285714E-2</v>
      </c>
      <c r="AA118" s="23">
        <f>'Activity data'!AA77*UDSOEF*NtoN2O*kgtoGg</f>
        <v>3.4184228571428575E-2</v>
      </c>
      <c r="AB118" s="23">
        <f>'Activity data'!AB77*UDSOEF*NtoN2O*kgtoGg</f>
        <v>3.4495371428571432E-2</v>
      </c>
      <c r="AC118" s="23">
        <f>'Activity data'!AC77*UDSOEF*NtoN2O*kgtoGg</f>
        <v>3.4640571428571423E-2</v>
      </c>
      <c r="AD118" s="23">
        <f>'Activity data'!AD77*UDSOEF*NtoN2O*kgtoGg</f>
        <v>3.4640571428571423E-2</v>
      </c>
      <c r="AE118" s="23">
        <f>'Activity data'!AE77*UDSOEF*NtoN2O*kgtoGg</f>
        <v>3.5366571428571428E-2</v>
      </c>
      <c r="AF118" s="23">
        <f>'Activity data'!AF77*UDSOEF*NtoN2O*kgtoGg</f>
        <v>3.5470285714285711E-2</v>
      </c>
      <c r="AG118" s="23">
        <f>'Activity data'!AG77*UDSOEF*NtoN2O*kgtoGg</f>
        <v>3.5061443999999997E-2</v>
      </c>
      <c r="AH118" s="23">
        <f>'Activity data'!AH77*UDSOEF*NtoN2O*kgtoGg</f>
        <v>3.3576048000000004E-2</v>
      </c>
      <c r="AI118" s="23">
        <f>'Activity data'!AI77*UDSOEF*NtoN2O*kgtoGg</f>
        <v>3.3773520000000001E-2</v>
      </c>
      <c r="AJ118" s="23">
        <f>'Activity data'!AJ77*UDSOEF*NtoN2O*kgtoGg</f>
        <v>3.3188571428571428E-2</v>
      </c>
      <c r="AK118" s="23">
        <f>'Activity data'!AK77*UDSOEF*NtoN2O*kgtoGg</f>
        <v>3.3188571428571428E-2</v>
      </c>
      <c r="AL118" s="23">
        <f>'Activity data'!AL77*UDSOEF*NtoN2O*kgtoGg</f>
        <v>3.3188571428571428E-2</v>
      </c>
      <c r="AM118" s="23">
        <f>'Activity data'!AM77*UDSOEF*NtoN2O*kgtoGg</f>
        <v>3.3188571428571428E-2</v>
      </c>
      <c r="AN118" s="23">
        <f>'Activity data'!AN77*UDSOEF*NtoN2O*kgtoGg</f>
        <v>3.3188571428571428E-2</v>
      </c>
      <c r="AO118" s="23">
        <f>'Activity data'!AO77*UDSOEF*NtoN2O*kgtoGg</f>
        <v>3.3188571428571428E-2</v>
      </c>
      <c r="AP118" s="23">
        <f>'Activity data'!AP77*UDSOEF*NtoN2O*kgtoGg</f>
        <v>3.3188571428571428E-2</v>
      </c>
      <c r="AQ118" s="23">
        <f>'Activity data'!AQ77*UDSOEF*NtoN2O*kgtoGg</f>
        <v>3.3188571428571428E-2</v>
      </c>
      <c r="AR118" s="23">
        <f>'Activity data'!AR77*UDSOEF*NtoN2O*kgtoGg</f>
        <v>3.3188571428571428E-2</v>
      </c>
      <c r="AS118" s="23">
        <f>'Activity data'!AS77*UDSOEF*NtoN2O*kgtoGg</f>
        <v>3.3188571428571428E-2</v>
      </c>
      <c r="AT118" s="23">
        <f>'Activity data'!AT77*UDSOEF*NtoN2O*kgtoGg</f>
        <v>3.3188571428571428E-2</v>
      </c>
      <c r="AU118" s="23">
        <f>'Activity data'!AU77*UDSOEF*NtoN2O*kgtoGg</f>
        <v>3.3188571428571428E-2</v>
      </c>
      <c r="AV118" s="23">
        <f>'Activity data'!AV77*UDSOEF*NtoN2O*kgtoGg</f>
        <v>3.3188571428571428E-2</v>
      </c>
      <c r="AW118" s="23">
        <f>'Activity data'!AW77*UDSOEF*NtoN2O*kgtoGg</f>
        <v>3.3188571428571428E-2</v>
      </c>
      <c r="AX118" s="23">
        <f>'Activity data'!AX77*UDSOEF*NtoN2O*kgtoGg</f>
        <v>3.3188571428571428E-2</v>
      </c>
      <c r="AY118" s="23">
        <f>'Activity data'!AY77*UDSOEF*NtoN2O*kgtoGg</f>
        <v>3.3188571428571428E-2</v>
      </c>
      <c r="AZ118" s="23">
        <f>'Activity data'!AZ77*UDSOEF*NtoN2O*kgtoGg</f>
        <v>3.3188571428571428E-2</v>
      </c>
      <c r="BA118" s="23">
        <f>'Activity data'!BA77*UDSOEF*NtoN2O*kgtoGg</f>
        <v>3.3188571428571428E-2</v>
      </c>
      <c r="BB118" s="23">
        <f>'Activity data'!BB77*UDSOEF*NtoN2O*kgtoGg</f>
        <v>3.3188571428571428E-2</v>
      </c>
      <c r="BC118" s="23">
        <f>'Activity data'!BC77*UDSOEF*NtoN2O*kgtoGg</f>
        <v>3.3188571428571428E-2</v>
      </c>
      <c r="BD118" s="23">
        <f>'Activity data'!BD77*UDSOEF*NtoN2O*kgtoGg</f>
        <v>3.3188571428571428E-2</v>
      </c>
      <c r="BE118" s="23">
        <f>'Activity data'!BE77*UDSOEF*NtoN2O*kgtoGg</f>
        <v>3.3188571428571428E-2</v>
      </c>
      <c r="BF118" s="23">
        <f>'Activity data'!BF77*UDSOEF*NtoN2O*kgtoGg</f>
        <v>3.3188571428571428E-2</v>
      </c>
      <c r="BG118" s="23">
        <f>'Activity data'!BG77*UDSOEF*NtoN2O*kgtoGg</f>
        <v>3.3188571428571428E-2</v>
      </c>
      <c r="BH118" s="23">
        <f>'Activity data'!BH77*UDSOEF*NtoN2O*kgtoGg</f>
        <v>3.3188571428571428E-2</v>
      </c>
      <c r="BI118" s="23">
        <f>'Activity data'!BI77*UDSOEF*NtoN2O*kgtoGg</f>
        <v>3.3188571428571428E-2</v>
      </c>
      <c r="BJ118" s="23">
        <f>'Activity data'!BJ77*UDSOEF*NtoN2O*kgtoGg</f>
        <v>3.3188571428571428E-2</v>
      </c>
      <c r="BK118" s="23">
        <f>'Activity data'!BK77*UDSOEF*NtoN2O*kgtoGg</f>
        <v>3.3188571428571428E-2</v>
      </c>
      <c r="BL118" s="23">
        <f>'Activity data'!BL77*UDSOEF*NtoN2O*kgtoGg</f>
        <v>3.3188571428571428E-2</v>
      </c>
      <c r="BM118" s="23">
        <f>'Activity data'!BM77*UDSOEF*NtoN2O*kgtoGg</f>
        <v>3.3188571428571428E-2</v>
      </c>
      <c r="BN118" s="23">
        <f>'Activity data'!BN77*UDSOEF*NtoN2O*kgtoGg</f>
        <v>3.3188571428571428E-2</v>
      </c>
      <c r="BO118" s="23">
        <f>'Activity data'!BO77*UDSOEF*NtoN2O*kgtoGg</f>
        <v>3.3188571428571428E-2</v>
      </c>
      <c r="BP118" s="23">
        <f>'Activity data'!BP77*UDSOEF*NtoN2O*kgtoGg</f>
        <v>3.3188571428571428E-2</v>
      </c>
    </row>
    <row r="119" spans="1:68" x14ac:dyDescent="0.25">
      <c r="A119" t="str">
        <f t="shared" si="29"/>
        <v>3C Aggregated and non-CO2 emissions on land</v>
      </c>
      <c r="B119" t="str">
        <f t="shared" si="31"/>
        <v>3C4 Direct N2O from managed soils (N2O)</v>
      </c>
      <c r="C119" t="s">
        <v>497</v>
      </c>
      <c r="D119" t="str">
        <f t="shared" si="38"/>
        <v xml:space="preserve"> - Commercial swine</v>
      </c>
      <c r="E119" t="str">
        <f t="shared" si="32"/>
        <v>U&amp;D emissions - Commercial swine</v>
      </c>
      <c r="F119" t="str">
        <f t="shared" si="36"/>
        <v>N2O</v>
      </c>
      <c r="G119" t="str">
        <f t="shared" si="37"/>
        <v>Gg N2O</v>
      </c>
      <c r="H119" s="23">
        <f>'Activity data'!H78*UDCPPEF*NtoN2O*kgtoGg</f>
        <v>0</v>
      </c>
      <c r="I119" s="23">
        <f>'Activity data'!I78*UDCPPEF*NtoN2O*kgtoGg</f>
        <v>0</v>
      </c>
      <c r="J119" s="23">
        <f>'Activity data'!J78*UDCPPEF*NtoN2O*kgtoGg</f>
        <v>0</v>
      </c>
      <c r="K119" s="23">
        <f>'Activity data'!K78*UDCPPEF*NtoN2O*kgtoGg</f>
        <v>0</v>
      </c>
      <c r="L119" s="23">
        <f>'Activity data'!L78*UDCPPEF*NtoN2O*kgtoGg</f>
        <v>0</v>
      </c>
      <c r="M119" s="23">
        <f>'Activity data'!M78*UDCPPEF*NtoN2O*kgtoGg</f>
        <v>0</v>
      </c>
      <c r="N119" s="23">
        <f>'Activity data'!N78*UDCPPEF*NtoN2O*kgtoGg</f>
        <v>0</v>
      </c>
      <c r="O119" s="23">
        <f>'Activity data'!O78*UDCPPEF*NtoN2O*kgtoGg</f>
        <v>0</v>
      </c>
      <c r="P119" s="23">
        <f>'Activity data'!P78*UDCPPEF*NtoN2O*kgtoGg</f>
        <v>0</v>
      </c>
      <c r="Q119" s="23">
        <f>'Activity data'!Q78*UDCPPEF*NtoN2O*kgtoGg</f>
        <v>0</v>
      </c>
      <c r="R119" s="23">
        <f>'Activity data'!R78*UDCPPEF*NtoN2O*kgtoGg</f>
        <v>0</v>
      </c>
      <c r="S119" s="23">
        <f>'Activity data'!S78*UDCPPEF*NtoN2O*kgtoGg</f>
        <v>0</v>
      </c>
      <c r="T119" s="23">
        <f>'Activity data'!T78*UDCPPEF*NtoN2O*kgtoGg</f>
        <v>0</v>
      </c>
      <c r="U119" s="23">
        <f>'Activity data'!U78*UDCPPEF*NtoN2O*kgtoGg</f>
        <v>0</v>
      </c>
      <c r="V119" s="23">
        <f>'Activity data'!V78*UDCPPEF*NtoN2O*kgtoGg</f>
        <v>0</v>
      </c>
      <c r="W119" s="23">
        <f>'Activity data'!W78*UDCPPEF*NtoN2O*kgtoGg</f>
        <v>0</v>
      </c>
      <c r="X119" s="23">
        <f>'Activity data'!X78*UDCPPEF*NtoN2O*kgtoGg</f>
        <v>0</v>
      </c>
      <c r="Y119" s="23">
        <f>'Activity data'!Y78*UDCPPEF*NtoN2O*kgtoGg</f>
        <v>0</v>
      </c>
      <c r="Z119" s="23">
        <f>'Activity data'!Z78*UDCPPEF*NtoN2O*kgtoGg</f>
        <v>0</v>
      </c>
      <c r="AA119" s="23">
        <f>'Activity data'!AA78*UDCPPEF*NtoN2O*kgtoGg</f>
        <v>0</v>
      </c>
      <c r="AB119" s="23">
        <f>'Activity data'!AB78*UDCPPEF*NtoN2O*kgtoGg</f>
        <v>0</v>
      </c>
      <c r="AC119" s="23">
        <f>'Activity data'!AC78*UDCPPEF*NtoN2O*kgtoGg</f>
        <v>0</v>
      </c>
      <c r="AD119" s="23">
        <f>'Activity data'!AD78*UDCPPEF*NtoN2O*kgtoGg</f>
        <v>0</v>
      </c>
      <c r="AE119" s="23">
        <f>'Activity data'!AE78*UDCPPEF*NtoN2O*kgtoGg</f>
        <v>0</v>
      </c>
      <c r="AF119" s="23">
        <f>'Activity data'!AF78*UDCPPEF*NtoN2O*kgtoGg</f>
        <v>0</v>
      </c>
      <c r="AG119" s="23">
        <f>'Activity data'!AG78*UDCPPEF*NtoN2O*kgtoGg</f>
        <v>0</v>
      </c>
      <c r="AH119" s="23">
        <f>'Activity data'!AH78*UDCPPEF*NtoN2O*kgtoGg</f>
        <v>0</v>
      </c>
      <c r="AI119" s="23">
        <f>'Activity data'!AI78*UDCPPEF*NtoN2O*kgtoGg</f>
        <v>0</v>
      </c>
      <c r="AJ119" s="23">
        <f>'Activity data'!AJ78*UDCPPEF*NtoN2O*kgtoGg</f>
        <v>0</v>
      </c>
      <c r="AK119" s="23">
        <f>'Activity data'!AK78*UDCPPEF*NtoN2O*kgtoGg</f>
        <v>0</v>
      </c>
      <c r="AL119" s="23">
        <f>'Activity data'!AL78*UDCPPEF*NtoN2O*kgtoGg</f>
        <v>0</v>
      </c>
      <c r="AM119" s="23">
        <f>'Activity data'!AM78*UDCPPEF*NtoN2O*kgtoGg</f>
        <v>0</v>
      </c>
      <c r="AN119" s="23">
        <f>'Activity data'!AN78*UDCPPEF*NtoN2O*kgtoGg</f>
        <v>0</v>
      </c>
      <c r="AO119" s="23">
        <f>'Activity data'!AO78*UDCPPEF*NtoN2O*kgtoGg</f>
        <v>0</v>
      </c>
      <c r="AP119" s="23">
        <f>'Activity data'!AP78*UDCPPEF*NtoN2O*kgtoGg</f>
        <v>0</v>
      </c>
      <c r="AQ119" s="23">
        <f>'Activity data'!AQ78*UDCPPEF*NtoN2O*kgtoGg</f>
        <v>0</v>
      </c>
      <c r="AR119" s="23">
        <f>'Activity data'!AR78*UDCPPEF*NtoN2O*kgtoGg</f>
        <v>0</v>
      </c>
      <c r="AS119" s="23">
        <f>'Activity data'!AS78*UDCPPEF*NtoN2O*kgtoGg</f>
        <v>0</v>
      </c>
      <c r="AT119" s="23">
        <f>'Activity data'!AT78*UDCPPEF*NtoN2O*kgtoGg</f>
        <v>0</v>
      </c>
      <c r="AU119" s="23">
        <f>'Activity data'!AU78*UDCPPEF*NtoN2O*kgtoGg</f>
        <v>0</v>
      </c>
      <c r="AV119" s="23">
        <f>'Activity data'!AV78*UDCPPEF*NtoN2O*kgtoGg</f>
        <v>0</v>
      </c>
      <c r="AW119" s="23">
        <f>'Activity data'!AW78*UDCPPEF*NtoN2O*kgtoGg</f>
        <v>0</v>
      </c>
      <c r="AX119" s="23">
        <f>'Activity data'!AX78*UDCPPEF*NtoN2O*kgtoGg</f>
        <v>0</v>
      </c>
      <c r="AY119" s="23">
        <f>'Activity data'!AY78*UDCPPEF*NtoN2O*kgtoGg</f>
        <v>0</v>
      </c>
      <c r="AZ119" s="23">
        <f>'Activity data'!AZ78*UDCPPEF*NtoN2O*kgtoGg</f>
        <v>0</v>
      </c>
      <c r="BA119" s="23">
        <f>'Activity data'!BA78*UDCPPEF*NtoN2O*kgtoGg</f>
        <v>0</v>
      </c>
      <c r="BB119" s="23">
        <f>'Activity data'!BB78*UDCPPEF*NtoN2O*kgtoGg</f>
        <v>0</v>
      </c>
      <c r="BC119" s="23">
        <f>'Activity data'!BC78*UDCPPEF*NtoN2O*kgtoGg</f>
        <v>0</v>
      </c>
      <c r="BD119" s="23">
        <f>'Activity data'!BD78*UDCPPEF*NtoN2O*kgtoGg</f>
        <v>0</v>
      </c>
      <c r="BE119" s="23">
        <f>'Activity data'!BE78*UDCPPEF*NtoN2O*kgtoGg</f>
        <v>0</v>
      </c>
      <c r="BF119" s="23">
        <f>'Activity data'!BF78*UDCPPEF*NtoN2O*kgtoGg</f>
        <v>0</v>
      </c>
      <c r="BG119" s="23">
        <f>'Activity data'!BG78*UDCPPEF*NtoN2O*kgtoGg</f>
        <v>0</v>
      </c>
      <c r="BH119" s="23">
        <f>'Activity data'!BH78*UDCPPEF*NtoN2O*kgtoGg</f>
        <v>0</v>
      </c>
      <c r="BI119" s="23">
        <f>'Activity data'!BI78*UDCPPEF*NtoN2O*kgtoGg</f>
        <v>0</v>
      </c>
      <c r="BJ119" s="23">
        <f>'Activity data'!BJ78*UDCPPEF*NtoN2O*kgtoGg</f>
        <v>0</v>
      </c>
      <c r="BK119" s="23">
        <f>'Activity data'!BK78*UDCPPEF*NtoN2O*kgtoGg</f>
        <v>0</v>
      </c>
      <c r="BL119" s="23">
        <f>'Activity data'!BL78*UDCPPEF*NtoN2O*kgtoGg</f>
        <v>0</v>
      </c>
      <c r="BM119" s="23">
        <f>'Activity data'!BM78*UDCPPEF*NtoN2O*kgtoGg</f>
        <v>0</v>
      </c>
      <c r="BN119" s="23">
        <f>'Activity data'!BN78*UDCPPEF*NtoN2O*kgtoGg</f>
        <v>0</v>
      </c>
      <c r="BO119" s="23">
        <f>'Activity data'!BO78*UDCPPEF*NtoN2O*kgtoGg</f>
        <v>0</v>
      </c>
      <c r="BP119" s="23">
        <f>'Activity data'!BP78*UDCPPEF*NtoN2O*kgtoGg</f>
        <v>0</v>
      </c>
    </row>
    <row r="120" spans="1:68" x14ac:dyDescent="0.25">
      <c r="A120" t="str">
        <f t="shared" si="29"/>
        <v>3C Aggregated and non-CO2 emissions on land</v>
      </c>
      <c r="B120" t="str">
        <f t="shared" si="31"/>
        <v>3C4 Direct N2O from managed soils (N2O)</v>
      </c>
      <c r="C120" t="s">
        <v>497</v>
      </c>
      <c r="D120" t="str">
        <f t="shared" si="38"/>
        <v xml:space="preserve"> - Subsistence swine</v>
      </c>
      <c r="E120" t="str">
        <f t="shared" si="32"/>
        <v>U&amp;D emissions - Subsistence swine</v>
      </c>
      <c r="F120" t="str">
        <f t="shared" si="36"/>
        <v>N2O</v>
      </c>
      <c r="G120" t="str">
        <f t="shared" si="37"/>
        <v>Gg N2O</v>
      </c>
      <c r="H120" s="23">
        <f>'Activity data'!H79*UDCPPEF*NtoN2O*kgtoGg</f>
        <v>0</v>
      </c>
      <c r="I120" s="23">
        <f>'Activity data'!I79*UDCPPEF*NtoN2O*kgtoGg</f>
        <v>0</v>
      </c>
      <c r="J120" s="23">
        <f>'Activity data'!J79*UDCPPEF*NtoN2O*kgtoGg</f>
        <v>0</v>
      </c>
      <c r="K120" s="23">
        <f>'Activity data'!K79*UDCPPEF*NtoN2O*kgtoGg</f>
        <v>0</v>
      </c>
      <c r="L120" s="23">
        <f>'Activity data'!L79*UDCPPEF*NtoN2O*kgtoGg</f>
        <v>0</v>
      </c>
      <c r="M120" s="23">
        <f>'Activity data'!M79*UDCPPEF*NtoN2O*kgtoGg</f>
        <v>0</v>
      </c>
      <c r="N120" s="23">
        <f>'Activity data'!N79*UDCPPEF*NtoN2O*kgtoGg</f>
        <v>0</v>
      </c>
      <c r="O120" s="23">
        <f>'Activity data'!O79*UDCPPEF*NtoN2O*kgtoGg</f>
        <v>0</v>
      </c>
      <c r="P120" s="23">
        <f>'Activity data'!P79*UDCPPEF*NtoN2O*kgtoGg</f>
        <v>0</v>
      </c>
      <c r="Q120" s="23">
        <f>'Activity data'!Q79*UDCPPEF*NtoN2O*kgtoGg</f>
        <v>0</v>
      </c>
      <c r="R120" s="23">
        <f>'Activity data'!R79*UDCPPEF*NtoN2O*kgtoGg</f>
        <v>0</v>
      </c>
      <c r="S120" s="23">
        <f>'Activity data'!S79*UDCPPEF*NtoN2O*kgtoGg</f>
        <v>0</v>
      </c>
      <c r="T120" s="23">
        <f>'Activity data'!T79*UDCPPEF*NtoN2O*kgtoGg</f>
        <v>0</v>
      </c>
      <c r="U120" s="23">
        <f>'Activity data'!U79*UDCPPEF*NtoN2O*kgtoGg</f>
        <v>0</v>
      </c>
      <c r="V120" s="23">
        <f>'Activity data'!V79*UDCPPEF*NtoN2O*kgtoGg</f>
        <v>0</v>
      </c>
      <c r="W120" s="23">
        <f>'Activity data'!W79*UDCPPEF*NtoN2O*kgtoGg</f>
        <v>0</v>
      </c>
      <c r="X120" s="23">
        <f>'Activity data'!X79*UDCPPEF*NtoN2O*kgtoGg</f>
        <v>0</v>
      </c>
      <c r="Y120" s="23">
        <f>'Activity data'!Y79*UDCPPEF*NtoN2O*kgtoGg</f>
        <v>0</v>
      </c>
      <c r="Z120" s="23">
        <f>'Activity data'!Z79*UDCPPEF*NtoN2O*kgtoGg</f>
        <v>0</v>
      </c>
      <c r="AA120" s="23">
        <f>'Activity data'!AA79*UDCPPEF*NtoN2O*kgtoGg</f>
        <v>0</v>
      </c>
      <c r="AB120" s="23">
        <f>'Activity data'!AB79*UDCPPEF*NtoN2O*kgtoGg</f>
        <v>0</v>
      </c>
      <c r="AC120" s="23">
        <f>'Activity data'!AC79*UDCPPEF*NtoN2O*kgtoGg</f>
        <v>0</v>
      </c>
      <c r="AD120" s="23">
        <f>'Activity data'!AD79*UDCPPEF*NtoN2O*kgtoGg</f>
        <v>0</v>
      </c>
      <c r="AE120" s="23">
        <f>'Activity data'!AE79*UDCPPEF*NtoN2O*kgtoGg</f>
        <v>0</v>
      </c>
      <c r="AF120" s="23">
        <f>'Activity data'!AF79*UDCPPEF*NtoN2O*kgtoGg</f>
        <v>0</v>
      </c>
      <c r="AG120" s="23">
        <f>'Activity data'!AG79*UDCPPEF*NtoN2O*kgtoGg</f>
        <v>0</v>
      </c>
      <c r="AH120" s="23">
        <f>'Activity data'!AH79*UDCPPEF*NtoN2O*kgtoGg</f>
        <v>0</v>
      </c>
      <c r="AI120" s="23">
        <f>'Activity data'!AI79*UDCPPEF*NtoN2O*kgtoGg</f>
        <v>0</v>
      </c>
      <c r="AJ120" s="23">
        <f>'Activity data'!AJ79*UDCPPEF*NtoN2O*kgtoGg</f>
        <v>0</v>
      </c>
      <c r="AK120" s="23">
        <f>'Activity data'!AK79*UDCPPEF*NtoN2O*kgtoGg</f>
        <v>0</v>
      </c>
      <c r="AL120" s="23">
        <f>'Activity data'!AL79*UDCPPEF*NtoN2O*kgtoGg</f>
        <v>0</v>
      </c>
      <c r="AM120" s="23">
        <f>'Activity data'!AM79*UDCPPEF*NtoN2O*kgtoGg</f>
        <v>0</v>
      </c>
      <c r="AN120" s="23">
        <f>'Activity data'!AN79*UDCPPEF*NtoN2O*kgtoGg</f>
        <v>0</v>
      </c>
      <c r="AO120" s="23">
        <f>'Activity data'!AO79*UDCPPEF*NtoN2O*kgtoGg</f>
        <v>0</v>
      </c>
      <c r="AP120" s="23">
        <f>'Activity data'!AP79*UDCPPEF*NtoN2O*kgtoGg</f>
        <v>0</v>
      </c>
      <c r="AQ120" s="23">
        <f>'Activity data'!AQ79*UDCPPEF*NtoN2O*kgtoGg</f>
        <v>0</v>
      </c>
      <c r="AR120" s="23">
        <f>'Activity data'!AR79*UDCPPEF*NtoN2O*kgtoGg</f>
        <v>0</v>
      </c>
      <c r="AS120" s="23">
        <f>'Activity data'!AS79*UDCPPEF*NtoN2O*kgtoGg</f>
        <v>0</v>
      </c>
      <c r="AT120" s="23">
        <f>'Activity data'!AT79*UDCPPEF*NtoN2O*kgtoGg</f>
        <v>0</v>
      </c>
      <c r="AU120" s="23">
        <f>'Activity data'!AU79*UDCPPEF*NtoN2O*kgtoGg</f>
        <v>0</v>
      </c>
      <c r="AV120" s="23">
        <f>'Activity data'!AV79*UDCPPEF*NtoN2O*kgtoGg</f>
        <v>0</v>
      </c>
      <c r="AW120" s="23">
        <f>'Activity data'!AW79*UDCPPEF*NtoN2O*kgtoGg</f>
        <v>0</v>
      </c>
      <c r="AX120" s="23">
        <f>'Activity data'!AX79*UDCPPEF*NtoN2O*kgtoGg</f>
        <v>0</v>
      </c>
      <c r="AY120" s="23">
        <f>'Activity data'!AY79*UDCPPEF*NtoN2O*kgtoGg</f>
        <v>0</v>
      </c>
      <c r="AZ120" s="23">
        <f>'Activity data'!AZ79*UDCPPEF*NtoN2O*kgtoGg</f>
        <v>0</v>
      </c>
      <c r="BA120" s="23">
        <f>'Activity data'!BA79*UDCPPEF*NtoN2O*kgtoGg</f>
        <v>0</v>
      </c>
      <c r="BB120" s="23">
        <f>'Activity data'!BB79*UDCPPEF*NtoN2O*kgtoGg</f>
        <v>0</v>
      </c>
      <c r="BC120" s="23">
        <f>'Activity data'!BC79*UDCPPEF*NtoN2O*kgtoGg</f>
        <v>0</v>
      </c>
      <c r="BD120" s="23">
        <f>'Activity data'!BD79*UDCPPEF*NtoN2O*kgtoGg</f>
        <v>0</v>
      </c>
      <c r="BE120" s="23">
        <f>'Activity data'!BE79*UDCPPEF*NtoN2O*kgtoGg</f>
        <v>0</v>
      </c>
      <c r="BF120" s="23">
        <f>'Activity data'!BF79*UDCPPEF*NtoN2O*kgtoGg</f>
        <v>0</v>
      </c>
      <c r="BG120" s="23">
        <f>'Activity data'!BG79*UDCPPEF*NtoN2O*kgtoGg</f>
        <v>0</v>
      </c>
      <c r="BH120" s="23">
        <f>'Activity data'!BH79*UDCPPEF*NtoN2O*kgtoGg</f>
        <v>0</v>
      </c>
      <c r="BI120" s="23">
        <f>'Activity data'!BI79*UDCPPEF*NtoN2O*kgtoGg</f>
        <v>0</v>
      </c>
      <c r="BJ120" s="23">
        <f>'Activity data'!BJ79*UDCPPEF*NtoN2O*kgtoGg</f>
        <v>0</v>
      </c>
      <c r="BK120" s="23">
        <f>'Activity data'!BK79*UDCPPEF*NtoN2O*kgtoGg</f>
        <v>0</v>
      </c>
      <c r="BL120" s="23">
        <f>'Activity data'!BL79*UDCPPEF*NtoN2O*kgtoGg</f>
        <v>0</v>
      </c>
      <c r="BM120" s="23">
        <f>'Activity data'!BM79*UDCPPEF*NtoN2O*kgtoGg</f>
        <v>0</v>
      </c>
      <c r="BN120" s="23">
        <f>'Activity data'!BN79*UDCPPEF*NtoN2O*kgtoGg</f>
        <v>0</v>
      </c>
      <c r="BO120" s="23">
        <f>'Activity data'!BO79*UDCPPEF*NtoN2O*kgtoGg</f>
        <v>0</v>
      </c>
      <c r="BP120" s="23">
        <f>'Activity data'!BP79*UDCPPEF*NtoN2O*kgtoGg</f>
        <v>0</v>
      </c>
    </row>
    <row r="121" spans="1:68" x14ac:dyDescent="0.25">
      <c r="A121" t="str">
        <f t="shared" si="29"/>
        <v>3C Aggregated and non-CO2 emissions on land</v>
      </c>
      <c r="B121" t="str">
        <f t="shared" si="31"/>
        <v>3C4 Direct N2O from managed soils (N2O)</v>
      </c>
      <c r="C121" t="s">
        <v>497</v>
      </c>
      <c r="D121" t="str">
        <f t="shared" si="38"/>
        <v xml:space="preserve"> - Commercial layers</v>
      </c>
      <c r="E121" t="str">
        <f t="shared" si="32"/>
        <v>U&amp;D emissions - Commercial layers</v>
      </c>
      <c r="F121" t="str">
        <f t="shared" si="36"/>
        <v>N2O</v>
      </c>
      <c r="G121" t="str">
        <f t="shared" si="37"/>
        <v>Gg N2O</v>
      </c>
      <c r="H121" s="23">
        <f>'Activity data'!H80*UDCPPEF*NtoN2O*kgtoGg</f>
        <v>0</v>
      </c>
      <c r="I121" s="23">
        <f>'Activity data'!I80*UDCPPEF*NtoN2O*kgtoGg</f>
        <v>0</v>
      </c>
      <c r="J121" s="23">
        <f>'Activity data'!J80*UDCPPEF*NtoN2O*kgtoGg</f>
        <v>0</v>
      </c>
      <c r="K121" s="23">
        <f>'Activity data'!K80*UDCPPEF*NtoN2O*kgtoGg</f>
        <v>0</v>
      </c>
      <c r="L121" s="23">
        <f>'Activity data'!L80*UDCPPEF*NtoN2O*kgtoGg</f>
        <v>0</v>
      </c>
      <c r="M121" s="23">
        <f>'Activity data'!M80*UDCPPEF*NtoN2O*kgtoGg</f>
        <v>0</v>
      </c>
      <c r="N121" s="23">
        <f>'Activity data'!N80*UDCPPEF*NtoN2O*kgtoGg</f>
        <v>0</v>
      </c>
      <c r="O121" s="23">
        <f>'Activity data'!O80*UDCPPEF*NtoN2O*kgtoGg</f>
        <v>0</v>
      </c>
      <c r="P121" s="23">
        <f>'Activity data'!P80*UDCPPEF*NtoN2O*kgtoGg</f>
        <v>0</v>
      </c>
      <c r="Q121" s="23">
        <f>'Activity data'!Q80*UDCPPEF*NtoN2O*kgtoGg</f>
        <v>0</v>
      </c>
      <c r="R121" s="23">
        <f>'Activity data'!R80*UDCPPEF*NtoN2O*kgtoGg</f>
        <v>0</v>
      </c>
      <c r="S121" s="23">
        <f>'Activity data'!S80*UDCPPEF*NtoN2O*kgtoGg</f>
        <v>0</v>
      </c>
      <c r="T121" s="23">
        <f>'Activity data'!T80*UDCPPEF*NtoN2O*kgtoGg</f>
        <v>0</v>
      </c>
      <c r="U121" s="23">
        <f>'Activity data'!U80*UDCPPEF*NtoN2O*kgtoGg</f>
        <v>0</v>
      </c>
      <c r="V121" s="23">
        <f>'Activity data'!V80*UDCPPEF*NtoN2O*kgtoGg</f>
        <v>0</v>
      </c>
      <c r="W121" s="23">
        <f>'Activity data'!W80*UDCPPEF*NtoN2O*kgtoGg</f>
        <v>0</v>
      </c>
      <c r="X121" s="23">
        <f>'Activity data'!X80*UDCPPEF*NtoN2O*kgtoGg</f>
        <v>0</v>
      </c>
      <c r="Y121" s="23">
        <f>'Activity data'!Y80*UDCPPEF*NtoN2O*kgtoGg</f>
        <v>0</v>
      </c>
      <c r="Z121" s="23">
        <f>'Activity data'!Z80*UDCPPEF*NtoN2O*kgtoGg</f>
        <v>0</v>
      </c>
      <c r="AA121" s="23">
        <f>'Activity data'!AA80*UDCPPEF*NtoN2O*kgtoGg</f>
        <v>0</v>
      </c>
      <c r="AB121" s="23">
        <f>'Activity data'!AB80*UDCPPEF*NtoN2O*kgtoGg</f>
        <v>0</v>
      </c>
      <c r="AC121" s="23">
        <f>'Activity data'!AC80*UDCPPEF*NtoN2O*kgtoGg</f>
        <v>0</v>
      </c>
      <c r="AD121" s="23">
        <f>'Activity data'!AD80*UDCPPEF*NtoN2O*kgtoGg</f>
        <v>0</v>
      </c>
      <c r="AE121" s="23">
        <f>'Activity data'!AE80*UDCPPEF*NtoN2O*kgtoGg</f>
        <v>0</v>
      </c>
      <c r="AF121" s="23">
        <f>'Activity data'!AF80*UDCPPEF*NtoN2O*kgtoGg</f>
        <v>0</v>
      </c>
      <c r="AG121" s="23">
        <f>'Activity data'!AG80*UDCPPEF*NtoN2O*kgtoGg</f>
        <v>0</v>
      </c>
      <c r="AH121" s="23">
        <f>'Activity data'!AH80*UDCPPEF*NtoN2O*kgtoGg</f>
        <v>0</v>
      </c>
      <c r="AI121" s="23">
        <f>'Activity data'!AI80*UDCPPEF*NtoN2O*kgtoGg</f>
        <v>0</v>
      </c>
      <c r="AJ121" s="23">
        <f>'Activity data'!AJ80*UDCPPEF*NtoN2O*kgtoGg</f>
        <v>0</v>
      </c>
      <c r="AK121" s="23">
        <f>'Activity data'!AK80*UDCPPEF*NtoN2O*kgtoGg</f>
        <v>0</v>
      </c>
      <c r="AL121" s="23">
        <f>'Activity data'!AL80*UDCPPEF*NtoN2O*kgtoGg</f>
        <v>0</v>
      </c>
      <c r="AM121" s="23">
        <f>'Activity data'!AM80*UDCPPEF*NtoN2O*kgtoGg</f>
        <v>0</v>
      </c>
      <c r="AN121" s="23">
        <f>'Activity data'!AN80*UDCPPEF*NtoN2O*kgtoGg</f>
        <v>0</v>
      </c>
      <c r="AO121" s="23">
        <f>'Activity data'!AO80*UDCPPEF*NtoN2O*kgtoGg</f>
        <v>0</v>
      </c>
      <c r="AP121" s="23">
        <f>'Activity data'!AP80*UDCPPEF*NtoN2O*kgtoGg</f>
        <v>0</v>
      </c>
      <c r="AQ121" s="23">
        <f>'Activity data'!AQ80*UDCPPEF*NtoN2O*kgtoGg</f>
        <v>0</v>
      </c>
      <c r="AR121" s="23">
        <f>'Activity data'!AR80*UDCPPEF*NtoN2O*kgtoGg</f>
        <v>0</v>
      </c>
      <c r="AS121" s="23">
        <f>'Activity data'!AS80*UDCPPEF*NtoN2O*kgtoGg</f>
        <v>0</v>
      </c>
      <c r="AT121" s="23">
        <f>'Activity data'!AT80*UDCPPEF*NtoN2O*kgtoGg</f>
        <v>0</v>
      </c>
      <c r="AU121" s="23">
        <f>'Activity data'!AU80*UDCPPEF*NtoN2O*kgtoGg</f>
        <v>0</v>
      </c>
      <c r="AV121" s="23">
        <f>'Activity data'!AV80*UDCPPEF*NtoN2O*kgtoGg</f>
        <v>0</v>
      </c>
      <c r="AW121" s="23">
        <f>'Activity data'!AW80*UDCPPEF*NtoN2O*kgtoGg</f>
        <v>0</v>
      </c>
      <c r="AX121" s="23">
        <f>'Activity data'!AX80*UDCPPEF*NtoN2O*kgtoGg</f>
        <v>0</v>
      </c>
      <c r="AY121" s="23">
        <f>'Activity data'!AY80*UDCPPEF*NtoN2O*kgtoGg</f>
        <v>0</v>
      </c>
      <c r="AZ121" s="23">
        <f>'Activity data'!AZ80*UDCPPEF*NtoN2O*kgtoGg</f>
        <v>0</v>
      </c>
      <c r="BA121" s="23">
        <f>'Activity data'!BA80*UDCPPEF*NtoN2O*kgtoGg</f>
        <v>0</v>
      </c>
      <c r="BB121" s="23">
        <f>'Activity data'!BB80*UDCPPEF*NtoN2O*kgtoGg</f>
        <v>0</v>
      </c>
      <c r="BC121" s="23">
        <f>'Activity data'!BC80*UDCPPEF*NtoN2O*kgtoGg</f>
        <v>0</v>
      </c>
      <c r="BD121" s="23">
        <f>'Activity data'!BD80*UDCPPEF*NtoN2O*kgtoGg</f>
        <v>0</v>
      </c>
      <c r="BE121" s="23">
        <f>'Activity data'!BE80*UDCPPEF*NtoN2O*kgtoGg</f>
        <v>0</v>
      </c>
      <c r="BF121" s="23">
        <f>'Activity data'!BF80*UDCPPEF*NtoN2O*kgtoGg</f>
        <v>0</v>
      </c>
      <c r="BG121" s="23">
        <f>'Activity data'!BG80*UDCPPEF*NtoN2O*kgtoGg</f>
        <v>0</v>
      </c>
      <c r="BH121" s="23">
        <f>'Activity data'!BH80*UDCPPEF*NtoN2O*kgtoGg</f>
        <v>0</v>
      </c>
      <c r="BI121" s="23">
        <f>'Activity data'!BI80*UDCPPEF*NtoN2O*kgtoGg</f>
        <v>0</v>
      </c>
      <c r="BJ121" s="23">
        <f>'Activity data'!BJ80*UDCPPEF*NtoN2O*kgtoGg</f>
        <v>0</v>
      </c>
      <c r="BK121" s="23">
        <f>'Activity data'!BK80*UDCPPEF*NtoN2O*kgtoGg</f>
        <v>0</v>
      </c>
      <c r="BL121" s="23">
        <f>'Activity data'!BL80*UDCPPEF*NtoN2O*kgtoGg</f>
        <v>0</v>
      </c>
      <c r="BM121" s="23">
        <f>'Activity data'!BM80*UDCPPEF*NtoN2O*kgtoGg</f>
        <v>0</v>
      </c>
      <c r="BN121" s="23">
        <f>'Activity data'!BN80*UDCPPEF*NtoN2O*kgtoGg</f>
        <v>0</v>
      </c>
      <c r="BO121" s="23">
        <f>'Activity data'!BO80*UDCPPEF*NtoN2O*kgtoGg</f>
        <v>0</v>
      </c>
      <c r="BP121" s="23">
        <f>'Activity data'!BP80*UDCPPEF*NtoN2O*kgtoGg</f>
        <v>0</v>
      </c>
    </row>
    <row r="122" spans="1:68" x14ac:dyDescent="0.25">
      <c r="A122" t="str">
        <f t="shared" si="29"/>
        <v>3C Aggregated and non-CO2 emissions on land</v>
      </c>
      <c r="B122" t="str">
        <f t="shared" si="31"/>
        <v>3C4 Direct N2O from managed soils (N2O)</v>
      </c>
      <c r="C122" t="s">
        <v>497</v>
      </c>
      <c r="D122" t="str">
        <f t="shared" si="38"/>
        <v xml:space="preserve"> - Commercial broilers</v>
      </c>
      <c r="E122" t="str">
        <f t="shared" si="32"/>
        <v>U&amp;D emissions - Commercial broilers</v>
      </c>
      <c r="F122" t="str">
        <f t="shared" si="36"/>
        <v>N2O</v>
      </c>
      <c r="G122" t="str">
        <f t="shared" si="37"/>
        <v>Gg N2O</v>
      </c>
      <c r="H122" s="23">
        <f>'Activity data'!H81*UDCPPEF*NtoN2O*kgtoGg</f>
        <v>0</v>
      </c>
      <c r="I122" s="23">
        <f>'Activity data'!I81*UDCPPEF*NtoN2O*kgtoGg</f>
        <v>0</v>
      </c>
      <c r="J122" s="23">
        <f>'Activity data'!J81*UDCPPEF*NtoN2O*kgtoGg</f>
        <v>0</v>
      </c>
      <c r="K122" s="23">
        <f>'Activity data'!K81*UDCPPEF*NtoN2O*kgtoGg</f>
        <v>0</v>
      </c>
      <c r="L122" s="23">
        <f>'Activity data'!L81*UDCPPEF*NtoN2O*kgtoGg</f>
        <v>0</v>
      </c>
      <c r="M122" s="23">
        <f>'Activity data'!M81*UDCPPEF*NtoN2O*kgtoGg</f>
        <v>0</v>
      </c>
      <c r="N122" s="23">
        <f>'Activity data'!N81*UDCPPEF*NtoN2O*kgtoGg</f>
        <v>0</v>
      </c>
      <c r="O122" s="23">
        <f>'Activity data'!O81*UDCPPEF*NtoN2O*kgtoGg</f>
        <v>0</v>
      </c>
      <c r="P122" s="23">
        <f>'Activity data'!P81*UDCPPEF*NtoN2O*kgtoGg</f>
        <v>0</v>
      </c>
      <c r="Q122" s="23">
        <f>'Activity data'!Q81*UDCPPEF*NtoN2O*kgtoGg</f>
        <v>0</v>
      </c>
      <c r="R122" s="23">
        <f>'Activity data'!R81*UDCPPEF*NtoN2O*kgtoGg</f>
        <v>0</v>
      </c>
      <c r="S122" s="23">
        <f>'Activity data'!S81*UDCPPEF*NtoN2O*kgtoGg</f>
        <v>0</v>
      </c>
      <c r="T122" s="23">
        <f>'Activity data'!T81*UDCPPEF*NtoN2O*kgtoGg</f>
        <v>0</v>
      </c>
      <c r="U122" s="23">
        <f>'Activity data'!U81*UDCPPEF*NtoN2O*kgtoGg</f>
        <v>0</v>
      </c>
      <c r="V122" s="23">
        <f>'Activity data'!V81*UDCPPEF*NtoN2O*kgtoGg</f>
        <v>0</v>
      </c>
      <c r="W122" s="23">
        <f>'Activity data'!W81*UDCPPEF*NtoN2O*kgtoGg</f>
        <v>0</v>
      </c>
      <c r="X122" s="23">
        <f>'Activity data'!X81*UDCPPEF*NtoN2O*kgtoGg</f>
        <v>0</v>
      </c>
      <c r="Y122" s="23">
        <f>'Activity data'!Y81*UDCPPEF*NtoN2O*kgtoGg</f>
        <v>0</v>
      </c>
      <c r="Z122" s="23">
        <f>'Activity data'!Z81*UDCPPEF*NtoN2O*kgtoGg</f>
        <v>0</v>
      </c>
      <c r="AA122" s="23">
        <f>'Activity data'!AA81*UDCPPEF*NtoN2O*kgtoGg</f>
        <v>0</v>
      </c>
      <c r="AB122" s="23">
        <f>'Activity data'!AB81*UDCPPEF*NtoN2O*kgtoGg</f>
        <v>0</v>
      </c>
      <c r="AC122" s="23">
        <f>'Activity data'!AC81*UDCPPEF*NtoN2O*kgtoGg</f>
        <v>0</v>
      </c>
      <c r="AD122" s="23">
        <f>'Activity data'!AD81*UDCPPEF*NtoN2O*kgtoGg</f>
        <v>0</v>
      </c>
      <c r="AE122" s="23">
        <f>'Activity data'!AE81*UDCPPEF*NtoN2O*kgtoGg</f>
        <v>0</v>
      </c>
      <c r="AF122" s="23">
        <f>'Activity data'!AF81*UDCPPEF*NtoN2O*kgtoGg</f>
        <v>0</v>
      </c>
      <c r="AG122" s="23">
        <f>'Activity data'!AG81*UDCPPEF*NtoN2O*kgtoGg</f>
        <v>0</v>
      </c>
      <c r="AH122" s="23">
        <f>'Activity data'!AH81*UDCPPEF*NtoN2O*kgtoGg</f>
        <v>0</v>
      </c>
      <c r="AI122" s="23">
        <f>'Activity data'!AI81*UDCPPEF*NtoN2O*kgtoGg</f>
        <v>0</v>
      </c>
      <c r="AJ122" s="23">
        <f>'Activity data'!AJ81*UDCPPEF*NtoN2O*kgtoGg</f>
        <v>0</v>
      </c>
      <c r="AK122" s="23">
        <f>'Activity data'!AK81*UDCPPEF*NtoN2O*kgtoGg</f>
        <v>0</v>
      </c>
      <c r="AL122" s="23">
        <f>'Activity data'!AL81*UDCPPEF*NtoN2O*kgtoGg</f>
        <v>0</v>
      </c>
      <c r="AM122" s="23">
        <f>'Activity data'!AM81*UDCPPEF*NtoN2O*kgtoGg</f>
        <v>0</v>
      </c>
      <c r="AN122" s="23">
        <f>'Activity data'!AN81*UDCPPEF*NtoN2O*kgtoGg</f>
        <v>0</v>
      </c>
      <c r="AO122" s="23">
        <f>'Activity data'!AO81*UDCPPEF*NtoN2O*kgtoGg</f>
        <v>0</v>
      </c>
      <c r="AP122" s="23">
        <f>'Activity data'!AP81*UDCPPEF*NtoN2O*kgtoGg</f>
        <v>0</v>
      </c>
      <c r="AQ122" s="23">
        <f>'Activity data'!AQ81*UDCPPEF*NtoN2O*kgtoGg</f>
        <v>0</v>
      </c>
      <c r="AR122" s="23">
        <f>'Activity data'!AR81*UDCPPEF*NtoN2O*kgtoGg</f>
        <v>0</v>
      </c>
      <c r="AS122" s="23">
        <f>'Activity data'!AS81*UDCPPEF*NtoN2O*kgtoGg</f>
        <v>0</v>
      </c>
      <c r="AT122" s="23">
        <f>'Activity data'!AT81*UDCPPEF*NtoN2O*kgtoGg</f>
        <v>0</v>
      </c>
      <c r="AU122" s="23">
        <f>'Activity data'!AU81*UDCPPEF*NtoN2O*kgtoGg</f>
        <v>0</v>
      </c>
      <c r="AV122" s="23">
        <f>'Activity data'!AV81*UDCPPEF*NtoN2O*kgtoGg</f>
        <v>0</v>
      </c>
      <c r="AW122" s="23">
        <f>'Activity data'!AW81*UDCPPEF*NtoN2O*kgtoGg</f>
        <v>0</v>
      </c>
      <c r="AX122" s="23">
        <f>'Activity data'!AX81*UDCPPEF*NtoN2O*kgtoGg</f>
        <v>0</v>
      </c>
      <c r="AY122" s="23">
        <f>'Activity data'!AY81*UDCPPEF*NtoN2O*kgtoGg</f>
        <v>0</v>
      </c>
      <c r="AZ122" s="23">
        <f>'Activity data'!AZ81*UDCPPEF*NtoN2O*kgtoGg</f>
        <v>0</v>
      </c>
      <c r="BA122" s="23">
        <f>'Activity data'!BA81*UDCPPEF*NtoN2O*kgtoGg</f>
        <v>0</v>
      </c>
      <c r="BB122" s="23">
        <f>'Activity data'!BB81*UDCPPEF*NtoN2O*kgtoGg</f>
        <v>0</v>
      </c>
      <c r="BC122" s="23">
        <f>'Activity data'!BC81*UDCPPEF*NtoN2O*kgtoGg</f>
        <v>0</v>
      </c>
      <c r="BD122" s="23">
        <f>'Activity data'!BD81*UDCPPEF*NtoN2O*kgtoGg</f>
        <v>0</v>
      </c>
      <c r="BE122" s="23">
        <f>'Activity data'!BE81*UDCPPEF*NtoN2O*kgtoGg</f>
        <v>0</v>
      </c>
      <c r="BF122" s="23">
        <f>'Activity data'!BF81*UDCPPEF*NtoN2O*kgtoGg</f>
        <v>0</v>
      </c>
      <c r="BG122" s="23">
        <f>'Activity data'!BG81*UDCPPEF*NtoN2O*kgtoGg</f>
        <v>0</v>
      </c>
      <c r="BH122" s="23">
        <f>'Activity data'!BH81*UDCPPEF*NtoN2O*kgtoGg</f>
        <v>0</v>
      </c>
      <c r="BI122" s="23">
        <f>'Activity data'!BI81*UDCPPEF*NtoN2O*kgtoGg</f>
        <v>0</v>
      </c>
      <c r="BJ122" s="23">
        <f>'Activity data'!BJ81*UDCPPEF*NtoN2O*kgtoGg</f>
        <v>0</v>
      </c>
      <c r="BK122" s="23">
        <f>'Activity data'!BK81*UDCPPEF*NtoN2O*kgtoGg</f>
        <v>0</v>
      </c>
      <c r="BL122" s="23">
        <f>'Activity data'!BL81*UDCPPEF*NtoN2O*kgtoGg</f>
        <v>0</v>
      </c>
      <c r="BM122" s="23">
        <f>'Activity data'!BM81*UDCPPEF*NtoN2O*kgtoGg</f>
        <v>0</v>
      </c>
      <c r="BN122" s="23">
        <f>'Activity data'!BN81*UDCPPEF*NtoN2O*kgtoGg</f>
        <v>0</v>
      </c>
      <c r="BO122" s="23">
        <f>'Activity data'!BO81*UDCPPEF*NtoN2O*kgtoGg</f>
        <v>0</v>
      </c>
      <c r="BP122" s="23">
        <f>'Activity data'!BP81*UDCPPEF*NtoN2O*kgtoGg</f>
        <v>0</v>
      </c>
    </row>
    <row r="123" spans="1:68" x14ac:dyDescent="0.25">
      <c r="A123" t="str">
        <f>A122</f>
        <v>3C Aggregated and non-CO2 emissions on land</v>
      </c>
      <c r="B123" t="str">
        <f t="shared" si="31"/>
        <v>3C4 Direct N2O from managed soils (N2O)</v>
      </c>
      <c r="C123" t="s">
        <v>64</v>
      </c>
      <c r="D123" t="str">
        <f>" - "&amp;'Activity data'!D87</f>
        <v xml:space="preserve"> - Forest remaining forest land</v>
      </c>
      <c r="E123" t="str">
        <f t="shared" si="32"/>
        <v>FSOM - Forest remaining forest land</v>
      </c>
      <c r="G123" t="str">
        <f t="shared" si="37"/>
        <v>Gg N2O</v>
      </c>
      <c r="H123" s="23" t="str">
        <f>IFERROR(('Activity data'!H87*(1/Constants!$H$99))*ttokg*FSOMEF*NtoN2O*kgtoGg,"NO")</f>
        <v>NO</v>
      </c>
      <c r="I123" s="23" t="str">
        <f>IFERROR(('Activity data'!I87*(1/Constants!$H$99))*ttokg*FSOMEF*NtoN2O*kgtoGg,"NO")</f>
        <v>NO</v>
      </c>
      <c r="J123" s="23" t="str">
        <f>IFERROR(('Activity data'!J87*(1/Constants!$H$99))*ttokg*FSOMEF*NtoN2O*kgtoGg,"NO")</f>
        <v>NO</v>
      </c>
      <c r="K123" s="23" t="str">
        <f>IFERROR(('Activity data'!K87*(1/Constants!$H$99))*ttokg*FSOMEF*NtoN2O*kgtoGg,"NO")</f>
        <v>NO</v>
      </c>
      <c r="L123" s="23" t="str">
        <f>IFERROR(('Activity data'!L87*(1/Constants!$H$99))*ttokg*FSOMEF*NtoN2O*kgtoGg,"NO")</f>
        <v>NO</v>
      </c>
      <c r="M123" s="23" t="str">
        <f>IFERROR(('Activity data'!M87*(1/Constants!$H$99))*ttokg*FSOMEF*NtoN2O*kgtoGg,"NO")</f>
        <v>NO</v>
      </c>
      <c r="N123" s="23" t="str">
        <f>IFERROR(('Activity data'!N87*(1/Constants!$H$99))*ttokg*FSOMEF*NtoN2O*kgtoGg,"NO")</f>
        <v>NO</v>
      </c>
      <c r="O123" s="23" t="str">
        <f>IFERROR(('Activity data'!O87*(1/Constants!$H$99))*ttokg*FSOMEF*NtoN2O*kgtoGg,"NO")</f>
        <v>NO</v>
      </c>
      <c r="P123" s="23" t="str">
        <f>IFERROR(('Activity data'!P87*(1/Constants!$H$99))*ttokg*FSOMEF*NtoN2O*kgtoGg,"NO")</f>
        <v>NO</v>
      </c>
      <c r="Q123" s="23" t="str">
        <f>IFERROR(('Activity data'!Q87*(1/Constants!$H$99))*ttokg*FSOMEF*NtoN2O*kgtoGg,"NO")</f>
        <v>NO</v>
      </c>
      <c r="R123" s="23" t="str">
        <f>IFERROR(('Activity data'!R87*(1/Constants!$H$99))*ttokg*FSOMEF*NtoN2O*kgtoGg,"NO")</f>
        <v>NO</v>
      </c>
      <c r="S123" s="23" t="str">
        <f>IFERROR(('Activity data'!S87*(1/Constants!$H$99))*ttokg*FSOMEF*NtoN2O*kgtoGg,"NO")</f>
        <v>NO</v>
      </c>
      <c r="T123" s="23" t="str">
        <f>IFERROR(('Activity data'!T87*(1/Constants!$H$99))*ttokg*FSOMEF*NtoN2O*kgtoGg,"NO")</f>
        <v>NO</v>
      </c>
      <c r="U123" s="23" t="str">
        <f>IFERROR(('Activity data'!U87*(1/Constants!$H$99))*ttokg*FSOMEF*NtoN2O*kgtoGg,"NO")</f>
        <v>NO</v>
      </c>
      <c r="V123" s="23" t="str">
        <f>IFERROR(('Activity data'!V87*(1/Constants!$H$99))*ttokg*FSOMEF*NtoN2O*kgtoGg,"NO")</f>
        <v>NO</v>
      </c>
      <c r="W123" s="23" t="str">
        <f>IFERROR(('Activity data'!W87*(1/Constants!$H$99))*ttokg*FSOMEF*NtoN2O*kgtoGg,"NO")</f>
        <v>NO</v>
      </c>
      <c r="X123" s="23" t="str">
        <f>IFERROR(('Activity data'!X87*(1/Constants!$H$99))*ttokg*FSOMEF*NtoN2O*kgtoGg,"NO")</f>
        <v>NO</v>
      </c>
      <c r="Y123" s="23" t="str">
        <f>IFERROR(('Activity data'!Y87*(1/Constants!$H$99))*ttokg*FSOMEF*NtoN2O*kgtoGg,"NO")</f>
        <v>NO</v>
      </c>
      <c r="Z123" s="23" t="str">
        <f>IFERROR(('Activity data'!Z87*(1/Constants!$H$99))*ttokg*FSOMEF*NtoN2O*kgtoGg,"NO")</f>
        <v>NO</v>
      </c>
      <c r="AA123" s="23" t="str">
        <f>IFERROR(('Activity data'!AA87*(1/Constants!$H$99))*ttokg*FSOMEF*NtoN2O*kgtoGg,"NO")</f>
        <v>NO</v>
      </c>
      <c r="AB123" s="23" t="str">
        <f>IFERROR(('Activity data'!AB87*(1/Constants!$H$99))*ttokg*FSOMEF*NtoN2O*kgtoGg,"NO")</f>
        <v>NO</v>
      </c>
      <c r="AC123" s="23" t="str">
        <f>IFERROR(('Activity data'!AC87*(1/Constants!$H$99))*ttokg*FSOMEF*NtoN2O*kgtoGg,"NO")</f>
        <v>NO</v>
      </c>
      <c r="AD123" s="23" t="str">
        <f>IFERROR(('Activity data'!AD87*(1/Constants!$H$99))*ttokg*FSOMEF*NtoN2O*kgtoGg,"NO")</f>
        <v>NO</v>
      </c>
      <c r="AE123" s="23" t="str">
        <f>IFERROR(('Activity data'!AE87*(1/Constants!$H$99))*ttokg*FSOMEF*NtoN2O*kgtoGg,"NO")</f>
        <v>NO</v>
      </c>
      <c r="AF123" s="23" t="str">
        <f>IFERROR(('Activity data'!AF87*(1/Constants!$H$99))*ttokg*FSOMEF*NtoN2O*kgtoGg,"NO")</f>
        <v>NO</v>
      </c>
      <c r="AG123" s="23" t="str">
        <f>IFERROR(('Activity data'!AG87*(1/Constants!$H$99))*ttokg*FSOMEF*NtoN2O*kgtoGg,"NO")</f>
        <v>NO</v>
      </c>
      <c r="AH123" s="23" t="str">
        <f>IFERROR(('Activity data'!AH87*(1/Constants!$H$99))*ttokg*FSOMEF*NtoN2O*kgtoGg,"NO")</f>
        <v>NO</v>
      </c>
      <c r="AI123" s="23" t="str">
        <f>IFERROR(('Activity data'!AI87*(1/Constants!$H$99))*ttokg*FSOMEF*NtoN2O*kgtoGg,"NO")</f>
        <v>NO</v>
      </c>
      <c r="AJ123" s="23" t="str">
        <f>IFERROR(('Activity data'!AJ87*(1/Constants!$H$99))*ttokg*FSOMEF*NtoN2O*kgtoGg,"NO")</f>
        <v>NO</v>
      </c>
      <c r="AK123" s="23" t="str">
        <f>IFERROR(('Activity data'!AK87*(1/Constants!$H$99))*ttokg*FSOMEF*NtoN2O*kgtoGg,"NO")</f>
        <v>NO</v>
      </c>
      <c r="AL123" s="23" t="str">
        <f>IFERROR(('Activity data'!AL87*(1/Constants!$H$99))*ttokg*FSOMEF*NtoN2O*kgtoGg,"NO")</f>
        <v>NO</v>
      </c>
      <c r="AM123" s="23" t="str">
        <f>IFERROR(('Activity data'!AM87*(1/Constants!$H$99))*ttokg*FSOMEF*NtoN2O*kgtoGg,"NO")</f>
        <v>NO</v>
      </c>
      <c r="AN123" s="23" t="str">
        <f>IFERROR(('Activity data'!AN87*(1/Constants!$H$99))*ttokg*FSOMEF*NtoN2O*kgtoGg,"NO")</f>
        <v>NO</v>
      </c>
      <c r="AO123" s="23" t="str">
        <f>IFERROR(('Activity data'!AO87*(1/Constants!$H$99))*ttokg*FSOMEF*NtoN2O*kgtoGg,"NO")</f>
        <v>NO</v>
      </c>
      <c r="AP123" s="23" t="str">
        <f>IFERROR(('Activity data'!AP87*(1/Constants!$H$99))*ttokg*FSOMEF*NtoN2O*kgtoGg,"NO")</f>
        <v>NO</v>
      </c>
      <c r="AQ123" s="23" t="str">
        <f>IFERROR(('Activity data'!AQ87*(1/Constants!$H$99))*ttokg*FSOMEF*NtoN2O*kgtoGg,"NO")</f>
        <v>NO</v>
      </c>
      <c r="AR123" s="23" t="str">
        <f>IFERROR(('Activity data'!AR87*(1/Constants!$H$99))*ttokg*FSOMEF*NtoN2O*kgtoGg,"NO")</f>
        <v>NO</v>
      </c>
      <c r="AS123" s="23" t="str">
        <f>IFERROR(('Activity data'!AS87*(1/Constants!$H$99))*ttokg*FSOMEF*NtoN2O*kgtoGg,"NO")</f>
        <v>NO</v>
      </c>
      <c r="AT123" s="23" t="str">
        <f>IFERROR(('Activity data'!AT87*(1/Constants!$H$99))*ttokg*FSOMEF*NtoN2O*kgtoGg,"NO")</f>
        <v>NO</v>
      </c>
      <c r="AU123" s="23" t="str">
        <f>IFERROR(('Activity data'!AU87*(1/Constants!$H$99))*ttokg*FSOMEF*NtoN2O*kgtoGg,"NO")</f>
        <v>NO</v>
      </c>
      <c r="AV123" s="23" t="str">
        <f>IFERROR(('Activity data'!AV87*(1/Constants!$H$99))*ttokg*FSOMEF*NtoN2O*kgtoGg,"NO")</f>
        <v>NO</v>
      </c>
      <c r="AW123" s="23" t="str">
        <f>IFERROR(('Activity data'!AW87*(1/Constants!$H$99))*ttokg*FSOMEF*NtoN2O*kgtoGg,"NO")</f>
        <v>NO</v>
      </c>
      <c r="AX123" s="23" t="str">
        <f>IFERROR(('Activity data'!AX87*(1/Constants!$H$99))*ttokg*FSOMEF*NtoN2O*kgtoGg,"NO")</f>
        <v>NO</v>
      </c>
      <c r="AY123" s="23" t="str">
        <f>IFERROR(('Activity data'!AY87*(1/Constants!$H$99))*ttokg*FSOMEF*NtoN2O*kgtoGg,"NO")</f>
        <v>NO</v>
      </c>
      <c r="AZ123" s="23" t="str">
        <f>IFERROR(('Activity data'!AZ87*(1/Constants!$H$99))*ttokg*FSOMEF*NtoN2O*kgtoGg,"NO")</f>
        <v>NO</v>
      </c>
      <c r="BA123" s="23" t="str">
        <f>IFERROR(('Activity data'!BA87*(1/Constants!$H$99))*ttokg*FSOMEF*NtoN2O*kgtoGg,"NO")</f>
        <v>NO</v>
      </c>
      <c r="BB123" s="23" t="str">
        <f>IFERROR(('Activity data'!BB87*(1/Constants!$H$99))*ttokg*FSOMEF*NtoN2O*kgtoGg,"NO")</f>
        <v>NO</v>
      </c>
      <c r="BC123" s="23" t="str">
        <f>IFERROR(('Activity data'!BC87*(1/Constants!$H$99))*ttokg*FSOMEF*NtoN2O*kgtoGg,"NO")</f>
        <v>NO</v>
      </c>
      <c r="BD123" s="23" t="str">
        <f>IFERROR(('Activity data'!BD87*(1/Constants!$H$99))*ttokg*FSOMEF*NtoN2O*kgtoGg,"NO")</f>
        <v>NO</v>
      </c>
      <c r="BE123" s="23" t="str">
        <f>IFERROR(('Activity data'!BE87*(1/Constants!$H$99))*ttokg*FSOMEF*NtoN2O*kgtoGg,"NO")</f>
        <v>NO</v>
      </c>
      <c r="BF123" s="23" t="str">
        <f>IFERROR(('Activity data'!BF87*(1/Constants!$H$99))*ttokg*FSOMEF*NtoN2O*kgtoGg,"NO")</f>
        <v>NO</v>
      </c>
      <c r="BG123" s="23" t="str">
        <f>IFERROR(('Activity data'!BG87*(1/Constants!$H$99))*ttokg*FSOMEF*NtoN2O*kgtoGg,"NO")</f>
        <v>NO</v>
      </c>
      <c r="BH123" s="23" t="str">
        <f>IFERROR(('Activity data'!BH87*(1/Constants!$H$99))*ttokg*FSOMEF*NtoN2O*kgtoGg,"NO")</f>
        <v>NO</v>
      </c>
      <c r="BI123" s="23" t="str">
        <f>IFERROR(('Activity data'!BI87*(1/Constants!$H$99))*ttokg*FSOMEF*NtoN2O*kgtoGg,"NO")</f>
        <v>NO</v>
      </c>
      <c r="BJ123" s="23" t="str">
        <f>IFERROR(('Activity data'!BJ87*(1/Constants!$H$99))*ttokg*FSOMEF*NtoN2O*kgtoGg,"NO")</f>
        <v>NO</v>
      </c>
      <c r="BK123" s="23" t="str">
        <f>IFERROR(('Activity data'!BK87*(1/Constants!$H$99))*ttokg*FSOMEF*NtoN2O*kgtoGg,"NO")</f>
        <v>NO</v>
      </c>
      <c r="BL123" s="23" t="str">
        <f>IFERROR(('Activity data'!BL87*(1/Constants!$H$99))*ttokg*FSOMEF*NtoN2O*kgtoGg,"NO")</f>
        <v>NO</v>
      </c>
      <c r="BM123" s="23" t="str">
        <f>IFERROR(('Activity data'!BM87*(1/Constants!$H$99))*ttokg*FSOMEF*NtoN2O*kgtoGg,"NO")</f>
        <v>NO</v>
      </c>
      <c r="BN123" s="23" t="str">
        <f>IFERROR(('Activity data'!BN87*(1/Constants!$H$99))*ttokg*FSOMEF*NtoN2O*kgtoGg,"NO")</f>
        <v>NO</v>
      </c>
      <c r="BO123" s="23" t="str">
        <f>IFERROR(('Activity data'!BO87*(1/Constants!$H$99))*ttokg*FSOMEF*NtoN2O*kgtoGg,"NO")</f>
        <v>NO</v>
      </c>
      <c r="BP123" s="23" t="str">
        <f>IFERROR(('Activity data'!BP87*(1/Constants!$H$99))*ttokg*FSOMEF*NtoN2O*kgtoGg,"NO")</f>
        <v>NO</v>
      </c>
    </row>
    <row r="124" spans="1:68" x14ac:dyDescent="0.25">
      <c r="A124" t="str">
        <f t="shared" ref="A124:A135" si="39">A123</f>
        <v>3C Aggregated and non-CO2 emissions on land</v>
      </c>
      <c r="B124" t="str">
        <f t="shared" si="31"/>
        <v>3C4 Direct N2O from managed soils (N2O)</v>
      </c>
      <c r="C124" t="s">
        <v>64</v>
      </c>
      <c r="D124" t="str">
        <f>" - "&amp;'Activity data'!D88</f>
        <v xml:space="preserve"> - Land converted to forest land</v>
      </c>
      <c r="E124" t="str">
        <f t="shared" ref="E124:E128" si="40">C124&amp;D124</f>
        <v>FSOM - Land converted to forest land</v>
      </c>
      <c r="G124" t="str">
        <f t="shared" si="37"/>
        <v>Gg N2O</v>
      </c>
      <c r="H124" s="23" t="str">
        <f>IFERROR(('Activity data'!H88*(1/Constants!$H$99))*ttokg*FSOMEF*NtoN2O*kgtoGg,"NO")</f>
        <v>NO</v>
      </c>
      <c r="I124" s="23" t="str">
        <f>IFERROR(('Activity data'!#REF!*(1/Constants!$H$99))*ttokg*FSOMEF*NtoN2O*kgtoGg,"NO")</f>
        <v>NO</v>
      </c>
      <c r="J124" s="23" t="str">
        <f>IFERROR(('Activity data'!#REF!*(1/Constants!$H$99))*ttokg*FSOMEF*NtoN2O*kgtoGg,"NO")</f>
        <v>NO</v>
      </c>
      <c r="K124" s="23" t="str">
        <f>IFERROR(('Activity data'!#REF!*(1/Constants!$H$99))*ttokg*FSOMEF*NtoN2O*kgtoGg,"NO")</f>
        <v>NO</v>
      </c>
      <c r="L124" s="23" t="str">
        <f>IFERROR(('Activity data'!#REF!*(1/Constants!$H$99))*ttokg*FSOMEF*NtoN2O*kgtoGg,"NO")</f>
        <v>NO</v>
      </c>
      <c r="M124" s="23" t="str">
        <f>IFERROR(('Activity data'!#REF!*(1/Constants!$H$99))*ttokg*FSOMEF*NtoN2O*kgtoGg,"NO")</f>
        <v>NO</v>
      </c>
      <c r="N124" s="23" t="str">
        <f>IFERROR(('Activity data'!#REF!*(1/Constants!$H$99))*ttokg*FSOMEF*NtoN2O*kgtoGg,"NO")</f>
        <v>NO</v>
      </c>
      <c r="O124" s="23" t="str">
        <f>IFERROR(('Activity data'!#REF!*(1/Constants!$H$99))*ttokg*FSOMEF*NtoN2O*kgtoGg,"NO")</f>
        <v>NO</v>
      </c>
      <c r="P124" s="23" t="str">
        <f>IFERROR(('Activity data'!#REF!*(1/Constants!$H$99))*ttokg*FSOMEF*NtoN2O*kgtoGg,"NO")</f>
        <v>NO</v>
      </c>
      <c r="Q124" s="23" t="str">
        <f>IFERROR(('Activity data'!#REF!*(1/Constants!$H$99))*ttokg*FSOMEF*NtoN2O*kgtoGg,"NO")</f>
        <v>NO</v>
      </c>
      <c r="R124" s="23" t="str">
        <f>IFERROR(('Activity data'!#REF!*(1/Constants!$H$99))*ttokg*FSOMEF*NtoN2O*kgtoGg,"NO")</f>
        <v>NO</v>
      </c>
      <c r="S124" s="23" t="str">
        <f>IFERROR(('Activity data'!#REF!*(1/Constants!$H$99))*ttokg*FSOMEF*NtoN2O*kgtoGg,"NO")</f>
        <v>NO</v>
      </c>
      <c r="T124" s="23" t="str">
        <f>IFERROR(('Activity data'!#REF!*(1/Constants!$H$99))*ttokg*FSOMEF*NtoN2O*kgtoGg,"NO")</f>
        <v>NO</v>
      </c>
      <c r="U124" s="23" t="str">
        <f>IFERROR(('Activity data'!#REF!*(1/Constants!$H$99))*ttokg*FSOMEF*NtoN2O*kgtoGg,"NO")</f>
        <v>NO</v>
      </c>
      <c r="V124" s="23" t="str">
        <f>IFERROR(('Activity data'!#REF!*(1/Constants!$H$99))*ttokg*FSOMEF*NtoN2O*kgtoGg,"NO")</f>
        <v>NO</v>
      </c>
      <c r="W124" s="23" t="str">
        <f>IFERROR(('Activity data'!#REF!*(1/Constants!$H$99))*ttokg*FSOMEF*NtoN2O*kgtoGg,"NO")</f>
        <v>NO</v>
      </c>
      <c r="X124" s="23" t="str">
        <f>IFERROR(('Activity data'!#REF!*(1/Constants!$H$99))*ttokg*FSOMEF*NtoN2O*kgtoGg,"NO")</f>
        <v>NO</v>
      </c>
      <c r="Y124" s="23" t="str">
        <f>IFERROR(('Activity data'!#REF!*(1/Constants!$H$99))*ttokg*FSOMEF*NtoN2O*kgtoGg,"NO")</f>
        <v>NO</v>
      </c>
      <c r="Z124" s="23" t="str">
        <f>IFERROR(('Activity data'!#REF!*(1/Constants!$H$99))*ttokg*FSOMEF*NtoN2O*kgtoGg,"NO")</f>
        <v>NO</v>
      </c>
      <c r="AA124" s="23" t="str">
        <f>IFERROR(('Activity data'!#REF!*(1/Constants!$H$99))*ttokg*FSOMEF*NtoN2O*kgtoGg,"NO")</f>
        <v>NO</v>
      </c>
      <c r="AB124" s="23" t="str">
        <f>IFERROR(('Activity data'!#REF!*(1/Constants!$H$99))*ttokg*FSOMEF*NtoN2O*kgtoGg,"NO")</f>
        <v>NO</v>
      </c>
      <c r="AC124" s="23" t="str">
        <f>IFERROR(('Activity data'!#REF!*(1/Constants!$H$99))*ttokg*FSOMEF*NtoN2O*kgtoGg,"NO")</f>
        <v>NO</v>
      </c>
      <c r="AD124" s="23" t="str">
        <f>IFERROR(('Activity data'!#REF!*(1/Constants!$H$99))*ttokg*FSOMEF*NtoN2O*kgtoGg,"NO")</f>
        <v>NO</v>
      </c>
      <c r="AE124" s="23" t="str">
        <f>IFERROR(('Activity data'!#REF!*(1/Constants!$H$99))*ttokg*FSOMEF*NtoN2O*kgtoGg,"NO")</f>
        <v>NO</v>
      </c>
      <c r="AF124" s="23" t="str">
        <f>IFERROR(('Activity data'!#REF!*(1/Constants!$H$99))*ttokg*FSOMEF*NtoN2O*kgtoGg,"NO")</f>
        <v>NO</v>
      </c>
      <c r="AG124" s="23" t="str">
        <f>IFERROR(('Activity data'!#REF!*(1/Constants!$H$99))*ttokg*FSOMEF*NtoN2O*kgtoGg,"NO")</f>
        <v>NO</v>
      </c>
      <c r="AH124" s="23" t="str">
        <f>IFERROR(('Activity data'!#REF!*(1/Constants!$H$99))*ttokg*FSOMEF*NtoN2O*kgtoGg,"NO")</f>
        <v>NO</v>
      </c>
      <c r="AI124" s="23" t="str">
        <f>IFERROR(('Activity data'!#REF!*(1/Constants!$H$99))*ttokg*FSOMEF*NtoN2O*kgtoGg,"NO")</f>
        <v>NO</v>
      </c>
      <c r="AJ124" s="23" t="str">
        <f>IFERROR(('Activity data'!#REF!*(1/Constants!$H$99))*ttokg*FSOMEF*NtoN2O*kgtoGg,"NO")</f>
        <v>NO</v>
      </c>
      <c r="AK124" s="23" t="str">
        <f>IFERROR(('Activity data'!#REF!*(1/Constants!$H$99))*ttokg*FSOMEF*NtoN2O*kgtoGg,"NO")</f>
        <v>NO</v>
      </c>
      <c r="AL124" s="23" t="str">
        <f>IFERROR(('Activity data'!#REF!*(1/Constants!$H$99))*ttokg*FSOMEF*NtoN2O*kgtoGg,"NO")</f>
        <v>NO</v>
      </c>
      <c r="AM124" s="23" t="str">
        <f>IFERROR(('Activity data'!#REF!*(1/Constants!$H$99))*ttokg*FSOMEF*NtoN2O*kgtoGg,"NO")</f>
        <v>NO</v>
      </c>
      <c r="AN124" s="23" t="str">
        <f>IFERROR(('Activity data'!#REF!*(1/Constants!$H$99))*ttokg*FSOMEF*NtoN2O*kgtoGg,"NO")</f>
        <v>NO</v>
      </c>
      <c r="AO124" s="23" t="str">
        <f>IFERROR(('Activity data'!#REF!*(1/Constants!$H$99))*ttokg*FSOMEF*NtoN2O*kgtoGg,"NO")</f>
        <v>NO</v>
      </c>
      <c r="AP124" s="23" t="str">
        <f>IFERROR(('Activity data'!#REF!*(1/Constants!$H$99))*ttokg*FSOMEF*NtoN2O*kgtoGg,"NO")</f>
        <v>NO</v>
      </c>
      <c r="AQ124" s="23" t="str">
        <f>IFERROR(('Activity data'!#REF!*(1/Constants!$H$99))*ttokg*FSOMEF*NtoN2O*kgtoGg,"NO")</f>
        <v>NO</v>
      </c>
      <c r="AR124" s="23" t="str">
        <f>IFERROR(('Activity data'!#REF!*(1/Constants!$H$99))*ttokg*FSOMEF*NtoN2O*kgtoGg,"NO")</f>
        <v>NO</v>
      </c>
      <c r="AS124" s="23" t="str">
        <f>IFERROR(('Activity data'!#REF!*(1/Constants!$H$99))*ttokg*FSOMEF*NtoN2O*kgtoGg,"NO")</f>
        <v>NO</v>
      </c>
      <c r="AT124" s="23" t="str">
        <f>IFERROR(('Activity data'!#REF!*(1/Constants!$H$99))*ttokg*FSOMEF*NtoN2O*kgtoGg,"NO")</f>
        <v>NO</v>
      </c>
      <c r="AU124" s="23" t="str">
        <f>IFERROR(('Activity data'!#REF!*(1/Constants!$H$99))*ttokg*FSOMEF*NtoN2O*kgtoGg,"NO")</f>
        <v>NO</v>
      </c>
      <c r="AV124" s="23" t="str">
        <f>IFERROR(('Activity data'!#REF!*(1/Constants!$H$99))*ttokg*FSOMEF*NtoN2O*kgtoGg,"NO")</f>
        <v>NO</v>
      </c>
      <c r="AW124" s="23" t="str">
        <f>IFERROR(('Activity data'!#REF!*(1/Constants!$H$99))*ttokg*FSOMEF*NtoN2O*kgtoGg,"NO")</f>
        <v>NO</v>
      </c>
      <c r="AX124" s="23" t="str">
        <f>IFERROR(('Activity data'!#REF!*(1/Constants!$H$99))*ttokg*FSOMEF*NtoN2O*kgtoGg,"NO")</f>
        <v>NO</v>
      </c>
      <c r="AY124" s="23" t="str">
        <f>IFERROR(('Activity data'!#REF!*(1/Constants!$H$99))*ttokg*FSOMEF*NtoN2O*kgtoGg,"NO")</f>
        <v>NO</v>
      </c>
      <c r="AZ124" s="23" t="str">
        <f>IFERROR(('Activity data'!#REF!*(1/Constants!$H$99))*ttokg*FSOMEF*NtoN2O*kgtoGg,"NO")</f>
        <v>NO</v>
      </c>
      <c r="BA124" s="23" t="str">
        <f>IFERROR(('Activity data'!#REF!*(1/Constants!$H$99))*ttokg*FSOMEF*NtoN2O*kgtoGg,"NO")</f>
        <v>NO</v>
      </c>
      <c r="BB124" s="23" t="str">
        <f>IFERROR(('Activity data'!#REF!*(1/Constants!$H$99))*ttokg*FSOMEF*NtoN2O*kgtoGg,"NO")</f>
        <v>NO</v>
      </c>
      <c r="BC124" s="23" t="str">
        <f>IFERROR(('Activity data'!#REF!*(1/Constants!$H$99))*ttokg*FSOMEF*NtoN2O*kgtoGg,"NO")</f>
        <v>NO</v>
      </c>
      <c r="BD124" s="23" t="str">
        <f>IFERROR(('Activity data'!#REF!*(1/Constants!$H$99))*ttokg*FSOMEF*NtoN2O*kgtoGg,"NO")</f>
        <v>NO</v>
      </c>
      <c r="BE124" s="23" t="str">
        <f>IFERROR(('Activity data'!#REF!*(1/Constants!$H$99))*ttokg*FSOMEF*NtoN2O*kgtoGg,"NO")</f>
        <v>NO</v>
      </c>
      <c r="BF124" s="23" t="str">
        <f>IFERROR(('Activity data'!#REF!*(1/Constants!$H$99))*ttokg*FSOMEF*NtoN2O*kgtoGg,"NO")</f>
        <v>NO</v>
      </c>
      <c r="BG124" s="23" t="str">
        <f>IFERROR(('Activity data'!#REF!*(1/Constants!$H$99))*ttokg*FSOMEF*NtoN2O*kgtoGg,"NO")</f>
        <v>NO</v>
      </c>
      <c r="BH124" s="23" t="str">
        <f>IFERROR(('Activity data'!#REF!*(1/Constants!$H$99))*ttokg*FSOMEF*NtoN2O*kgtoGg,"NO")</f>
        <v>NO</v>
      </c>
      <c r="BI124" s="23" t="str">
        <f>IFERROR(('Activity data'!#REF!*(1/Constants!$H$99))*ttokg*FSOMEF*NtoN2O*kgtoGg,"NO")</f>
        <v>NO</v>
      </c>
      <c r="BJ124" s="23" t="str">
        <f>IFERROR(('Activity data'!#REF!*(1/Constants!$H$99))*ttokg*FSOMEF*NtoN2O*kgtoGg,"NO")</f>
        <v>NO</v>
      </c>
      <c r="BK124" s="23" t="str">
        <f>IFERROR(('Activity data'!#REF!*(1/Constants!$H$99))*ttokg*FSOMEF*NtoN2O*kgtoGg,"NO")</f>
        <v>NO</v>
      </c>
      <c r="BL124" s="23" t="str">
        <f>IFERROR(('Activity data'!#REF!*(1/Constants!$H$99))*ttokg*FSOMEF*NtoN2O*kgtoGg,"NO")</f>
        <v>NO</v>
      </c>
      <c r="BM124" s="23" t="str">
        <f>IFERROR(('Activity data'!#REF!*(1/Constants!$H$99))*ttokg*FSOMEF*NtoN2O*kgtoGg,"NO")</f>
        <v>NO</v>
      </c>
      <c r="BN124" s="23" t="str">
        <f>IFERROR(('Activity data'!#REF!*(1/Constants!$H$99))*ttokg*FSOMEF*NtoN2O*kgtoGg,"NO")</f>
        <v>NO</v>
      </c>
      <c r="BO124" s="23" t="str">
        <f>IFERROR(('Activity data'!#REF!*(1/Constants!$H$99))*ttokg*FSOMEF*NtoN2O*kgtoGg,"NO")</f>
        <v>NO</v>
      </c>
      <c r="BP124" s="23" t="str">
        <f>IFERROR(('Activity data'!#REF!*(1/Constants!$H$99))*ttokg*FSOMEF*NtoN2O*kgtoGg,"NO")</f>
        <v>NO</v>
      </c>
    </row>
    <row r="125" spans="1:68" x14ac:dyDescent="0.25">
      <c r="A125" t="str">
        <f t="shared" si="39"/>
        <v>3C Aggregated and non-CO2 emissions on land</v>
      </c>
      <c r="B125" t="str">
        <f t="shared" si="31"/>
        <v>3C4 Direct N2O from managed soils (N2O)</v>
      </c>
      <c r="C125" t="s">
        <v>64</v>
      </c>
      <c r="D125" t="str">
        <f>" - "&amp;'Activity data'!D89</f>
        <v xml:space="preserve"> - Cropland remaining cropland</v>
      </c>
      <c r="E125" t="str">
        <f t="shared" si="40"/>
        <v>FSOM - Cropland remaining cropland</v>
      </c>
      <c r="G125" t="str">
        <f t="shared" si="37"/>
        <v>Gg N2O</v>
      </c>
      <c r="H125" s="23" t="str">
        <f>IFERROR(('Activity data'!H89*(1/Constants!$H$99))*ttokg*FSOMEF*NtoN2O*kgtoGg,"NO")</f>
        <v>NO</v>
      </c>
      <c r="I125" s="23" t="str">
        <f>IFERROR(('Activity data'!#REF!*(1/Constants!$H$99))*ttokg*FSOMEF*NtoN2O*kgtoGg,"NO")</f>
        <v>NO</v>
      </c>
      <c r="J125" s="23" t="str">
        <f>IFERROR(('Activity data'!#REF!*(1/Constants!$H$99))*ttokg*FSOMEF*NtoN2O*kgtoGg,"NO")</f>
        <v>NO</v>
      </c>
      <c r="K125" s="23" t="str">
        <f>IFERROR(('Activity data'!#REF!*(1/Constants!$H$99))*ttokg*FSOMEF*NtoN2O*kgtoGg,"NO")</f>
        <v>NO</v>
      </c>
      <c r="L125" s="23" t="str">
        <f>IFERROR(('Activity data'!#REF!*(1/Constants!$H$99))*ttokg*FSOMEF*NtoN2O*kgtoGg,"NO")</f>
        <v>NO</v>
      </c>
      <c r="M125" s="23" t="str">
        <f>IFERROR(('Activity data'!#REF!*(1/Constants!$H$99))*ttokg*FSOMEF*NtoN2O*kgtoGg,"NO")</f>
        <v>NO</v>
      </c>
      <c r="N125" s="23" t="str">
        <f>IFERROR(('Activity data'!#REF!*(1/Constants!$H$99))*ttokg*FSOMEF*NtoN2O*kgtoGg,"NO")</f>
        <v>NO</v>
      </c>
      <c r="O125" s="23" t="str">
        <f>IFERROR(('Activity data'!#REF!*(1/Constants!$H$99))*ttokg*FSOMEF*NtoN2O*kgtoGg,"NO")</f>
        <v>NO</v>
      </c>
      <c r="P125" s="23" t="str">
        <f>IFERROR(('Activity data'!#REF!*(1/Constants!$H$99))*ttokg*FSOMEF*NtoN2O*kgtoGg,"NO")</f>
        <v>NO</v>
      </c>
      <c r="Q125" s="23" t="str">
        <f>IFERROR(('Activity data'!#REF!*(1/Constants!$H$99))*ttokg*FSOMEF*NtoN2O*kgtoGg,"NO")</f>
        <v>NO</v>
      </c>
      <c r="R125" s="23" t="str">
        <f>IFERROR(('Activity data'!#REF!*(1/Constants!$H$99))*ttokg*FSOMEF*NtoN2O*kgtoGg,"NO")</f>
        <v>NO</v>
      </c>
      <c r="S125" s="23" t="str">
        <f>IFERROR(('Activity data'!#REF!*(1/Constants!$H$99))*ttokg*FSOMEF*NtoN2O*kgtoGg,"NO")</f>
        <v>NO</v>
      </c>
      <c r="T125" s="23" t="str">
        <f>IFERROR(('Activity data'!#REF!*(1/Constants!$H$99))*ttokg*FSOMEF*NtoN2O*kgtoGg,"NO")</f>
        <v>NO</v>
      </c>
      <c r="U125" s="23" t="str">
        <f>IFERROR(('Activity data'!#REF!*(1/Constants!$H$99))*ttokg*FSOMEF*NtoN2O*kgtoGg,"NO")</f>
        <v>NO</v>
      </c>
      <c r="V125" s="23" t="str">
        <f>IFERROR(('Activity data'!#REF!*(1/Constants!$H$99))*ttokg*FSOMEF*NtoN2O*kgtoGg,"NO")</f>
        <v>NO</v>
      </c>
      <c r="W125" s="23" t="str">
        <f>IFERROR(('Activity data'!#REF!*(1/Constants!$H$99))*ttokg*FSOMEF*NtoN2O*kgtoGg,"NO")</f>
        <v>NO</v>
      </c>
      <c r="X125" s="23" t="str">
        <f>IFERROR(('Activity data'!#REF!*(1/Constants!$H$99))*ttokg*FSOMEF*NtoN2O*kgtoGg,"NO")</f>
        <v>NO</v>
      </c>
      <c r="Y125" s="23" t="str">
        <f>IFERROR(('Activity data'!#REF!*(1/Constants!$H$99))*ttokg*FSOMEF*NtoN2O*kgtoGg,"NO")</f>
        <v>NO</v>
      </c>
      <c r="Z125" s="23" t="str">
        <f>IFERROR(('Activity data'!#REF!*(1/Constants!$H$99))*ttokg*FSOMEF*NtoN2O*kgtoGg,"NO")</f>
        <v>NO</v>
      </c>
      <c r="AA125" s="23" t="str">
        <f>IFERROR(('Activity data'!#REF!*(1/Constants!$H$99))*ttokg*FSOMEF*NtoN2O*kgtoGg,"NO")</f>
        <v>NO</v>
      </c>
      <c r="AB125" s="23" t="str">
        <f>IFERROR(('Activity data'!#REF!*(1/Constants!$H$99))*ttokg*FSOMEF*NtoN2O*kgtoGg,"NO")</f>
        <v>NO</v>
      </c>
      <c r="AC125" s="23" t="str">
        <f>IFERROR(('Activity data'!#REF!*(1/Constants!$H$99))*ttokg*FSOMEF*NtoN2O*kgtoGg,"NO")</f>
        <v>NO</v>
      </c>
      <c r="AD125" s="23" t="str">
        <f>IFERROR(('Activity data'!#REF!*(1/Constants!$H$99))*ttokg*FSOMEF*NtoN2O*kgtoGg,"NO")</f>
        <v>NO</v>
      </c>
      <c r="AE125" s="23" t="str">
        <f>IFERROR(('Activity data'!#REF!*(1/Constants!$H$99))*ttokg*FSOMEF*NtoN2O*kgtoGg,"NO")</f>
        <v>NO</v>
      </c>
      <c r="AF125" s="23" t="str">
        <f>IFERROR(('Activity data'!#REF!*(1/Constants!$H$99))*ttokg*FSOMEF*NtoN2O*kgtoGg,"NO")</f>
        <v>NO</v>
      </c>
      <c r="AG125" s="23" t="str">
        <f>IFERROR(('Activity data'!#REF!*(1/Constants!$H$99))*ttokg*FSOMEF*NtoN2O*kgtoGg,"NO")</f>
        <v>NO</v>
      </c>
      <c r="AH125" s="23" t="str">
        <f>IFERROR(('Activity data'!#REF!*(1/Constants!$H$99))*ttokg*FSOMEF*NtoN2O*kgtoGg,"NO")</f>
        <v>NO</v>
      </c>
      <c r="AI125" s="23" t="str">
        <f>IFERROR(('Activity data'!#REF!*(1/Constants!$H$99))*ttokg*FSOMEF*NtoN2O*kgtoGg,"NO")</f>
        <v>NO</v>
      </c>
      <c r="AJ125" s="23" t="str">
        <f>IFERROR(('Activity data'!#REF!*(1/Constants!$H$99))*ttokg*FSOMEF*NtoN2O*kgtoGg,"NO")</f>
        <v>NO</v>
      </c>
      <c r="AK125" s="23" t="str">
        <f>IFERROR(('Activity data'!#REF!*(1/Constants!$H$99))*ttokg*FSOMEF*NtoN2O*kgtoGg,"NO")</f>
        <v>NO</v>
      </c>
      <c r="AL125" s="23" t="str">
        <f>IFERROR(('Activity data'!#REF!*(1/Constants!$H$99))*ttokg*FSOMEF*NtoN2O*kgtoGg,"NO")</f>
        <v>NO</v>
      </c>
      <c r="AM125" s="23" t="str">
        <f>IFERROR(('Activity data'!#REF!*(1/Constants!$H$99))*ttokg*FSOMEF*NtoN2O*kgtoGg,"NO")</f>
        <v>NO</v>
      </c>
      <c r="AN125" s="23" t="str">
        <f>IFERROR(('Activity data'!#REF!*(1/Constants!$H$99))*ttokg*FSOMEF*NtoN2O*kgtoGg,"NO")</f>
        <v>NO</v>
      </c>
      <c r="AO125" s="23" t="str">
        <f>IFERROR(('Activity data'!#REF!*(1/Constants!$H$99))*ttokg*FSOMEF*NtoN2O*kgtoGg,"NO")</f>
        <v>NO</v>
      </c>
      <c r="AP125" s="23" t="str">
        <f>IFERROR(('Activity data'!#REF!*(1/Constants!$H$99))*ttokg*FSOMEF*NtoN2O*kgtoGg,"NO")</f>
        <v>NO</v>
      </c>
      <c r="AQ125" s="23" t="str">
        <f>IFERROR(('Activity data'!#REF!*(1/Constants!$H$99))*ttokg*FSOMEF*NtoN2O*kgtoGg,"NO")</f>
        <v>NO</v>
      </c>
      <c r="AR125" s="23" t="str">
        <f>IFERROR(('Activity data'!#REF!*(1/Constants!$H$99))*ttokg*FSOMEF*NtoN2O*kgtoGg,"NO")</f>
        <v>NO</v>
      </c>
      <c r="AS125" s="23" t="str">
        <f>IFERROR(('Activity data'!#REF!*(1/Constants!$H$99))*ttokg*FSOMEF*NtoN2O*kgtoGg,"NO")</f>
        <v>NO</v>
      </c>
      <c r="AT125" s="23" t="str">
        <f>IFERROR(('Activity data'!#REF!*(1/Constants!$H$99))*ttokg*FSOMEF*NtoN2O*kgtoGg,"NO")</f>
        <v>NO</v>
      </c>
      <c r="AU125" s="23" t="str">
        <f>IFERROR(('Activity data'!#REF!*(1/Constants!$H$99))*ttokg*FSOMEF*NtoN2O*kgtoGg,"NO")</f>
        <v>NO</v>
      </c>
      <c r="AV125" s="23" t="str">
        <f>IFERROR(('Activity data'!#REF!*(1/Constants!$H$99))*ttokg*FSOMEF*NtoN2O*kgtoGg,"NO")</f>
        <v>NO</v>
      </c>
      <c r="AW125" s="23" t="str">
        <f>IFERROR(('Activity data'!#REF!*(1/Constants!$H$99))*ttokg*FSOMEF*NtoN2O*kgtoGg,"NO")</f>
        <v>NO</v>
      </c>
      <c r="AX125" s="23" t="str">
        <f>IFERROR(('Activity data'!#REF!*(1/Constants!$H$99))*ttokg*FSOMEF*NtoN2O*kgtoGg,"NO")</f>
        <v>NO</v>
      </c>
      <c r="AY125" s="23" t="str">
        <f>IFERROR(('Activity data'!#REF!*(1/Constants!$H$99))*ttokg*FSOMEF*NtoN2O*kgtoGg,"NO")</f>
        <v>NO</v>
      </c>
      <c r="AZ125" s="23" t="str">
        <f>IFERROR(('Activity data'!#REF!*(1/Constants!$H$99))*ttokg*FSOMEF*NtoN2O*kgtoGg,"NO")</f>
        <v>NO</v>
      </c>
      <c r="BA125" s="23" t="str">
        <f>IFERROR(('Activity data'!#REF!*(1/Constants!$H$99))*ttokg*FSOMEF*NtoN2O*kgtoGg,"NO")</f>
        <v>NO</v>
      </c>
      <c r="BB125" s="23" t="str">
        <f>IFERROR(('Activity data'!#REF!*(1/Constants!$H$99))*ttokg*FSOMEF*NtoN2O*kgtoGg,"NO")</f>
        <v>NO</v>
      </c>
      <c r="BC125" s="23" t="str">
        <f>IFERROR(('Activity data'!#REF!*(1/Constants!$H$99))*ttokg*FSOMEF*NtoN2O*kgtoGg,"NO")</f>
        <v>NO</v>
      </c>
      <c r="BD125" s="23" t="str">
        <f>IFERROR(('Activity data'!#REF!*(1/Constants!$H$99))*ttokg*FSOMEF*NtoN2O*kgtoGg,"NO")</f>
        <v>NO</v>
      </c>
      <c r="BE125" s="23" t="str">
        <f>IFERROR(('Activity data'!#REF!*(1/Constants!$H$99))*ttokg*FSOMEF*NtoN2O*kgtoGg,"NO")</f>
        <v>NO</v>
      </c>
      <c r="BF125" s="23" t="str">
        <f>IFERROR(('Activity data'!#REF!*(1/Constants!$H$99))*ttokg*FSOMEF*NtoN2O*kgtoGg,"NO")</f>
        <v>NO</v>
      </c>
      <c r="BG125" s="23" t="str">
        <f>IFERROR(('Activity data'!#REF!*(1/Constants!$H$99))*ttokg*FSOMEF*NtoN2O*kgtoGg,"NO")</f>
        <v>NO</v>
      </c>
      <c r="BH125" s="23" t="str">
        <f>IFERROR(('Activity data'!#REF!*(1/Constants!$H$99))*ttokg*FSOMEF*NtoN2O*kgtoGg,"NO")</f>
        <v>NO</v>
      </c>
      <c r="BI125" s="23" t="str">
        <f>IFERROR(('Activity data'!#REF!*(1/Constants!$H$99))*ttokg*FSOMEF*NtoN2O*kgtoGg,"NO")</f>
        <v>NO</v>
      </c>
      <c r="BJ125" s="23" t="str">
        <f>IFERROR(('Activity data'!#REF!*(1/Constants!$H$99))*ttokg*FSOMEF*NtoN2O*kgtoGg,"NO")</f>
        <v>NO</v>
      </c>
      <c r="BK125" s="23" t="str">
        <f>IFERROR(('Activity data'!#REF!*(1/Constants!$H$99))*ttokg*FSOMEF*NtoN2O*kgtoGg,"NO")</f>
        <v>NO</v>
      </c>
      <c r="BL125" s="23" t="str">
        <f>IFERROR(('Activity data'!#REF!*(1/Constants!$H$99))*ttokg*FSOMEF*NtoN2O*kgtoGg,"NO")</f>
        <v>NO</v>
      </c>
      <c r="BM125" s="23" t="str">
        <f>IFERROR(('Activity data'!#REF!*(1/Constants!$H$99))*ttokg*FSOMEF*NtoN2O*kgtoGg,"NO")</f>
        <v>NO</v>
      </c>
      <c r="BN125" s="23" t="str">
        <f>IFERROR(('Activity data'!#REF!*(1/Constants!$H$99))*ttokg*FSOMEF*NtoN2O*kgtoGg,"NO")</f>
        <v>NO</v>
      </c>
      <c r="BO125" s="23" t="str">
        <f>IFERROR(('Activity data'!#REF!*(1/Constants!$H$99))*ttokg*FSOMEF*NtoN2O*kgtoGg,"NO")</f>
        <v>NO</v>
      </c>
      <c r="BP125" s="23" t="str">
        <f>IFERROR(('Activity data'!#REF!*(1/Constants!$H$99))*ttokg*FSOMEF*NtoN2O*kgtoGg,"NO")</f>
        <v>NO</v>
      </c>
    </row>
    <row r="126" spans="1:68" x14ac:dyDescent="0.25">
      <c r="A126" t="str">
        <f t="shared" si="39"/>
        <v>3C Aggregated and non-CO2 emissions on land</v>
      </c>
      <c r="B126" t="str">
        <f t="shared" si="31"/>
        <v>3C4 Direct N2O from managed soils (N2O)</v>
      </c>
      <c r="C126" t="s">
        <v>64</v>
      </c>
      <c r="D126" t="str">
        <f>" - "&amp;'Activity data'!D90</f>
        <v xml:space="preserve"> - Land converted to cropland</v>
      </c>
      <c r="E126" t="str">
        <f t="shared" si="40"/>
        <v>FSOM - Land converted to cropland</v>
      </c>
      <c r="G126" t="str">
        <f t="shared" si="37"/>
        <v>Gg N2O</v>
      </c>
      <c r="H126" s="23" t="str">
        <f>IFERROR(('Activity data'!H90*(1/Constants!$H$99))*ttokg*FSOMEF*NtoN2O*kgtoGg,"NO")</f>
        <v>NO</v>
      </c>
      <c r="I126" s="23" t="str">
        <f>IFERROR(('Activity data'!#REF!*(1/Constants!$H$99))*ttokg*FSOMEF*NtoN2O*kgtoGg,"NO")</f>
        <v>NO</v>
      </c>
      <c r="J126" s="23" t="str">
        <f>IFERROR(('Activity data'!#REF!*(1/Constants!$H$99))*ttokg*FSOMEF*NtoN2O*kgtoGg,"NO")</f>
        <v>NO</v>
      </c>
      <c r="K126" s="23" t="str">
        <f>IFERROR(('Activity data'!#REF!*(1/Constants!$H$99))*ttokg*FSOMEF*NtoN2O*kgtoGg,"NO")</f>
        <v>NO</v>
      </c>
      <c r="L126" s="23" t="str">
        <f>IFERROR(('Activity data'!#REF!*(1/Constants!$H$99))*ttokg*FSOMEF*NtoN2O*kgtoGg,"NO")</f>
        <v>NO</v>
      </c>
      <c r="M126" s="23" t="str">
        <f>IFERROR(('Activity data'!#REF!*(1/Constants!$H$99))*ttokg*FSOMEF*NtoN2O*kgtoGg,"NO")</f>
        <v>NO</v>
      </c>
      <c r="N126" s="23" t="str">
        <f>IFERROR(('Activity data'!#REF!*(1/Constants!$H$99))*ttokg*FSOMEF*NtoN2O*kgtoGg,"NO")</f>
        <v>NO</v>
      </c>
      <c r="O126" s="23" t="str">
        <f>IFERROR(('Activity data'!#REF!*(1/Constants!$H$99))*ttokg*FSOMEF*NtoN2O*kgtoGg,"NO")</f>
        <v>NO</v>
      </c>
      <c r="P126" s="23" t="str">
        <f>IFERROR(('Activity data'!#REF!*(1/Constants!$H$99))*ttokg*FSOMEF*NtoN2O*kgtoGg,"NO")</f>
        <v>NO</v>
      </c>
      <c r="Q126" s="23" t="str">
        <f>IFERROR(('Activity data'!#REF!*(1/Constants!$H$99))*ttokg*FSOMEF*NtoN2O*kgtoGg,"NO")</f>
        <v>NO</v>
      </c>
      <c r="R126" s="23" t="str">
        <f>IFERROR(('Activity data'!#REF!*(1/Constants!$H$99))*ttokg*FSOMEF*NtoN2O*kgtoGg,"NO")</f>
        <v>NO</v>
      </c>
      <c r="S126" s="23" t="str">
        <f>IFERROR(('Activity data'!#REF!*(1/Constants!$H$99))*ttokg*FSOMEF*NtoN2O*kgtoGg,"NO")</f>
        <v>NO</v>
      </c>
      <c r="T126" s="23" t="str">
        <f>IFERROR(('Activity data'!#REF!*(1/Constants!$H$99))*ttokg*FSOMEF*NtoN2O*kgtoGg,"NO")</f>
        <v>NO</v>
      </c>
      <c r="U126" s="23" t="str">
        <f>IFERROR(('Activity data'!#REF!*(1/Constants!$H$99))*ttokg*FSOMEF*NtoN2O*kgtoGg,"NO")</f>
        <v>NO</v>
      </c>
      <c r="V126" s="23" t="str">
        <f>IFERROR(('Activity data'!#REF!*(1/Constants!$H$99))*ttokg*FSOMEF*NtoN2O*kgtoGg,"NO")</f>
        <v>NO</v>
      </c>
      <c r="W126" s="23" t="str">
        <f>IFERROR(('Activity data'!#REF!*(1/Constants!$H$99))*ttokg*FSOMEF*NtoN2O*kgtoGg,"NO")</f>
        <v>NO</v>
      </c>
      <c r="X126" s="23" t="str">
        <f>IFERROR(('Activity data'!#REF!*(1/Constants!$H$99))*ttokg*FSOMEF*NtoN2O*kgtoGg,"NO")</f>
        <v>NO</v>
      </c>
      <c r="Y126" s="23" t="str">
        <f>IFERROR(('Activity data'!#REF!*(1/Constants!$H$99))*ttokg*FSOMEF*NtoN2O*kgtoGg,"NO")</f>
        <v>NO</v>
      </c>
      <c r="Z126" s="23" t="str">
        <f>IFERROR(('Activity data'!#REF!*(1/Constants!$H$99))*ttokg*FSOMEF*NtoN2O*kgtoGg,"NO")</f>
        <v>NO</v>
      </c>
      <c r="AA126" s="23" t="str">
        <f>IFERROR(('Activity data'!#REF!*(1/Constants!$H$99))*ttokg*FSOMEF*NtoN2O*kgtoGg,"NO")</f>
        <v>NO</v>
      </c>
      <c r="AB126" s="23" t="str">
        <f>IFERROR(('Activity data'!#REF!*(1/Constants!$H$99))*ttokg*FSOMEF*NtoN2O*kgtoGg,"NO")</f>
        <v>NO</v>
      </c>
      <c r="AC126" s="23" t="str">
        <f>IFERROR(('Activity data'!#REF!*(1/Constants!$H$99))*ttokg*FSOMEF*NtoN2O*kgtoGg,"NO")</f>
        <v>NO</v>
      </c>
      <c r="AD126" s="23" t="str">
        <f>IFERROR(('Activity data'!#REF!*(1/Constants!$H$99))*ttokg*FSOMEF*NtoN2O*kgtoGg,"NO")</f>
        <v>NO</v>
      </c>
      <c r="AE126" s="23" t="str">
        <f>IFERROR(('Activity data'!#REF!*(1/Constants!$H$99))*ttokg*FSOMEF*NtoN2O*kgtoGg,"NO")</f>
        <v>NO</v>
      </c>
      <c r="AF126" s="23" t="str">
        <f>IFERROR(('Activity data'!#REF!*(1/Constants!$H$99))*ttokg*FSOMEF*NtoN2O*kgtoGg,"NO")</f>
        <v>NO</v>
      </c>
      <c r="AG126" s="23" t="str">
        <f>IFERROR(('Activity data'!#REF!*(1/Constants!$H$99))*ttokg*FSOMEF*NtoN2O*kgtoGg,"NO")</f>
        <v>NO</v>
      </c>
      <c r="AH126" s="23" t="str">
        <f>IFERROR(('Activity data'!#REF!*(1/Constants!$H$99))*ttokg*FSOMEF*NtoN2O*kgtoGg,"NO")</f>
        <v>NO</v>
      </c>
      <c r="AI126" s="23" t="str">
        <f>IFERROR(('Activity data'!#REF!*(1/Constants!$H$99))*ttokg*FSOMEF*NtoN2O*kgtoGg,"NO")</f>
        <v>NO</v>
      </c>
      <c r="AJ126" s="23" t="str">
        <f>IFERROR(('Activity data'!#REF!*(1/Constants!$H$99))*ttokg*FSOMEF*NtoN2O*kgtoGg,"NO")</f>
        <v>NO</v>
      </c>
      <c r="AK126" s="23" t="str">
        <f>IFERROR(('Activity data'!#REF!*(1/Constants!$H$99))*ttokg*FSOMEF*NtoN2O*kgtoGg,"NO")</f>
        <v>NO</v>
      </c>
      <c r="AL126" s="23" t="str">
        <f>IFERROR(('Activity data'!#REF!*(1/Constants!$H$99))*ttokg*FSOMEF*NtoN2O*kgtoGg,"NO")</f>
        <v>NO</v>
      </c>
      <c r="AM126" s="23" t="str">
        <f>IFERROR(('Activity data'!#REF!*(1/Constants!$H$99))*ttokg*FSOMEF*NtoN2O*kgtoGg,"NO")</f>
        <v>NO</v>
      </c>
      <c r="AN126" s="23" t="str">
        <f>IFERROR(('Activity data'!#REF!*(1/Constants!$H$99))*ttokg*FSOMEF*NtoN2O*kgtoGg,"NO")</f>
        <v>NO</v>
      </c>
      <c r="AO126" s="23" t="str">
        <f>IFERROR(('Activity data'!#REF!*(1/Constants!$H$99))*ttokg*FSOMEF*NtoN2O*kgtoGg,"NO")</f>
        <v>NO</v>
      </c>
      <c r="AP126" s="23" t="str">
        <f>IFERROR(('Activity data'!#REF!*(1/Constants!$H$99))*ttokg*FSOMEF*NtoN2O*kgtoGg,"NO")</f>
        <v>NO</v>
      </c>
      <c r="AQ126" s="23" t="str">
        <f>IFERROR(('Activity data'!#REF!*(1/Constants!$H$99))*ttokg*FSOMEF*NtoN2O*kgtoGg,"NO")</f>
        <v>NO</v>
      </c>
      <c r="AR126" s="23" t="str">
        <f>IFERROR(('Activity data'!#REF!*(1/Constants!$H$99))*ttokg*FSOMEF*NtoN2O*kgtoGg,"NO")</f>
        <v>NO</v>
      </c>
      <c r="AS126" s="23" t="str">
        <f>IFERROR(('Activity data'!#REF!*(1/Constants!$H$99))*ttokg*FSOMEF*NtoN2O*kgtoGg,"NO")</f>
        <v>NO</v>
      </c>
      <c r="AT126" s="23" t="str">
        <f>IFERROR(('Activity data'!#REF!*(1/Constants!$H$99))*ttokg*FSOMEF*NtoN2O*kgtoGg,"NO")</f>
        <v>NO</v>
      </c>
      <c r="AU126" s="23" t="str">
        <f>IFERROR(('Activity data'!#REF!*(1/Constants!$H$99))*ttokg*FSOMEF*NtoN2O*kgtoGg,"NO")</f>
        <v>NO</v>
      </c>
      <c r="AV126" s="23" t="str">
        <f>IFERROR(('Activity data'!#REF!*(1/Constants!$H$99))*ttokg*FSOMEF*NtoN2O*kgtoGg,"NO")</f>
        <v>NO</v>
      </c>
      <c r="AW126" s="23" t="str">
        <f>IFERROR(('Activity data'!#REF!*(1/Constants!$H$99))*ttokg*FSOMEF*NtoN2O*kgtoGg,"NO")</f>
        <v>NO</v>
      </c>
      <c r="AX126" s="23" t="str">
        <f>IFERROR(('Activity data'!#REF!*(1/Constants!$H$99))*ttokg*FSOMEF*NtoN2O*kgtoGg,"NO")</f>
        <v>NO</v>
      </c>
      <c r="AY126" s="23" t="str">
        <f>IFERROR(('Activity data'!#REF!*(1/Constants!$H$99))*ttokg*FSOMEF*NtoN2O*kgtoGg,"NO")</f>
        <v>NO</v>
      </c>
      <c r="AZ126" s="23" t="str">
        <f>IFERROR(('Activity data'!#REF!*(1/Constants!$H$99))*ttokg*FSOMEF*NtoN2O*kgtoGg,"NO")</f>
        <v>NO</v>
      </c>
      <c r="BA126" s="23" t="str">
        <f>IFERROR(('Activity data'!#REF!*(1/Constants!$H$99))*ttokg*FSOMEF*NtoN2O*kgtoGg,"NO")</f>
        <v>NO</v>
      </c>
      <c r="BB126" s="23" t="str">
        <f>IFERROR(('Activity data'!#REF!*(1/Constants!$H$99))*ttokg*FSOMEF*NtoN2O*kgtoGg,"NO")</f>
        <v>NO</v>
      </c>
      <c r="BC126" s="23" t="str">
        <f>IFERROR(('Activity data'!#REF!*(1/Constants!$H$99))*ttokg*FSOMEF*NtoN2O*kgtoGg,"NO")</f>
        <v>NO</v>
      </c>
      <c r="BD126" s="23" t="str">
        <f>IFERROR(('Activity data'!#REF!*(1/Constants!$H$99))*ttokg*FSOMEF*NtoN2O*kgtoGg,"NO")</f>
        <v>NO</v>
      </c>
      <c r="BE126" s="23" t="str">
        <f>IFERROR(('Activity data'!#REF!*(1/Constants!$H$99))*ttokg*FSOMEF*NtoN2O*kgtoGg,"NO")</f>
        <v>NO</v>
      </c>
      <c r="BF126" s="23" t="str">
        <f>IFERROR(('Activity data'!#REF!*(1/Constants!$H$99))*ttokg*FSOMEF*NtoN2O*kgtoGg,"NO")</f>
        <v>NO</v>
      </c>
      <c r="BG126" s="23" t="str">
        <f>IFERROR(('Activity data'!#REF!*(1/Constants!$H$99))*ttokg*FSOMEF*NtoN2O*kgtoGg,"NO")</f>
        <v>NO</v>
      </c>
      <c r="BH126" s="23" t="str">
        <f>IFERROR(('Activity data'!#REF!*(1/Constants!$H$99))*ttokg*FSOMEF*NtoN2O*kgtoGg,"NO")</f>
        <v>NO</v>
      </c>
      <c r="BI126" s="23" t="str">
        <f>IFERROR(('Activity data'!#REF!*(1/Constants!$H$99))*ttokg*FSOMEF*NtoN2O*kgtoGg,"NO")</f>
        <v>NO</v>
      </c>
      <c r="BJ126" s="23" t="str">
        <f>IFERROR(('Activity data'!#REF!*(1/Constants!$H$99))*ttokg*FSOMEF*NtoN2O*kgtoGg,"NO")</f>
        <v>NO</v>
      </c>
      <c r="BK126" s="23" t="str">
        <f>IFERROR(('Activity data'!#REF!*(1/Constants!$H$99))*ttokg*FSOMEF*NtoN2O*kgtoGg,"NO")</f>
        <v>NO</v>
      </c>
      <c r="BL126" s="23" t="str">
        <f>IFERROR(('Activity data'!#REF!*(1/Constants!$H$99))*ttokg*FSOMEF*NtoN2O*kgtoGg,"NO")</f>
        <v>NO</v>
      </c>
      <c r="BM126" s="23" t="str">
        <f>IFERROR(('Activity data'!#REF!*(1/Constants!$H$99))*ttokg*FSOMEF*NtoN2O*kgtoGg,"NO")</f>
        <v>NO</v>
      </c>
      <c r="BN126" s="23" t="str">
        <f>IFERROR(('Activity data'!#REF!*(1/Constants!$H$99))*ttokg*FSOMEF*NtoN2O*kgtoGg,"NO")</f>
        <v>NO</v>
      </c>
      <c r="BO126" s="23" t="str">
        <f>IFERROR(('Activity data'!#REF!*(1/Constants!$H$99))*ttokg*FSOMEF*NtoN2O*kgtoGg,"NO")</f>
        <v>NO</v>
      </c>
      <c r="BP126" s="23" t="str">
        <f>IFERROR(('Activity data'!#REF!*(1/Constants!$H$99))*ttokg*FSOMEF*NtoN2O*kgtoGg,"NO")</f>
        <v>NO</v>
      </c>
    </row>
    <row r="127" spans="1:68" x14ac:dyDescent="0.25">
      <c r="A127" t="str">
        <f t="shared" si="39"/>
        <v>3C Aggregated and non-CO2 emissions on land</v>
      </c>
      <c r="B127" t="str">
        <f t="shared" si="31"/>
        <v>3C4 Direct N2O from managed soils (N2O)</v>
      </c>
      <c r="C127" t="s">
        <v>64</v>
      </c>
      <c r="D127" t="str">
        <f>" - "&amp;'Activity data'!D91</f>
        <v xml:space="preserve"> - Grassland remaining grassland</v>
      </c>
      <c r="E127" t="str">
        <f t="shared" si="40"/>
        <v>FSOM - Grassland remaining grassland</v>
      </c>
      <c r="G127" t="str">
        <f t="shared" si="37"/>
        <v>Gg N2O</v>
      </c>
      <c r="H127" s="23" t="str">
        <f>IFERROR(('Activity data'!H91*(1/Constants!$H$99))*ttokg*FSOMEF*NtoN2O*kgtoGg,"NO")</f>
        <v>NO</v>
      </c>
      <c r="I127" s="23" t="str">
        <f>IFERROR(('Activity data'!#REF!*(1/Constants!$H$99))*ttokg*FSOMEF*NtoN2O*kgtoGg,"NO")</f>
        <v>NO</v>
      </c>
      <c r="J127" s="23" t="str">
        <f>IFERROR(('Activity data'!#REF!*(1/Constants!$H$99))*ttokg*FSOMEF*NtoN2O*kgtoGg,"NO")</f>
        <v>NO</v>
      </c>
      <c r="K127" s="23" t="str">
        <f>IFERROR(('Activity data'!#REF!*(1/Constants!$H$99))*ttokg*FSOMEF*NtoN2O*kgtoGg,"NO")</f>
        <v>NO</v>
      </c>
      <c r="L127" s="23" t="str">
        <f>IFERROR(('Activity data'!#REF!*(1/Constants!$H$99))*ttokg*FSOMEF*NtoN2O*kgtoGg,"NO")</f>
        <v>NO</v>
      </c>
      <c r="M127" s="23" t="str">
        <f>IFERROR(('Activity data'!#REF!*(1/Constants!$H$99))*ttokg*FSOMEF*NtoN2O*kgtoGg,"NO")</f>
        <v>NO</v>
      </c>
      <c r="N127" s="23" t="str">
        <f>IFERROR(('Activity data'!#REF!*(1/Constants!$H$99))*ttokg*FSOMEF*NtoN2O*kgtoGg,"NO")</f>
        <v>NO</v>
      </c>
      <c r="O127" s="23" t="str">
        <f>IFERROR(('Activity data'!#REF!*(1/Constants!$H$99))*ttokg*FSOMEF*NtoN2O*kgtoGg,"NO")</f>
        <v>NO</v>
      </c>
      <c r="P127" s="23" t="str">
        <f>IFERROR(('Activity data'!#REF!*(1/Constants!$H$99))*ttokg*FSOMEF*NtoN2O*kgtoGg,"NO")</f>
        <v>NO</v>
      </c>
      <c r="Q127" s="23" t="str">
        <f>IFERROR(('Activity data'!#REF!*(1/Constants!$H$99))*ttokg*FSOMEF*NtoN2O*kgtoGg,"NO")</f>
        <v>NO</v>
      </c>
      <c r="R127" s="23" t="str">
        <f>IFERROR(('Activity data'!#REF!*(1/Constants!$H$99))*ttokg*FSOMEF*NtoN2O*kgtoGg,"NO")</f>
        <v>NO</v>
      </c>
      <c r="S127" s="23" t="str">
        <f>IFERROR(('Activity data'!#REF!*(1/Constants!$H$99))*ttokg*FSOMEF*NtoN2O*kgtoGg,"NO")</f>
        <v>NO</v>
      </c>
      <c r="T127" s="23" t="str">
        <f>IFERROR(('Activity data'!#REF!*(1/Constants!$H$99))*ttokg*FSOMEF*NtoN2O*kgtoGg,"NO")</f>
        <v>NO</v>
      </c>
      <c r="U127" s="23" t="str">
        <f>IFERROR(('Activity data'!#REF!*(1/Constants!$H$99))*ttokg*FSOMEF*NtoN2O*kgtoGg,"NO")</f>
        <v>NO</v>
      </c>
      <c r="V127" s="23" t="str">
        <f>IFERROR(('Activity data'!#REF!*(1/Constants!$H$99))*ttokg*FSOMEF*NtoN2O*kgtoGg,"NO")</f>
        <v>NO</v>
      </c>
      <c r="W127" s="23" t="str">
        <f>IFERROR(('Activity data'!#REF!*(1/Constants!$H$99))*ttokg*FSOMEF*NtoN2O*kgtoGg,"NO")</f>
        <v>NO</v>
      </c>
      <c r="X127" s="23" t="str">
        <f>IFERROR(('Activity data'!#REF!*(1/Constants!$H$99))*ttokg*FSOMEF*NtoN2O*kgtoGg,"NO")</f>
        <v>NO</v>
      </c>
      <c r="Y127" s="23" t="str">
        <f>IFERROR(('Activity data'!#REF!*(1/Constants!$H$99))*ttokg*FSOMEF*NtoN2O*kgtoGg,"NO")</f>
        <v>NO</v>
      </c>
      <c r="Z127" s="23" t="str">
        <f>IFERROR(('Activity data'!#REF!*(1/Constants!$H$99))*ttokg*FSOMEF*NtoN2O*kgtoGg,"NO")</f>
        <v>NO</v>
      </c>
      <c r="AA127" s="23" t="str">
        <f>IFERROR(('Activity data'!#REF!*(1/Constants!$H$99))*ttokg*FSOMEF*NtoN2O*kgtoGg,"NO")</f>
        <v>NO</v>
      </c>
      <c r="AB127" s="23" t="str">
        <f>IFERROR(('Activity data'!#REF!*(1/Constants!$H$99))*ttokg*FSOMEF*NtoN2O*kgtoGg,"NO")</f>
        <v>NO</v>
      </c>
      <c r="AC127" s="23" t="str">
        <f>IFERROR(('Activity data'!#REF!*(1/Constants!$H$99))*ttokg*FSOMEF*NtoN2O*kgtoGg,"NO")</f>
        <v>NO</v>
      </c>
      <c r="AD127" s="23" t="str">
        <f>IFERROR(('Activity data'!#REF!*(1/Constants!$H$99))*ttokg*FSOMEF*NtoN2O*kgtoGg,"NO")</f>
        <v>NO</v>
      </c>
      <c r="AE127" s="23" t="str">
        <f>IFERROR(('Activity data'!#REF!*(1/Constants!$H$99))*ttokg*FSOMEF*NtoN2O*kgtoGg,"NO")</f>
        <v>NO</v>
      </c>
      <c r="AF127" s="23" t="str">
        <f>IFERROR(('Activity data'!#REF!*(1/Constants!$H$99))*ttokg*FSOMEF*NtoN2O*kgtoGg,"NO")</f>
        <v>NO</v>
      </c>
      <c r="AG127" s="23" t="str">
        <f>IFERROR(('Activity data'!#REF!*(1/Constants!$H$99))*ttokg*FSOMEF*NtoN2O*kgtoGg,"NO")</f>
        <v>NO</v>
      </c>
      <c r="AH127" s="23" t="str">
        <f>IFERROR(('Activity data'!#REF!*(1/Constants!$H$99))*ttokg*FSOMEF*NtoN2O*kgtoGg,"NO")</f>
        <v>NO</v>
      </c>
      <c r="AI127" s="23" t="str">
        <f>IFERROR(('Activity data'!#REF!*(1/Constants!$H$99))*ttokg*FSOMEF*NtoN2O*kgtoGg,"NO")</f>
        <v>NO</v>
      </c>
      <c r="AJ127" s="23" t="str">
        <f>IFERROR(('Activity data'!#REF!*(1/Constants!$H$99))*ttokg*FSOMEF*NtoN2O*kgtoGg,"NO")</f>
        <v>NO</v>
      </c>
      <c r="AK127" s="23" t="str">
        <f>IFERROR(('Activity data'!#REF!*(1/Constants!$H$99))*ttokg*FSOMEF*NtoN2O*kgtoGg,"NO")</f>
        <v>NO</v>
      </c>
      <c r="AL127" s="23" t="str">
        <f>IFERROR(('Activity data'!#REF!*(1/Constants!$H$99))*ttokg*FSOMEF*NtoN2O*kgtoGg,"NO")</f>
        <v>NO</v>
      </c>
      <c r="AM127" s="23" t="str">
        <f>IFERROR(('Activity data'!#REF!*(1/Constants!$H$99))*ttokg*FSOMEF*NtoN2O*kgtoGg,"NO")</f>
        <v>NO</v>
      </c>
      <c r="AN127" s="23" t="str">
        <f>IFERROR(('Activity data'!#REF!*(1/Constants!$H$99))*ttokg*FSOMEF*NtoN2O*kgtoGg,"NO")</f>
        <v>NO</v>
      </c>
      <c r="AO127" s="23" t="str">
        <f>IFERROR(('Activity data'!#REF!*(1/Constants!$H$99))*ttokg*FSOMEF*NtoN2O*kgtoGg,"NO")</f>
        <v>NO</v>
      </c>
      <c r="AP127" s="23" t="str">
        <f>IFERROR(('Activity data'!#REF!*(1/Constants!$H$99))*ttokg*FSOMEF*NtoN2O*kgtoGg,"NO")</f>
        <v>NO</v>
      </c>
      <c r="AQ127" s="23" t="str">
        <f>IFERROR(('Activity data'!#REF!*(1/Constants!$H$99))*ttokg*FSOMEF*NtoN2O*kgtoGg,"NO")</f>
        <v>NO</v>
      </c>
      <c r="AR127" s="23" t="str">
        <f>IFERROR(('Activity data'!#REF!*(1/Constants!$H$99))*ttokg*FSOMEF*NtoN2O*kgtoGg,"NO")</f>
        <v>NO</v>
      </c>
      <c r="AS127" s="23" t="str">
        <f>IFERROR(('Activity data'!#REF!*(1/Constants!$H$99))*ttokg*FSOMEF*NtoN2O*kgtoGg,"NO")</f>
        <v>NO</v>
      </c>
      <c r="AT127" s="23" t="str">
        <f>IFERROR(('Activity data'!#REF!*(1/Constants!$H$99))*ttokg*FSOMEF*NtoN2O*kgtoGg,"NO")</f>
        <v>NO</v>
      </c>
      <c r="AU127" s="23" t="str">
        <f>IFERROR(('Activity data'!#REF!*(1/Constants!$H$99))*ttokg*FSOMEF*NtoN2O*kgtoGg,"NO")</f>
        <v>NO</v>
      </c>
      <c r="AV127" s="23" t="str">
        <f>IFERROR(('Activity data'!#REF!*(1/Constants!$H$99))*ttokg*FSOMEF*NtoN2O*kgtoGg,"NO")</f>
        <v>NO</v>
      </c>
      <c r="AW127" s="23" t="str">
        <f>IFERROR(('Activity data'!#REF!*(1/Constants!$H$99))*ttokg*FSOMEF*NtoN2O*kgtoGg,"NO")</f>
        <v>NO</v>
      </c>
      <c r="AX127" s="23" t="str">
        <f>IFERROR(('Activity data'!#REF!*(1/Constants!$H$99))*ttokg*FSOMEF*NtoN2O*kgtoGg,"NO")</f>
        <v>NO</v>
      </c>
      <c r="AY127" s="23" t="str">
        <f>IFERROR(('Activity data'!#REF!*(1/Constants!$H$99))*ttokg*FSOMEF*NtoN2O*kgtoGg,"NO")</f>
        <v>NO</v>
      </c>
      <c r="AZ127" s="23" t="str">
        <f>IFERROR(('Activity data'!#REF!*(1/Constants!$H$99))*ttokg*FSOMEF*NtoN2O*kgtoGg,"NO")</f>
        <v>NO</v>
      </c>
      <c r="BA127" s="23" t="str">
        <f>IFERROR(('Activity data'!#REF!*(1/Constants!$H$99))*ttokg*FSOMEF*NtoN2O*kgtoGg,"NO")</f>
        <v>NO</v>
      </c>
      <c r="BB127" s="23" t="str">
        <f>IFERROR(('Activity data'!#REF!*(1/Constants!$H$99))*ttokg*FSOMEF*NtoN2O*kgtoGg,"NO")</f>
        <v>NO</v>
      </c>
      <c r="BC127" s="23" t="str">
        <f>IFERROR(('Activity data'!#REF!*(1/Constants!$H$99))*ttokg*FSOMEF*NtoN2O*kgtoGg,"NO")</f>
        <v>NO</v>
      </c>
      <c r="BD127" s="23" t="str">
        <f>IFERROR(('Activity data'!#REF!*(1/Constants!$H$99))*ttokg*FSOMEF*NtoN2O*kgtoGg,"NO")</f>
        <v>NO</v>
      </c>
      <c r="BE127" s="23" t="str">
        <f>IFERROR(('Activity data'!#REF!*(1/Constants!$H$99))*ttokg*FSOMEF*NtoN2O*kgtoGg,"NO")</f>
        <v>NO</v>
      </c>
      <c r="BF127" s="23" t="str">
        <f>IFERROR(('Activity data'!#REF!*(1/Constants!$H$99))*ttokg*FSOMEF*NtoN2O*kgtoGg,"NO")</f>
        <v>NO</v>
      </c>
      <c r="BG127" s="23" t="str">
        <f>IFERROR(('Activity data'!#REF!*(1/Constants!$H$99))*ttokg*FSOMEF*NtoN2O*kgtoGg,"NO")</f>
        <v>NO</v>
      </c>
      <c r="BH127" s="23" t="str">
        <f>IFERROR(('Activity data'!#REF!*(1/Constants!$H$99))*ttokg*FSOMEF*NtoN2O*kgtoGg,"NO")</f>
        <v>NO</v>
      </c>
      <c r="BI127" s="23" t="str">
        <f>IFERROR(('Activity data'!#REF!*(1/Constants!$H$99))*ttokg*FSOMEF*NtoN2O*kgtoGg,"NO")</f>
        <v>NO</v>
      </c>
      <c r="BJ127" s="23" t="str">
        <f>IFERROR(('Activity data'!#REF!*(1/Constants!$H$99))*ttokg*FSOMEF*NtoN2O*kgtoGg,"NO")</f>
        <v>NO</v>
      </c>
      <c r="BK127" s="23" t="str">
        <f>IFERROR(('Activity data'!#REF!*(1/Constants!$H$99))*ttokg*FSOMEF*NtoN2O*kgtoGg,"NO")</f>
        <v>NO</v>
      </c>
      <c r="BL127" s="23" t="str">
        <f>IFERROR(('Activity data'!#REF!*(1/Constants!$H$99))*ttokg*FSOMEF*NtoN2O*kgtoGg,"NO")</f>
        <v>NO</v>
      </c>
      <c r="BM127" s="23" t="str">
        <f>IFERROR(('Activity data'!#REF!*(1/Constants!$H$99))*ttokg*FSOMEF*NtoN2O*kgtoGg,"NO")</f>
        <v>NO</v>
      </c>
      <c r="BN127" s="23" t="str">
        <f>IFERROR(('Activity data'!#REF!*(1/Constants!$H$99))*ttokg*FSOMEF*NtoN2O*kgtoGg,"NO")</f>
        <v>NO</v>
      </c>
      <c r="BO127" s="23" t="str">
        <f>IFERROR(('Activity data'!#REF!*(1/Constants!$H$99))*ttokg*FSOMEF*NtoN2O*kgtoGg,"NO")</f>
        <v>NO</v>
      </c>
      <c r="BP127" s="23" t="str">
        <f>IFERROR(('Activity data'!#REF!*(1/Constants!$H$99))*ttokg*FSOMEF*NtoN2O*kgtoGg,"NO")</f>
        <v>NO</v>
      </c>
    </row>
    <row r="128" spans="1:68" x14ac:dyDescent="0.25">
      <c r="A128" t="str">
        <f t="shared" si="39"/>
        <v>3C Aggregated and non-CO2 emissions on land</v>
      </c>
      <c r="B128" t="str">
        <f t="shared" si="31"/>
        <v>3C4 Direct N2O from managed soils (N2O)</v>
      </c>
      <c r="C128" t="s">
        <v>64</v>
      </c>
      <c r="D128" t="str">
        <f>" - "&amp;'Activity data'!D92</f>
        <v xml:space="preserve"> - Land converted to grassland</v>
      </c>
      <c r="E128" t="str">
        <f t="shared" si="40"/>
        <v>FSOM - Land converted to grassland</v>
      </c>
      <c r="G128" t="str">
        <f t="shared" si="37"/>
        <v>Gg N2O</v>
      </c>
      <c r="H128" s="23">
        <f>IFERROR(('Activity data'!H92*(1/Constants!$H$99))*ttokg*FSOMEF*NtoN2O*kgtoGg,"NO")</f>
        <v>0</v>
      </c>
      <c r="I128" s="23" t="str">
        <f>IFERROR(('Activity data'!#REF!*(1/Constants!$H$99))*ttokg*FSOMEF*NtoN2O*kgtoGg,"NO")</f>
        <v>NO</v>
      </c>
      <c r="J128" s="23" t="str">
        <f>IFERROR(('Activity data'!#REF!*(1/Constants!$H$99))*ttokg*FSOMEF*NtoN2O*kgtoGg,"NO")</f>
        <v>NO</v>
      </c>
      <c r="K128" s="23" t="str">
        <f>IFERROR(('Activity data'!#REF!*(1/Constants!$H$99))*ttokg*FSOMEF*NtoN2O*kgtoGg,"NO")</f>
        <v>NO</v>
      </c>
      <c r="L128" s="23" t="str">
        <f>IFERROR(('Activity data'!#REF!*(1/Constants!$H$99))*ttokg*FSOMEF*NtoN2O*kgtoGg,"NO")</f>
        <v>NO</v>
      </c>
      <c r="M128" s="23" t="str">
        <f>IFERROR(('Activity data'!#REF!*(1/Constants!$H$99))*ttokg*FSOMEF*NtoN2O*kgtoGg,"NO")</f>
        <v>NO</v>
      </c>
      <c r="N128" s="23" t="str">
        <f>IFERROR(('Activity data'!#REF!*(1/Constants!$H$99))*ttokg*FSOMEF*NtoN2O*kgtoGg,"NO")</f>
        <v>NO</v>
      </c>
      <c r="O128" s="23" t="str">
        <f>IFERROR(('Activity data'!#REF!*(1/Constants!$H$99))*ttokg*FSOMEF*NtoN2O*kgtoGg,"NO")</f>
        <v>NO</v>
      </c>
      <c r="P128" s="23" t="str">
        <f>IFERROR(('Activity data'!#REF!*(1/Constants!$H$99))*ttokg*FSOMEF*NtoN2O*kgtoGg,"NO")</f>
        <v>NO</v>
      </c>
      <c r="Q128" s="23" t="str">
        <f>IFERROR(('Activity data'!#REF!*(1/Constants!$H$99))*ttokg*FSOMEF*NtoN2O*kgtoGg,"NO")</f>
        <v>NO</v>
      </c>
      <c r="R128" s="23" t="str">
        <f>IFERROR(('Activity data'!#REF!*(1/Constants!$H$99))*ttokg*FSOMEF*NtoN2O*kgtoGg,"NO")</f>
        <v>NO</v>
      </c>
      <c r="S128" s="23" t="str">
        <f>IFERROR(('Activity data'!#REF!*(1/Constants!$H$99))*ttokg*FSOMEF*NtoN2O*kgtoGg,"NO")</f>
        <v>NO</v>
      </c>
      <c r="T128" s="23" t="str">
        <f>IFERROR(('Activity data'!#REF!*(1/Constants!$H$99))*ttokg*FSOMEF*NtoN2O*kgtoGg,"NO")</f>
        <v>NO</v>
      </c>
      <c r="U128" s="23" t="str">
        <f>IFERROR(('Activity data'!#REF!*(1/Constants!$H$99))*ttokg*FSOMEF*NtoN2O*kgtoGg,"NO")</f>
        <v>NO</v>
      </c>
      <c r="V128" s="23" t="str">
        <f>IFERROR(('Activity data'!#REF!*(1/Constants!$H$99))*ttokg*FSOMEF*NtoN2O*kgtoGg,"NO")</f>
        <v>NO</v>
      </c>
      <c r="W128" s="23" t="str">
        <f>IFERROR(('Activity data'!#REF!*(1/Constants!$H$99))*ttokg*FSOMEF*NtoN2O*kgtoGg,"NO")</f>
        <v>NO</v>
      </c>
      <c r="X128" s="23" t="str">
        <f>IFERROR(('Activity data'!#REF!*(1/Constants!$H$99))*ttokg*FSOMEF*NtoN2O*kgtoGg,"NO")</f>
        <v>NO</v>
      </c>
      <c r="Y128" s="23" t="str">
        <f>IFERROR(('Activity data'!#REF!*(1/Constants!$H$99))*ttokg*FSOMEF*NtoN2O*kgtoGg,"NO")</f>
        <v>NO</v>
      </c>
      <c r="Z128" s="23" t="str">
        <f>IFERROR(('Activity data'!#REF!*(1/Constants!$H$99))*ttokg*FSOMEF*NtoN2O*kgtoGg,"NO")</f>
        <v>NO</v>
      </c>
      <c r="AA128" s="23" t="str">
        <f>IFERROR(('Activity data'!#REF!*(1/Constants!$H$99))*ttokg*FSOMEF*NtoN2O*kgtoGg,"NO")</f>
        <v>NO</v>
      </c>
      <c r="AB128" s="23" t="str">
        <f>IFERROR(('Activity data'!#REF!*(1/Constants!$H$99))*ttokg*FSOMEF*NtoN2O*kgtoGg,"NO")</f>
        <v>NO</v>
      </c>
      <c r="AC128" s="23" t="str">
        <f>IFERROR(('Activity data'!#REF!*(1/Constants!$H$99))*ttokg*FSOMEF*NtoN2O*kgtoGg,"NO")</f>
        <v>NO</v>
      </c>
      <c r="AD128" s="23" t="str">
        <f>IFERROR(('Activity data'!#REF!*(1/Constants!$H$99))*ttokg*FSOMEF*NtoN2O*kgtoGg,"NO")</f>
        <v>NO</v>
      </c>
      <c r="AE128" s="23" t="str">
        <f>IFERROR(('Activity data'!#REF!*(1/Constants!$H$99))*ttokg*FSOMEF*NtoN2O*kgtoGg,"NO")</f>
        <v>NO</v>
      </c>
      <c r="AF128" s="23" t="str">
        <f>IFERROR(('Activity data'!#REF!*(1/Constants!$H$99))*ttokg*FSOMEF*NtoN2O*kgtoGg,"NO")</f>
        <v>NO</v>
      </c>
      <c r="AG128" s="23" t="str">
        <f>IFERROR(('Activity data'!#REF!*(1/Constants!$H$99))*ttokg*FSOMEF*NtoN2O*kgtoGg,"NO")</f>
        <v>NO</v>
      </c>
      <c r="AH128" s="23" t="str">
        <f>IFERROR(('Activity data'!#REF!*(1/Constants!$H$99))*ttokg*FSOMEF*NtoN2O*kgtoGg,"NO")</f>
        <v>NO</v>
      </c>
      <c r="AI128" s="23" t="str">
        <f>IFERROR(('Activity data'!#REF!*(1/Constants!$H$99))*ttokg*FSOMEF*NtoN2O*kgtoGg,"NO")</f>
        <v>NO</v>
      </c>
      <c r="AJ128" s="23" t="str">
        <f>IFERROR(('Activity data'!#REF!*(1/Constants!$H$99))*ttokg*FSOMEF*NtoN2O*kgtoGg,"NO")</f>
        <v>NO</v>
      </c>
      <c r="AK128" s="23" t="str">
        <f>IFERROR(('Activity data'!#REF!*(1/Constants!$H$99))*ttokg*FSOMEF*NtoN2O*kgtoGg,"NO")</f>
        <v>NO</v>
      </c>
      <c r="AL128" s="23" t="str">
        <f>IFERROR(('Activity data'!#REF!*(1/Constants!$H$99))*ttokg*FSOMEF*NtoN2O*kgtoGg,"NO")</f>
        <v>NO</v>
      </c>
      <c r="AM128" s="23" t="str">
        <f>IFERROR(('Activity data'!#REF!*(1/Constants!$H$99))*ttokg*FSOMEF*NtoN2O*kgtoGg,"NO")</f>
        <v>NO</v>
      </c>
      <c r="AN128" s="23" t="str">
        <f>IFERROR(('Activity data'!#REF!*(1/Constants!$H$99))*ttokg*FSOMEF*NtoN2O*kgtoGg,"NO")</f>
        <v>NO</v>
      </c>
      <c r="AO128" s="23" t="str">
        <f>IFERROR(('Activity data'!#REF!*(1/Constants!$H$99))*ttokg*FSOMEF*NtoN2O*kgtoGg,"NO")</f>
        <v>NO</v>
      </c>
      <c r="AP128" s="23" t="str">
        <f>IFERROR(('Activity data'!#REF!*(1/Constants!$H$99))*ttokg*FSOMEF*NtoN2O*kgtoGg,"NO")</f>
        <v>NO</v>
      </c>
      <c r="AQ128" s="23" t="str">
        <f>IFERROR(('Activity data'!#REF!*(1/Constants!$H$99))*ttokg*FSOMEF*NtoN2O*kgtoGg,"NO")</f>
        <v>NO</v>
      </c>
      <c r="AR128" s="23" t="str">
        <f>IFERROR(('Activity data'!#REF!*(1/Constants!$H$99))*ttokg*FSOMEF*NtoN2O*kgtoGg,"NO")</f>
        <v>NO</v>
      </c>
      <c r="AS128" s="23" t="str">
        <f>IFERROR(('Activity data'!#REF!*(1/Constants!$H$99))*ttokg*FSOMEF*NtoN2O*kgtoGg,"NO")</f>
        <v>NO</v>
      </c>
      <c r="AT128" s="23" t="str">
        <f>IFERROR(('Activity data'!#REF!*(1/Constants!$H$99))*ttokg*FSOMEF*NtoN2O*kgtoGg,"NO")</f>
        <v>NO</v>
      </c>
      <c r="AU128" s="23" t="str">
        <f>IFERROR(('Activity data'!#REF!*(1/Constants!$H$99))*ttokg*FSOMEF*NtoN2O*kgtoGg,"NO")</f>
        <v>NO</v>
      </c>
      <c r="AV128" s="23" t="str">
        <f>IFERROR(('Activity data'!#REF!*(1/Constants!$H$99))*ttokg*FSOMEF*NtoN2O*kgtoGg,"NO")</f>
        <v>NO</v>
      </c>
      <c r="AW128" s="23" t="str">
        <f>IFERROR(('Activity data'!#REF!*(1/Constants!$H$99))*ttokg*FSOMEF*NtoN2O*kgtoGg,"NO")</f>
        <v>NO</v>
      </c>
      <c r="AX128" s="23" t="str">
        <f>IFERROR(('Activity data'!#REF!*(1/Constants!$H$99))*ttokg*FSOMEF*NtoN2O*kgtoGg,"NO")</f>
        <v>NO</v>
      </c>
      <c r="AY128" s="23" t="str">
        <f>IFERROR(('Activity data'!#REF!*(1/Constants!$H$99))*ttokg*FSOMEF*NtoN2O*kgtoGg,"NO")</f>
        <v>NO</v>
      </c>
      <c r="AZ128" s="23" t="str">
        <f>IFERROR(('Activity data'!#REF!*(1/Constants!$H$99))*ttokg*FSOMEF*NtoN2O*kgtoGg,"NO")</f>
        <v>NO</v>
      </c>
      <c r="BA128" s="23" t="str">
        <f>IFERROR(('Activity data'!#REF!*(1/Constants!$H$99))*ttokg*FSOMEF*NtoN2O*kgtoGg,"NO")</f>
        <v>NO</v>
      </c>
      <c r="BB128" s="23" t="str">
        <f>IFERROR(('Activity data'!#REF!*(1/Constants!$H$99))*ttokg*FSOMEF*NtoN2O*kgtoGg,"NO")</f>
        <v>NO</v>
      </c>
      <c r="BC128" s="23" t="str">
        <f>IFERROR(('Activity data'!#REF!*(1/Constants!$H$99))*ttokg*FSOMEF*NtoN2O*kgtoGg,"NO")</f>
        <v>NO</v>
      </c>
      <c r="BD128" s="23" t="str">
        <f>IFERROR(('Activity data'!#REF!*(1/Constants!$H$99))*ttokg*FSOMEF*NtoN2O*kgtoGg,"NO")</f>
        <v>NO</v>
      </c>
      <c r="BE128" s="23" t="str">
        <f>IFERROR(('Activity data'!#REF!*(1/Constants!$H$99))*ttokg*FSOMEF*NtoN2O*kgtoGg,"NO")</f>
        <v>NO</v>
      </c>
      <c r="BF128" s="23" t="str">
        <f>IFERROR(('Activity data'!#REF!*(1/Constants!$H$99))*ttokg*FSOMEF*NtoN2O*kgtoGg,"NO")</f>
        <v>NO</v>
      </c>
      <c r="BG128" s="23" t="str">
        <f>IFERROR(('Activity data'!#REF!*(1/Constants!$H$99))*ttokg*FSOMEF*NtoN2O*kgtoGg,"NO")</f>
        <v>NO</v>
      </c>
      <c r="BH128" s="23" t="str">
        <f>IFERROR(('Activity data'!#REF!*(1/Constants!$H$99))*ttokg*FSOMEF*NtoN2O*kgtoGg,"NO")</f>
        <v>NO</v>
      </c>
      <c r="BI128" s="23" t="str">
        <f>IFERROR(('Activity data'!#REF!*(1/Constants!$H$99))*ttokg*FSOMEF*NtoN2O*kgtoGg,"NO")</f>
        <v>NO</v>
      </c>
      <c r="BJ128" s="23" t="str">
        <f>IFERROR(('Activity data'!#REF!*(1/Constants!$H$99))*ttokg*FSOMEF*NtoN2O*kgtoGg,"NO")</f>
        <v>NO</v>
      </c>
      <c r="BK128" s="23" t="str">
        <f>IFERROR(('Activity data'!#REF!*(1/Constants!$H$99))*ttokg*FSOMEF*NtoN2O*kgtoGg,"NO")</f>
        <v>NO</v>
      </c>
      <c r="BL128" s="23" t="str">
        <f>IFERROR(('Activity data'!#REF!*(1/Constants!$H$99))*ttokg*FSOMEF*NtoN2O*kgtoGg,"NO")</f>
        <v>NO</v>
      </c>
      <c r="BM128" s="23" t="str">
        <f>IFERROR(('Activity data'!#REF!*(1/Constants!$H$99))*ttokg*FSOMEF*NtoN2O*kgtoGg,"NO")</f>
        <v>NO</v>
      </c>
      <c r="BN128" s="23" t="str">
        <f>IFERROR(('Activity data'!#REF!*(1/Constants!$H$99))*ttokg*FSOMEF*NtoN2O*kgtoGg,"NO")</f>
        <v>NO</v>
      </c>
      <c r="BO128" s="23" t="str">
        <f>IFERROR(('Activity data'!#REF!*(1/Constants!$H$99))*ttokg*FSOMEF*NtoN2O*kgtoGg,"NO")</f>
        <v>NO</v>
      </c>
      <c r="BP128" s="23" t="str">
        <f>IFERROR(('Activity data'!#REF!*(1/Constants!$H$99))*ttokg*FSOMEF*NtoN2O*kgtoGg,"NO")</f>
        <v>NO</v>
      </c>
    </row>
    <row r="129" spans="1:68" x14ac:dyDescent="0.25">
      <c r="A129" t="str">
        <f t="shared" si="39"/>
        <v>3C Aggregated and non-CO2 emissions on land</v>
      </c>
      <c r="B129" t="str">
        <f t="shared" si="31"/>
        <v>3C4 Direct N2O from managed soils (N2O)</v>
      </c>
      <c r="C129" t="s">
        <v>64</v>
      </c>
      <c r="D129" t="str">
        <f>" - "&amp;'Activity data'!D89</f>
        <v xml:space="preserve"> - Cropland remaining cropland</v>
      </c>
      <c r="E129" t="str">
        <f t="shared" si="32"/>
        <v>FSOM - Cropland remaining cropland</v>
      </c>
      <c r="G129" t="str">
        <f t="shared" si="37"/>
        <v>Gg N2O</v>
      </c>
      <c r="H129" s="23" t="str">
        <f>IFERROR(('Activity data'!H93*(1/Constants!$H$99))*ttokg*FSOMEF*NtoN2O*kgtoGg,"NO")</f>
        <v>NO</v>
      </c>
      <c r="I129" s="23" t="str">
        <f>IFERROR(('Activity data'!I89*(1/Constants!$H$98))*ttokg*FSOMEF*NtoN2O*kgtoGg,"NO")</f>
        <v>NO</v>
      </c>
      <c r="J129" s="23" t="str">
        <f>IFERROR(('Activity data'!J89*(1/Constants!$H$98))*ttokg*FSOMEF*NtoN2O*kgtoGg,"NO")</f>
        <v>NO</v>
      </c>
      <c r="K129" s="23" t="str">
        <f>IFERROR(('Activity data'!K89*(1/Constants!$H$98))*ttokg*FSOMEF*NtoN2O*kgtoGg,"NO")</f>
        <v>NO</v>
      </c>
      <c r="L129" s="23" t="str">
        <f>IFERROR(('Activity data'!L89*(1/Constants!$H$98))*ttokg*FSOMEF*NtoN2O*kgtoGg,"NO")</f>
        <v>NO</v>
      </c>
      <c r="M129" s="23" t="str">
        <f>IFERROR(('Activity data'!M89*(1/Constants!$H$98))*ttokg*FSOMEF*NtoN2O*kgtoGg,"NO")</f>
        <v>NO</v>
      </c>
      <c r="N129" s="23" t="str">
        <f>IFERROR(('Activity data'!N89*(1/Constants!$H$98))*ttokg*FSOMEF*NtoN2O*kgtoGg,"NO")</f>
        <v>NO</v>
      </c>
      <c r="O129" s="23" t="str">
        <f>IFERROR(('Activity data'!O89*(1/Constants!$H$98))*ttokg*FSOMEF*NtoN2O*kgtoGg,"NO")</f>
        <v>NO</v>
      </c>
      <c r="P129" s="23" t="str">
        <f>IFERROR(('Activity data'!P89*(1/Constants!$H$98))*ttokg*FSOMEF*NtoN2O*kgtoGg,"NO")</f>
        <v>NO</v>
      </c>
      <c r="Q129" s="23" t="str">
        <f>IFERROR(('Activity data'!Q89*(1/Constants!$H$98))*ttokg*FSOMEF*NtoN2O*kgtoGg,"NO")</f>
        <v>NO</v>
      </c>
      <c r="R129" s="23" t="str">
        <f>IFERROR(('Activity data'!R89*(1/Constants!$H$98))*ttokg*FSOMEF*NtoN2O*kgtoGg,"NO")</f>
        <v>NO</v>
      </c>
      <c r="S129" s="23" t="str">
        <f>IFERROR(('Activity data'!S89*(1/Constants!$H$98))*ttokg*FSOMEF*NtoN2O*kgtoGg,"NO")</f>
        <v>NO</v>
      </c>
      <c r="T129" s="23" t="str">
        <f>IFERROR(('Activity data'!T89*(1/Constants!$H$98))*ttokg*FSOMEF*NtoN2O*kgtoGg,"NO")</f>
        <v>NO</v>
      </c>
      <c r="U129" s="23" t="str">
        <f>IFERROR(('Activity data'!U89*(1/Constants!$H$98))*ttokg*FSOMEF*NtoN2O*kgtoGg,"NO")</f>
        <v>NO</v>
      </c>
      <c r="V129" s="23" t="str">
        <f>IFERROR(('Activity data'!V89*(1/Constants!$H$98))*ttokg*FSOMEF*NtoN2O*kgtoGg,"NO")</f>
        <v>NO</v>
      </c>
      <c r="W129" s="23" t="str">
        <f>IFERROR(('Activity data'!W89*(1/Constants!$H$98))*ttokg*FSOMEF*NtoN2O*kgtoGg,"NO")</f>
        <v>NO</v>
      </c>
      <c r="X129" s="23" t="str">
        <f>IFERROR(('Activity data'!X89*(1/Constants!$H$98))*ttokg*FSOMEF*NtoN2O*kgtoGg,"NO")</f>
        <v>NO</v>
      </c>
      <c r="Y129" s="23" t="str">
        <f>IFERROR(('Activity data'!Y89*(1/Constants!$H$98))*ttokg*FSOMEF*NtoN2O*kgtoGg,"NO")</f>
        <v>NO</v>
      </c>
      <c r="Z129" s="23" t="str">
        <f>IFERROR(('Activity data'!Z89*(1/Constants!$H$98))*ttokg*FSOMEF*NtoN2O*kgtoGg,"NO")</f>
        <v>NO</v>
      </c>
      <c r="AA129" s="23" t="str">
        <f>IFERROR(('Activity data'!AA89*(1/Constants!$H$98))*ttokg*FSOMEF*NtoN2O*kgtoGg,"NO")</f>
        <v>NO</v>
      </c>
      <c r="AB129" s="23" t="str">
        <f>IFERROR(('Activity data'!AB89*(1/Constants!$H$98))*ttokg*FSOMEF*NtoN2O*kgtoGg,"NO")</f>
        <v>NO</v>
      </c>
      <c r="AC129" s="23" t="str">
        <f>IFERROR(('Activity data'!AC89*(1/Constants!$H$98))*ttokg*FSOMEF*NtoN2O*kgtoGg,"NO")</f>
        <v>NO</v>
      </c>
      <c r="AD129" s="23" t="str">
        <f>IFERROR(('Activity data'!AD89*(1/Constants!$H$98))*ttokg*FSOMEF*NtoN2O*kgtoGg,"NO")</f>
        <v>NO</v>
      </c>
      <c r="AE129" s="23" t="str">
        <f>IFERROR(('Activity data'!AE89*(1/Constants!$H$98))*ttokg*FSOMEF*NtoN2O*kgtoGg,"NO")</f>
        <v>NO</v>
      </c>
      <c r="AF129" s="23" t="str">
        <f>IFERROR(('Activity data'!AF89*(1/Constants!$H$98))*ttokg*FSOMEF*NtoN2O*kgtoGg,"NO")</f>
        <v>NO</v>
      </c>
      <c r="AG129" s="23" t="str">
        <f>IFERROR(('Activity data'!AG89*(1/Constants!$H$98))*ttokg*FSOMEF*NtoN2O*kgtoGg,"NO")</f>
        <v>NO</v>
      </c>
      <c r="AH129" s="23" t="str">
        <f>IFERROR(('Activity data'!AH89*(1/Constants!$H$98))*ttokg*FSOMEF*NtoN2O*kgtoGg,"NO")</f>
        <v>NO</v>
      </c>
      <c r="AI129" s="23" t="str">
        <f>IFERROR(('Activity data'!AI89*(1/Constants!$H$98))*ttokg*FSOMEF*NtoN2O*kgtoGg,"NO")</f>
        <v>NO</v>
      </c>
      <c r="AJ129" s="23" t="str">
        <f>IFERROR(('Activity data'!AJ89*(1/Constants!$H$98))*ttokg*FSOMEF*NtoN2O*kgtoGg,"NO")</f>
        <v>NO</v>
      </c>
      <c r="AK129" s="23" t="str">
        <f>IFERROR(('Activity data'!AK89*(1/Constants!$H$98))*ttokg*FSOMEF*NtoN2O*kgtoGg,"NO")</f>
        <v>NO</v>
      </c>
      <c r="AL129" s="23" t="str">
        <f>IFERROR(('Activity data'!AL89*(1/Constants!$H$98))*ttokg*FSOMEF*NtoN2O*kgtoGg,"NO")</f>
        <v>NO</v>
      </c>
      <c r="AM129" s="23" t="str">
        <f>IFERROR(('Activity data'!AM89*(1/Constants!$H$98))*ttokg*FSOMEF*NtoN2O*kgtoGg,"NO")</f>
        <v>NO</v>
      </c>
      <c r="AN129" s="23" t="str">
        <f>IFERROR(('Activity data'!AN89*(1/Constants!$H$98))*ttokg*FSOMEF*NtoN2O*kgtoGg,"NO")</f>
        <v>NO</v>
      </c>
      <c r="AO129" s="23" t="str">
        <f>IFERROR(('Activity data'!AO89*(1/Constants!$H$98))*ttokg*FSOMEF*NtoN2O*kgtoGg,"NO")</f>
        <v>NO</v>
      </c>
      <c r="AP129" s="23" t="str">
        <f>IFERROR(('Activity data'!AP89*(1/Constants!$H$98))*ttokg*FSOMEF*NtoN2O*kgtoGg,"NO")</f>
        <v>NO</v>
      </c>
      <c r="AQ129" s="23" t="str">
        <f>IFERROR(('Activity data'!AQ89*(1/Constants!$H$98))*ttokg*FSOMEF*NtoN2O*kgtoGg,"NO")</f>
        <v>NO</v>
      </c>
      <c r="AR129" s="23" t="str">
        <f>IFERROR(('Activity data'!AR89*(1/Constants!$H$98))*ttokg*FSOMEF*NtoN2O*kgtoGg,"NO")</f>
        <v>NO</v>
      </c>
      <c r="AS129" s="23" t="str">
        <f>IFERROR(('Activity data'!AS89*(1/Constants!$H$98))*ttokg*FSOMEF*NtoN2O*kgtoGg,"NO")</f>
        <v>NO</v>
      </c>
      <c r="AT129" s="23" t="str">
        <f>IFERROR(('Activity data'!AT89*(1/Constants!$H$98))*ttokg*FSOMEF*NtoN2O*kgtoGg,"NO")</f>
        <v>NO</v>
      </c>
      <c r="AU129" s="23" t="str">
        <f>IFERROR(('Activity data'!AU89*(1/Constants!$H$98))*ttokg*FSOMEF*NtoN2O*kgtoGg,"NO")</f>
        <v>NO</v>
      </c>
      <c r="AV129" s="23" t="str">
        <f>IFERROR(('Activity data'!AV89*(1/Constants!$H$98))*ttokg*FSOMEF*NtoN2O*kgtoGg,"NO")</f>
        <v>NO</v>
      </c>
      <c r="AW129" s="23" t="str">
        <f>IFERROR(('Activity data'!AW89*(1/Constants!$H$98))*ttokg*FSOMEF*NtoN2O*kgtoGg,"NO")</f>
        <v>NO</v>
      </c>
      <c r="AX129" s="23" t="str">
        <f>IFERROR(('Activity data'!AX89*(1/Constants!$H$98))*ttokg*FSOMEF*NtoN2O*kgtoGg,"NO")</f>
        <v>NO</v>
      </c>
      <c r="AY129" s="23" t="str">
        <f>IFERROR(('Activity data'!AY89*(1/Constants!$H$98))*ttokg*FSOMEF*NtoN2O*kgtoGg,"NO")</f>
        <v>NO</v>
      </c>
      <c r="AZ129" s="23" t="str">
        <f>IFERROR(('Activity data'!AZ89*(1/Constants!$H$98))*ttokg*FSOMEF*NtoN2O*kgtoGg,"NO")</f>
        <v>NO</v>
      </c>
      <c r="BA129" s="23" t="str">
        <f>IFERROR(('Activity data'!BA89*(1/Constants!$H$98))*ttokg*FSOMEF*NtoN2O*kgtoGg,"NO")</f>
        <v>NO</v>
      </c>
      <c r="BB129" s="23" t="str">
        <f>IFERROR(('Activity data'!BB89*(1/Constants!$H$98))*ttokg*FSOMEF*NtoN2O*kgtoGg,"NO")</f>
        <v>NO</v>
      </c>
      <c r="BC129" s="23" t="str">
        <f>IFERROR(('Activity data'!BC89*(1/Constants!$H$98))*ttokg*FSOMEF*NtoN2O*kgtoGg,"NO")</f>
        <v>NO</v>
      </c>
      <c r="BD129" s="23" t="str">
        <f>IFERROR(('Activity data'!BD89*(1/Constants!$H$98))*ttokg*FSOMEF*NtoN2O*kgtoGg,"NO")</f>
        <v>NO</v>
      </c>
      <c r="BE129" s="23" t="str">
        <f>IFERROR(('Activity data'!BE89*(1/Constants!$H$98))*ttokg*FSOMEF*NtoN2O*kgtoGg,"NO")</f>
        <v>NO</v>
      </c>
      <c r="BF129" s="23" t="str">
        <f>IFERROR(('Activity data'!BF89*(1/Constants!$H$98))*ttokg*FSOMEF*NtoN2O*kgtoGg,"NO")</f>
        <v>NO</v>
      </c>
      <c r="BG129" s="23" t="str">
        <f>IFERROR(('Activity data'!BG89*(1/Constants!$H$98))*ttokg*FSOMEF*NtoN2O*kgtoGg,"NO")</f>
        <v>NO</v>
      </c>
      <c r="BH129" s="23" t="str">
        <f>IFERROR(('Activity data'!BH89*(1/Constants!$H$98))*ttokg*FSOMEF*NtoN2O*kgtoGg,"NO")</f>
        <v>NO</v>
      </c>
      <c r="BI129" s="23" t="str">
        <f>IFERROR(('Activity data'!BI89*(1/Constants!$H$98))*ttokg*FSOMEF*NtoN2O*kgtoGg,"NO")</f>
        <v>NO</v>
      </c>
      <c r="BJ129" s="23" t="str">
        <f>IFERROR(('Activity data'!BJ89*(1/Constants!$H$98))*ttokg*FSOMEF*NtoN2O*kgtoGg,"NO")</f>
        <v>NO</v>
      </c>
      <c r="BK129" s="23" t="str">
        <f>IFERROR(('Activity data'!BK89*(1/Constants!$H$98))*ttokg*FSOMEF*NtoN2O*kgtoGg,"NO")</f>
        <v>NO</v>
      </c>
      <c r="BL129" s="23" t="str">
        <f>IFERROR(('Activity data'!BL89*(1/Constants!$H$98))*ttokg*FSOMEF*NtoN2O*kgtoGg,"NO")</f>
        <v>NO</v>
      </c>
      <c r="BM129" s="23" t="str">
        <f>IFERROR(('Activity data'!BM89*(1/Constants!$H$98))*ttokg*FSOMEF*NtoN2O*kgtoGg,"NO")</f>
        <v>NO</v>
      </c>
      <c r="BN129" s="23" t="str">
        <f>IFERROR(('Activity data'!BN89*(1/Constants!$H$98))*ttokg*FSOMEF*NtoN2O*kgtoGg,"NO")</f>
        <v>NO</v>
      </c>
      <c r="BO129" s="23" t="str">
        <f>IFERROR(('Activity data'!BO89*(1/Constants!$H$98))*ttokg*FSOMEF*NtoN2O*kgtoGg,"NO")</f>
        <v>NO</v>
      </c>
      <c r="BP129" s="23" t="str">
        <f>IFERROR(('Activity data'!BP89*(1/Constants!$H$98))*ttokg*FSOMEF*NtoN2O*kgtoGg,"NO")</f>
        <v>NO</v>
      </c>
    </row>
    <row r="130" spans="1:68" x14ac:dyDescent="0.25">
      <c r="A130" t="str">
        <f t="shared" si="39"/>
        <v>3C Aggregated and non-CO2 emissions on land</v>
      </c>
      <c r="B130" t="str">
        <f t="shared" si="31"/>
        <v>3C4 Direct N2O from managed soils (N2O)</v>
      </c>
      <c r="C130" t="s">
        <v>64</v>
      </c>
      <c r="D130" t="str">
        <f>" - "&amp;'Activity data'!D90</f>
        <v xml:space="preserve"> - Land converted to cropland</v>
      </c>
      <c r="E130" t="str">
        <f t="shared" ref="E130:E134" si="41">C130&amp;D130</f>
        <v>FSOM - Land converted to cropland</v>
      </c>
      <c r="G130" t="str">
        <f t="shared" si="37"/>
        <v>Gg N2O</v>
      </c>
      <c r="H130" s="23" t="str">
        <f>IFERROR(('Activity data'!H94*(1/Constants!$H$99))*ttokg*FSOMEF*NtoN2O*kgtoGg,"NO")</f>
        <v>NO</v>
      </c>
      <c r="I130" s="23" t="str">
        <f>IFERROR(('Activity data'!#REF!*(1/Constants!$H$96))*ttokg*FSOMEF*NtoN2O*kgtoGg,"NO")</f>
        <v>NO</v>
      </c>
      <c r="J130" s="23" t="str">
        <f>IFERROR(('Activity data'!#REF!*(1/Constants!$H$96))*ttokg*FSOMEF*NtoN2O*kgtoGg,"NO")</f>
        <v>NO</v>
      </c>
      <c r="K130" s="23" t="str">
        <f>IFERROR(('Activity data'!#REF!*(1/Constants!$H$96))*ttokg*FSOMEF*NtoN2O*kgtoGg,"NO")</f>
        <v>NO</v>
      </c>
      <c r="L130" s="23" t="str">
        <f>IFERROR(('Activity data'!#REF!*(1/Constants!$H$96))*ttokg*FSOMEF*NtoN2O*kgtoGg,"NO")</f>
        <v>NO</v>
      </c>
      <c r="M130" s="23" t="str">
        <f>IFERROR(('Activity data'!#REF!*(1/Constants!$H$96))*ttokg*FSOMEF*NtoN2O*kgtoGg,"NO")</f>
        <v>NO</v>
      </c>
      <c r="N130" s="23" t="str">
        <f>IFERROR(('Activity data'!#REF!*(1/Constants!$H$96))*ttokg*FSOMEF*NtoN2O*kgtoGg,"NO")</f>
        <v>NO</v>
      </c>
      <c r="O130" s="23" t="str">
        <f>IFERROR(('Activity data'!#REF!*(1/Constants!$H$96))*ttokg*FSOMEF*NtoN2O*kgtoGg,"NO")</f>
        <v>NO</v>
      </c>
      <c r="P130" s="23" t="str">
        <f>IFERROR(('Activity data'!#REF!*(1/Constants!$H$96))*ttokg*FSOMEF*NtoN2O*kgtoGg,"NO")</f>
        <v>NO</v>
      </c>
      <c r="Q130" s="23" t="str">
        <f>IFERROR(('Activity data'!#REF!*(1/Constants!$H$96))*ttokg*FSOMEF*NtoN2O*kgtoGg,"NO")</f>
        <v>NO</v>
      </c>
      <c r="R130" s="23" t="str">
        <f>IFERROR(('Activity data'!#REF!*(1/Constants!$H$96))*ttokg*FSOMEF*NtoN2O*kgtoGg,"NO")</f>
        <v>NO</v>
      </c>
      <c r="S130" s="23" t="str">
        <f>IFERROR(('Activity data'!#REF!*(1/Constants!$H$96))*ttokg*FSOMEF*NtoN2O*kgtoGg,"NO")</f>
        <v>NO</v>
      </c>
      <c r="T130" s="23" t="str">
        <f>IFERROR(('Activity data'!#REF!*(1/Constants!$H$96))*ttokg*FSOMEF*NtoN2O*kgtoGg,"NO")</f>
        <v>NO</v>
      </c>
      <c r="U130" s="23" t="str">
        <f>IFERROR(('Activity data'!#REF!*(1/Constants!$H$96))*ttokg*FSOMEF*NtoN2O*kgtoGg,"NO")</f>
        <v>NO</v>
      </c>
      <c r="V130" s="23" t="str">
        <f>IFERROR(('Activity data'!#REF!*(1/Constants!$H$96))*ttokg*FSOMEF*NtoN2O*kgtoGg,"NO")</f>
        <v>NO</v>
      </c>
      <c r="W130" s="23" t="str">
        <f>IFERROR(('Activity data'!#REF!*(1/Constants!$H$96))*ttokg*FSOMEF*NtoN2O*kgtoGg,"NO")</f>
        <v>NO</v>
      </c>
      <c r="X130" s="23" t="str">
        <f>IFERROR(('Activity data'!#REF!*(1/Constants!$H$96))*ttokg*FSOMEF*NtoN2O*kgtoGg,"NO")</f>
        <v>NO</v>
      </c>
      <c r="Y130" s="23" t="str">
        <f>IFERROR(('Activity data'!#REF!*(1/Constants!$H$96))*ttokg*FSOMEF*NtoN2O*kgtoGg,"NO")</f>
        <v>NO</v>
      </c>
      <c r="Z130" s="23" t="str">
        <f>IFERROR(('Activity data'!#REF!*(1/Constants!$H$96))*ttokg*FSOMEF*NtoN2O*kgtoGg,"NO")</f>
        <v>NO</v>
      </c>
      <c r="AA130" s="23" t="str">
        <f>IFERROR(('Activity data'!#REF!*(1/Constants!$H$96))*ttokg*FSOMEF*NtoN2O*kgtoGg,"NO")</f>
        <v>NO</v>
      </c>
      <c r="AB130" s="23" t="str">
        <f>IFERROR(('Activity data'!#REF!*(1/Constants!$H$96))*ttokg*FSOMEF*NtoN2O*kgtoGg,"NO")</f>
        <v>NO</v>
      </c>
      <c r="AC130" s="23" t="str">
        <f>IFERROR(('Activity data'!#REF!*(1/Constants!$H$96))*ttokg*FSOMEF*NtoN2O*kgtoGg,"NO")</f>
        <v>NO</v>
      </c>
      <c r="AD130" s="23" t="str">
        <f>IFERROR(('Activity data'!#REF!*(1/Constants!$H$96))*ttokg*FSOMEF*NtoN2O*kgtoGg,"NO")</f>
        <v>NO</v>
      </c>
      <c r="AE130" s="23" t="str">
        <f>IFERROR(('Activity data'!#REF!*(1/Constants!$H$96))*ttokg*FSOMEF*NtoN2O*kgtoGg,"NO")</f>
        <v>NO</v>
      </c>
      <c r="AF130" s="23" t="str">
        <f>IFERROR(('Activity data'!#REF!*(1/Constants!$H$96))*ttokg*FSOMEF*NtoN2O*kgtoGg,"NO")</f>
        <v>NO</v>
      </c>
      <c r="AG130" s="23" t="str">
        <f>IFERROR(('Activity data'!#REF!*(1/Constants!$H$96))*ttokg*FSOMEF*NtoN2O*kgtoGg,"NO")</f>
        <v>NO</v>
      </c>
      <c r="AH130" s="23" t="str">
        <f>IFERROR(('Activity data'!#REF!*(1/Constants!$H$96))*ttokg*FSOMEF*NtoN2O*kgtoGg,"NO")</f>
        <v>NO</v>
      </c>
      <c r="AI130" s="23" t="str">
        <f>IFERROR(('Activity data'!#REF!*(1/Constants!$H$96))*ttokg*FSOMEF*NtoN2O*kgtoGg,"NO")</f>
        <v>NO</v>
      </c>
      <c r="AJ130" s="23" t="str">
        <f>IFERROR(('Activity data'!#REF!*(1/Constants!$H$96))*ttokg*FSOMEF*NtoN2O*kgtoGg,"NO")</f>
        <v>NO</v>
      </c>
      <c r="AK130" s="23" t="str">
        <f>IFERROR(('Activity data'!#REF!*(1/Constants!$H$96))*ttokg*FSOMEF*NtoN2O*kgtoGg,"NO")</f>
        <v>NO</v>
      </c>
      <c r="AL130" s="23" t="str">
        <f>IFERROR(('Activity data'!#REF!*(1/Constants!$H$96))*ttokg*FSOMEF*NtoN2O*kgtoGg,"NO")</f>
        <v>NO</v>
      </c>
      <c r="AM130" s="23" t="str">
        <f>IFERROR(('Activity data'!#REF!*(1/Constants!$H$96))*ttokg*FSOMEF*NtoN2O*kgtoGg,"NO")</f>
        <v>NO</v>
      </c>
      <c r="AN130" s="23" t="str">
        <f>IFERROR(('Activity data'!#REF!*(1/Constants!$H$96))*ttokg*FSOMEF*NtoN2O*kgtoGg,"NO")</f>
        <v>NO</v>
      </c>
      <c r="AO130" s="23" t="str">
        <f>IFERROR(('Activity data'!#REF!*(1/Constants!$H$96))*ttokg*FSOMEF*NtoN2O*kgtoGg,"NO")</f>
        <v>NO</v>
      </c>
      <c r="AP130" s="23" t="str">
        <f>IFERROR(('Activity data'!#REF!*(1/Constants!$H$96))*ttokg*FSOMEF*NtoN2O*kgtoGg,"NO")</f>
        <v>NO</v>
      </c>
      <c r="AQ130" s="23" t="str">
        <f>IFERROR(('Activity data'!#REF!*(1/Constants!$H$96))*ttokg*FSOMEF*NtoN2O*kgtoGg,"NO")</f>
        <v>NO</v>
      </c>
      <c r="AR130" s="23" t="str">
        <f>IFERROR(('Activity data'!#REF!*(1/Constants!$H$96))*ttokg*FSOMEF*NtoN2O*kgtoGg,"NO")</f>
        <v>NO</v>
      </c>
      <c r="AS130" s="23" t="str">
        <f>IFERROR(('Activity data'!#REF!*(1/Constants!$H$96))*ttokg*FSOMEF*NtoN2O*kgtoGg,"NO")</f>
        <v>NO</v>
      </c>
      <c r="AT130" s="23" t="str">
        <f>IFERROR(('Activity data'!#REF!*(1/Constants!$H$96))*ttokg*FSOMEF*NtoN2O*kgtoGg,"NO")</f>
        <v>NO</v>
      </c>
      <c r="AU130" s="23" t="str">
        <f>IFERROR(('Activity data'!#REF!*(1/Constants!$H$96))*ttokg*FSOMEF*NtoN2O*kgtoGg,"NO")</f>
        <v>NO</v>
      </c>
      <c r="AV130" s="23" t="str">
        <f>IFERROR(('Activity data'!#REF!*(1/Constants!$H$96))*ttokg*FSOMEF*NtoN2O*kgtoGg,"NO")</f>
        <v>NO</v>
      </c>
      <c r="AW130" s="23" t="str">
        <f>IFERROR(('Activity data'!#REF!*(1/Constants!$H$96))*ttokg*FSOMEF*NtoN2O*kgtoGg,"NO")</f>
        <v>NO</v>
      </c>
      <c r="AX130" s="23" t="str">
        <f>IFERROR(('Activity data'!#REF!*(1/Constants!$H$96))*ttokg*FSOMEF*NtoN2O*kgtoGg,"NO")</f>
        <v>NO</v>
      </c>
      <c r="AY130" s="23" t="str">
        <f>IFERROR(('Activity data'!#REF!*(1/Constants!$H$96))*ttokg*FSOMEF*NtoN2O*kgtoGg,"NO")</f>
        <v>NO</v>
      </c>
      <c r="AZ130" s="23" t="str">
        <f>IFERROR(('Activity data'!#REF!*(1/Constants!$H$96))*ttokg*FSOMEF*NtoN2O*kgtoGg,"NO")</f>
        <v>NO</v>
      </c>
      <c r="BA130" s="23" t="str">
        <f>IFERROR(('Activity data'!#REF!*(1/Constants!$H$96))*ttokg*FSOMEF*NtoN2O*kgtoGg,"NO")</f>
        <v>NO</v>
      </c>
      <c r="BB130" s="23" t="str">
        <f>IFERROR(('Activity data'!#REF!*(1/Constants!$H$96))*ttokg*FSOMEF*NtoN2O*kgtoGg,"NO")</f>
        <v>NO</v>
      </c>
      <c r="BC130" s="23" t="str">
        <f>IFERROR(('Activity data'!#REF!*(1/Constants!$H$96))*ttokg*FSOMEF*NtoN2O*kgtoGg,"NO")</f>
        <v>NO</v>
      </c>
      <c r="BD130" s="23" t="str">
        <f>IFERROR(('Activity data'!#REF!*(1/Constants!$H$96))*ttokg*FSOMEF*NtoN2O*kgtoGg,"NO")</f>
        <v>NO</v>
      </c>
      <c r="BE130" s="23" t="str">
        <f>IFERROR(('Activity data'!#REF!*(1/Constants!$H$96))*ttokg*FSOMEF*NtoN2O*kgtoGg,"NO")</f>
        <v>NO</v>
      </c>
      <c r="BF130" s="23" t="str">
        <f>IFERROR(('Activity data'!#REF!*(1/Constants!$H$96))*ttokg*FSOMEF*NtoN2O*kgtoGg,"NO")</f>
        <v>NO</v>
      </c>
      <c r="BG130" s="23" t="str">
        <f>IFERROR(('Activity data'!#REF!*(1/Constants!$H$96))*ttokg*FSOMEF*NtoN2O*kgtoGg,"NO")</f>
        <v>NO</v>
      </c>
      <c r="BH130" s="23" t="str">
        <f>IFERROR(('Activity data'!#REF!*(1/Constants!$H$96))*ttokg*FSOMEF*NtoN2O*kgtoGg,"NO")</f>
        <v>NO</v>
      </c>
      <c r="BI130" s="23" t="str">
        <f>IFERROR(('Activity data'!#REF!*(1/Constants!$H$96))*ttokg*FSOMEF*NtoN2O*kgtoGg,"NO")</f>
        <v>NO</v>
      </c>
      <c r="BJ130" s="23" t="str">
        <f>IFERROR(('Activity data'!#REF!*(1/Constants!$H$96))*ttokg*FSOMEF*NtoN2O*kgtoGg,"NO")</f>
        <v>NO</v>
      </c>
      <c r="BK130" s="23" t="str">
        <f>IFERROR(('Activity data'!#REF!*(1/Constants!$H$96))*ttokg*FSOMEF*NtoN2O*kgtoGg,"NO")</f>
        <v>NO</v>
      </c>
      <c r="BL130" s="23" t="str">
        <f>IFERROR(('Activity data'!#REF!*(1/Constants!$H$96))*ttokg*FSOMEF*NtoN2O*kgtoGg,"NO")</f>
        <v>NO</v>
      </c>
      <c r="BM130" s="23" t="str">
        <f>IFERROR(('Activity data'!#REF!*(1/Constants!$H$96))*ttokg*FSOMEF*NtoN2O*kgtoGg,"NO")</f>
        <v>NO</v>
      </c>
      <c r="BN130" s="23" t="str">
        <f>IFERROR(('Activity data'!#REF!*(1/Constants!$H$96))*ttokg*FSOMEF*NtoN2O*kgtoGg,"NO")</f>
        <v>NO</v>
      </c>
      <c r="BO130" s="23" t="str">
        <f>IFERROR(('Activity data'!#REF!*(1/Constants!$H$96))*ttokg*FSOMEF*NtoN2O*kgtoGg,"NO")</f>
        <v>NO</v>
      </c>
      <c r="BP130" s="23" t="str">
        <f>IFERROR(('Activity data'!#REF!*(1/Constants!$H$96))*ttokg*FSOMEF*NtoN2O*kgtoGg,"NO")</f>
        <v>NO</v>
      </c>
    </row>
    <row r="131" spans="1:68" x14ac:dyDescent="0.25">
      <c r="A131" t="str">
        <f t="shared" si="39"/>
        <v>3C Aggregated and non-CO2 emissions on land</v>
      </c>
      <c r="B131" t="str">
        <f t="shared" si="31"/>
        <v>3C4 Direct N2O from managed soils (N2O)</v>
      </c>
      <c r="C131" t="s">
        <v>64</v>
      </c>
      <c r="D131" t="str">
        <f>" - "&amp;'Activity data'!D91</f>
        <v xml:space="preserve"> - Grassland remaining grassland</v>
      </c>
      <c r="E131" t="str">
        <f t="shared" si="41"/>
        <v>FSOM - Grassland remaining grassland</v>
      </c>
      <c r="G131" t="str">
        <f t="shared" si="37"/>
        <v>Gg N2O</v>
      </c>
      <c r="H131" s="23" t="str">
        <f>IFERROR(('Activity data'!H95*(1/Constants!$H$99))*ttokg*FSOMEF*NtoN2O*kgtoGg,"NO")</f>
        <v>NO</v>
      </c>
      <c r="I131" s="23" t="str">
        <f>IFERROR(('Activity data'!#REF!*(1/Constants!$H$97))*ttokg*FSOMEF*NtoN2O*kgtoGg,"NO")</f>
        <v>NO</v>
      </c>
      <c r="J131" s="23" t="str">
        <f>IFERROR(('Activity data'!#REF!*(1/Constants!$H$97))*ttokg*FSOMEF*NtoN2O*kgtoGg,"NO")</f>
        <v>NO</v>
      </c>
      <c r="K131" s="23" t="str">
        <f>IFERROR(('Activity data'!#REF!*(1/Constants!$H$97))*ttokg*FSOMEF*NtoN2O*kgtoGg,"NO")</f>
        <v>NO</v>
      </c>
      <c r="L131" s="23" t="str">
        <f>IFERROR(('Activity data'!#REF!*(1/Constants!$H$97))*ttokg*FSOMEF*NtoN2O*kgtoGg,"NO")</f>
        <v>NO</v>
      </c>
      <c r="M131" s="23" t="str">
        <f>IFERROR(('Activity data'!#REF!*(1/Constants!$H$97))*ttokg*FSOMEF*NtoN2O*kgtoGg,"NO")</f>
        <v>NO</v>
      </c>
      <c r="N131" s="23" t="str">
        <f>IFERROR(('Activity data'!#REF!*(1/Constants!$H$97))*ttokg*FSOMEF*NtoN2O*kgtoGg,"NO")</f>
        <v>NO</v>
      </c>
      <c r="O131" s="23" t="str">
        <f>IFERROR(('Activity data'!#REF!*(1/Constants!$H$97))*ttokg*FSOMEF*NtoN2O*kgtoGg,"NO")</f>
        <v>NO</v>
      </c>
      <c r="P131" s="23" t="str">
        <f>IFERROR(('Activity data'!#REF!*(1/Constants!$H$97))*ttokg*FSOMEF*NtoN2O*kgtoGg,"NO")</f>
        <v>NO</v>
      </c>
      <c r="Q131" s="23" t="str">
        <f>IFERROR(('Activity data'!#REF!*(1/Constants!$H$97))*ttokg*FSOMEF*NtoN2O*kgtoGg,"NO")</f>
        <v>NO</v>
      </c>
      <c r="R131" s="23" t="str">
        <f>IFERROR(('Activity data'!#REF!*(1/Constants!$H$97))*ttokg*FSOMEF*NtoN2O*kgtoGg,"NO")</f>
        <v>NO</v>
      </c>
      <c r="S131" s="23" t="str">
        <f>IFERROR(('Activity data'!#REF!*(1/Constants!$H$97))*ttokg*FSOMEF*NtoN2O*kgtoGg,"NO")</f>
        <v>NO</v>
      </c>
      <c r="T131" s="23" t="str">
        <f>IFERROR(('Activity data'!#REF!*(1/Constants!$H$97))*ttokg*FSOMEF*NtoN2O*kgtoGg,"NO")</f>
        <v>NO</v>
      </c>
      <c r="U131" s="23" t="str">
        <f>IFERROR(('Activity data'!#REF!*(1/Constants!$H$97))*ttokg*FSOMEF*NtoN2O*kgtoGg,"NO")</f>
        <v>NO</v>
      </c>
      <c r="V131" s="23" t="str">
        <f>IFERROR(('Activity data'!#REF!*(1/Constants!$H$97))*ttokg*FSOMEF*NtoN2O*kgtoGg,"NO")</f>
        <v>NO</v>
      </c>
      <c r="W131" s="23" t="str">
        <f>IFERROR(('Activity data'!#REF!*(1/Constants!$H$97))*ttokg*FSOMEF*NtoN2O*kgtoGg,"NO")</f>
        <v>NO</v>
      </c>
      <c r="X131" s="23" t="str">
        <f>IFERROR(('Activity data'!#REF!*(1/Constants!$H$97))*ttokg*FSOMEF*NtoN2O*kgtoGg,"NO")</f>
        <v>NO</v>
      </c>
      <c r="Y131" s="23" t="str">
        <f>IFERROR(('Activity data'!#REF!*(1/Constants!$H$97))*ttokg*FSOMEF*NtoN2O*kgtoGg,"NO")</f>
        <v>NO</v>
      </c>
      <c r="Z131" s="23" t="str">
        <f>IFERROR(('Activity data'!#REF!*(1/Constants!$H$97))*ttokg*FSOMEF*NtoN2O*kgtoGg,"NO")</f>
        <v>NO</v>
      </c>
      <c r="AA131" s="23" t="str">
        <f>IFERROR(('Activity data'!#REF!*(1/Constants!$H$97))*ttokg*FSOMEF*NtoN2O*kgtoGg,"NO")</f>
        <v>NO</v>
      </c>
      <c r="AB131" s="23" t="str">
        <f>IFERROR(('Activity data'!#REF!*(1/Constants!$H$97))*ttokg*FSOMEF*NtoN2O*kgtoGg,"NO")</f>
        <v>NO</v>
      </c>
      <c r="AC131" s="23" t="str">
        <f>IFERROR(('Activity data'!#REF!*(1/Constants!$H$97))*ttokg*FSOMEF*NtoN2O*kgtoGg,"NO")</f>
        <v>NO</v>
      </c>
      <c r="AD131" s="23" t="str">
        <f>IFERROR(('Activity data'!#REF!*(1/Constants!$H$97))*ttokg*FSOMEF*NtoN2O*kgtoGg,"NO")</f>
        <v>NO</v>
      </c>
      <c r="AE131" s="23" t="str">
        <f>IFERROR(('Activity data'!#REF!*(1/Constants!$H$97))*ttokg*FSOMEF*NtoN2O*kgtoGg,"NO")</f>
        <v>NO</v>
      </c>
      <c r="AF131" s="23" t="str">
        <f>IFERROR(('Activity data'!#REF!*(1/Constants!$H$97))*ttokg*FSOMEF*NtoN2O*kgtoGg,"NO")</f>
        <v>NO</v>
      </c>
      <c r="AG131" s="23" t="str">
        <f>IFERROR(('Activity data'!#REF!*(1/Constants!$H$97))*ttokg*FSOMEF*NtoN2O*kgtoGg,"NO")</f>
        <v>NO</v>
      </c>
      <c r="AH131" s="23" t="str">
        <f>IFERROR(('Activity data'!#REF!*(1/Constants!$H$97))*ttokg*FSOMEF*NtoN2O*kgtoGg,"NO")</f>
        <v>NO</v>
      </c>
      <c r="AI131" s="23" t="str">
        <f>IFERROR(('Activity data'!#REF!*(1/Constants!$H$97))*ttokg*FSOMEF*NtoN2O*kgtoGg,"NO")</f>
        <v>NO</v>
      </c>
      <c r="AJ131" s="23" t="str">
        <f>IFERROR(('Activity data'!#REF!*(1/Constants!$H$97))*ttokg*FSOMEF*NtoN2O*kgtoGg,"NO")</f>
        <v>NO</v>
      </c>
      <c r="AK131" s="23" t="str">
        <f>IFERROR(('Activity data'!#REF!*(1/Constants!$H$97))*ttokg*FSOMEF*NtoN2O*kgtoGg,"NO")</f>
        <v>NO</v>
      </c>
      <c r="AL131" s="23" t="str">
        <f>IFERROR(('Activity data'!#REF!*(1/Constants!$H$97))*ttokg*FSOMEF*NtoN2O*kgtoGg,"NO")</f>
        <v>NO</v>
      </c>
      <c r="AM131" s="23" t="str">
        <f>IFERROR(('Activity data'!#REF!*(1/Constants!$H$97))*ttokg*FSOMEF*NtoN2O*kgtoGg,"NO")</f>
        <v>NO</v>
      </c>
      <c r="AN131" s="23" t="str">
        <f>IFERROR(('Activity data'!#REF!*(1/Constants!$H$97))*ttokg*FSOMEF*NtoN2O*kgtoGg,"NO")</f>
        <v>NO</v>
      </c>
      <c r="AO131" s="23" t="str">
        <f>IFERROR(('Activity data'!#REF!*(1/Constants!$H$97))*ttokg*FSOMEF*NtoN2O*kgtoGg,"NO")</f>
        <v>NO</v>
      </c>
      <c r="AP131" s="23" t="str">
        <f>IFERROR(('Activity data'!#REF!*(1/Constants!$H$97))*ttokg*FSOMEF*NtoN2O*kgtoGg,"NO")</f>
        <v>NO</v>
      </c>
      <c r="AQ131" s="23" t="str">
        <f>IFERROR(('Activity data'!#REF!*(1/Constants!$H$97))*ttokg*FSOMEF*NtoN2O*kgtoGg,"NO")</f>
        <v>NO</v>
      </c>
      <c r="AR131" s="23" t="str">
        <f>IFERROR(('Activity data'!#REF!*(1/Constants!$H$97))*ttokg*FSOMEF*NtoN2O*kgtoGg,"NO")</f>
        <v>NO</v>
      </c>
      <c r="AS131" s="23" t="str">
        <f>IFERROR(('Activity data'!#REF!*(1/Constants!$H$97))*ttokg*FSOMEF*NtoN2O*kgtoGg,"NO")</f>
        <v>NO</v>
      </c>
      <c r="AT131" s="23" t="str">
        <f>IFERROR(('Activity data'!#REF!*(1/Constants!$H$97))*ttokg*FSOMEF*NtoN2O*kgtoGg,"NO")</f>
        <v>NO</v>
      </c>
      <c r="AU131" s="23" t="str">
        <f>IFERROR(('Activity data'!#REF!*(1/Constants!$H$97))*ttokg*FSOMEF*NtoN2O*kgtoGg,"NO")</f>
        <v>NO</v>
      </c>
      <c r="AV131" s="23" t="str">
        <f>IFERROR(('Activity data'!#REF!*(1/Constants!$H$97))*ttokg*FSOMEF*NtoN2O*kgtoGg,"NO")</f>
        <v>NO</v>
      </c>
      <c r="AW131" s="23" t="str">
        <f>IFERROR(('Activity data'!#REF!*(1/Constants!$H$97))*ttokg*FSOMEF*NtoN2O*kgtoGg,"NO")</f>
        <v>NO</v>
      </c>
      <c r="AX131" s="23" t="str">
        <f>IFERROR(('Activity data'!#REF!*(1/Constants!$H$97))*ttokg*FSOMEF*NtoN2O*kgtoGg,"NO")</f>
        <v>NO</v>
      </c>
      <c r="AY131" s="23" t="str">
        <f>IFERROR(('Activity data'!#REF!*(1/Constants!$H$97))*ttokg*FSOMEF*NtoN2O*kgtoGg,"NO")</f>
        <v>NO</v>
      </c>
      <c r="AZ131" s="23" t="str">
        <f>IFERROR(('Activity data'!#REF!*(1/Constants!$H$97))*ttokg*FSOMEF*NtoN2O*kgtoGg,"NO")</f>
        <v>NO</v>
      </c>
      <c r="BA131" s="23" t="str">
        <f>IFERROR(('Activity data'!#REF!*(1/Constants!$H$97))*ttokg*FSOMEF*NtoN2O*kgtoGg,"NO")</f>
        <v>NO</v>
      </c>
      <c r="BB131" s="23" t="str">
        <f>IFERROR(('Activity data'!#REF!*(1/Constants!$H$97))*ttokg*FSOMEF*NtoN2O*kgtoGg,"NO")</f>
        <v>NO</v>
      </c>
      <c r="BC131" s="23" t="str">
        <f>IFERROR(('Activity data'!#REF!*(1/Constants!$H$97))*ttokg*FSOMEF*NtoN2O*kgtoGg,"NO")</f>
        <v>NO</v>
      </c>
      <c r="BD131" s="23" t="str">
        <f>IFERROR(('Activity data'!#REF!*(1/Constants!$H$97))*ttokg*FSOMEF*NtoN2O*kgtoGg,"NO")</f>
        <v>NO</v>
      </c>
      <c r="BE131" s="23" t="str">
        <f>IFERROR(('Activity data'!#REF!*(1/Constants!$H$97))*ttokg*FSOMEF*NtoN2O*kgtoGg,"NO")</f>
        <v>NO</v>
      </c>
      <c r="BF131" s="23" t="str">
        <f>IFERROR(('Activity data'!#REF!*(1/Constants!$H$97))*ttokg*FSOMEF*NtoN2O*kgtoGg,"NO")</f>
        <v>NO</v>
      </c>
      <c r="BG131" s="23" t="str">
        <f>IFERROR(('Activity data'!#REF!*(1/Constants!$H$97))*ttokg*FSOMEF*NtoN2O*kgtoGg,"NO")</f>
        <v>NO</v>
      </c>
      <c r="BH131" s="23" t="str">
        <f>IFERROR(('Activity data'!#REF!*(1/Constants!$H$97))*ttokg*FSOMEF*NtoN2O*kgtoGg,"NO")</f>
        <v>NO</v>
      </c>
      <c r="BI131" s="23" t="str">
        <f>IFERROR(('Activity data'!#REF!*(1/Constants!$H$97))*ttokg*FSOMEF*NtoN2O*kgtoGg,"NO")</f>
        <v>NO</v>
      </c>
      <c r="BJ131" s="23" t="str">
        <f>IFERROR(('Activity data'!#REF!*(1/Constants!$H$97))*ttokg*FSOMEF*NtoN2O*kgtoGg,"NO")</f>
        <v>NO</v>
      </c>
      <c r="BK131" s="23" t="str">
        <f>IFERROR(('Activity data'!#REF!*(1/Constants!$H$97))*ttokg*FSOMEF*NtoN2O*kgtoGg,"NO")</f>
        <v>NO</v>
      </c>
      <c r="BL131" s="23" t="str">
        <f>IFERROR(('Activity data'!#REF!*(1/Constants!$H$97))*ttokg*FSOMEF*NtoN2O*kgtoGg,"NO")</f>
        <v>NO</v>
      </c>
      <c r="BM131" s="23" t="str">
        <f>IFERROR(('Activity data'!#REF!*(1/Constants!$H$97))*ttokg*FSOMEF*NtoN2O*kgtoGg,"NO")</f>
        <v>NO</v>
      </c>
      <c r="BN131" s="23" t="str">
        <f>IFERROR(('Activity data'!#REF!*(1/Constants!$H$97))*ttokg*FSOMEF*NtoN2O*kgtoGg,"NO")</f>
        <v>NO</v>
      </c>
      <c r="BO131" s="23" t="str">
        <f>IFERROR(('Activity data'!#REF!*(1/Constants!$H$97))*ttokg*FSOMEF*NtoN2O*kgtoGg,"NO")</f>
        <v>NO</v>
      </c>
      <c r="BP131" s="23" t="str">
        <f>IFERROR(('Activity data'!#REF!*(1/Constants!$H$97))*ttokg*FSOMEF*NtoN2O*kgtoGg,"NO")</f>
        <v>NO</v>
      </c>
    </row>
    <row r="132" spans="1:68" x14ac:dyDescent="0.25">
      <c r="A132" t="str">
        <f t="shared" si="39"/>
        <v>3C Aggregated and non-CO2 emissions on land</v>
      </c>
      <c r="B132" t="str">
        <f t="shared" si="31"/>
        <v>3C4 Direct N2O from managed soils (N2O)</v>
      </c>
      <c r="C132" t="s">
        <v>64</v>
      </c>
      <c r="D132" t="str">
        <f>" - "&amp;'Activity data'!D92</f>
        <v xml:space="preserve"> - Land converted to grassland</v>
      </c>
      <c r="E132" t="str">
        <f t="shared" si="41"/>
        <v>FSOM - Land converted to grassland</v>
      </c>
      <c r="G132" t="str">
        <f t="shared" si="37"/>
        <v>Gg N2O</v>
      </c>
      <c r="H132" s="23">
        <f>IFERROR(('Activity data'!H96*(1/Constants!$H$99))*ttokg*FSOMEF*NtoN2O*kgtoGg,"NO")</f>
        <v>0</v>
      </c>
      <c r="I132" s="23" t="str">
        <f>IFERROR(('Activity data'!#REF!*(1/Constants!$H$99))*ttokg*FSOMEF*NtoN2O*kgtoGg,"NO")</f>
        <v>NO</v>
      </c>
      <c r="J132" s="23" t="str">
        <f>IFERROR(('Activity data'!#REF!*(1/Constants!$H$99))*ttokg*FSOMEF*NtoN2O*kgtoGg,"NO")</f>
        <v>NO</v>
      </c>
      <c r="K132" s="23" t="str">
        <f>IFERROR(('Activity data'!#REF!*(1/Constants!$H$99))*ttokg*FSOMEF*NtoN2O*kgtoGg,"NO")</f>
        <v>NO</v>
      </c>
      <c r="L132" s="23" t="str">
        <f>IFERROR(('Activity data'!#REF!*(1/Constants!$H$99))*ttokg*FSOMEF*NtoN2O*kgtoGg,"NO")</f>
        <v>NO</v>
      </c>
      <c r="M132" s="23" t="str">
        <f>IFERROR(('Activity data'!#REF!*(1/Constants!$H$99))*ttokg*FSOMEF*NtoN2O*kgtoGg,"NO")</f>
        <v>NO</v>
      </c>
      <c r="N132" s="23" t="str">
        <f>IFERROR(('Activity data'!#REF!*(1/Constants!$H$99))*ttokg*FSOMEF*NtoN2O*kgtoGg,"NO")</f>
        <v>NO</v>
      </c>
      <c r="O132" s="23" t="str">
        <f>IFERROR(('Activity data'!#REF!*(1/Constants!$H$99))*ttokg*FSOMEF*NtoN2O*kgtoGg,"NO")</f>
        <v>NO</v>
      </c>
      <c r="P132" s="23" t="str">
        <f>IFERROR(('Activity data'!#REF!*(1/Constants!$H$99))*ttokg*FSOMEF*NtoN2O*kgtoGg,"NO")</f>
        <v>NO</v>
      </c>
      <c r="Q132" s="23" t="str">
        <f>IFERROR(('Activity data'!#REF!*(1/Constants!$H$99))*ttokg*FSOMEF*NtoN2O*kgtoGg,"NO")</f>
        <v>NO</v>
      </c>
      <c r="R132" s="23" t="str">
        <f>IFERROR(('Activity data'!#REF!*(1/Constants!$H$99))*ttokg*FSOMEF*NtoN2O*kgtoGg,"NO")</f>
        <v>NO</v>
      </c>
      <c r="S132" s="23" t="str">
        <f>IFERROR(('Activity data'!#REF!*(1/Constants!$H$99))*ttokg*FSOMEF*NtoN2O*kgtoGg,"NO")</f>
        <v>NO</v>
      </c>
      <c r="T132" s="23" t="str">
        <f>IFERROR(('Activity data'!#REF!*(1/Constants!$H$99))*ttokg*FSOMEF*NtoN2O*kgtoGg,"NO")</f>
        <v>NO</v>
      </c>
      <c r="U132" s="23" t="str">
        <f>IFERROR(('Activity data'!#REF!*(1/Constants!$H$99))*ttokg*FSOMEF*NtoN2O*kgtoGg,"NO")</f>
        <v>NO</v>
      </c>
      <c r="V132" s="23" t="str">
        <f>IFERROR(('Activity data'!#REF!*(1/Constants!$H$99))*ttokg*FSOMEF*NtoN2O*kgtoGg,"NO")</f>
        <v>NO</v>
      </c>
      <c r="W132" s="23" t="str">
        <f>IFERROR(('Activity data'!#REF!*(1/Constants!$H$99))*ttokg*FSOMEF*NtoN2O*kgtoGg,"NO")</f>
        <v>NO</v>
      </c>
      <c r="X132" s="23" t="str">
        <f>IFERROR(('Activity data'!#REF!*(1/Constants!$H$99))*ttokg*FSOMEF*NtoN2O*kgtoGg,"NO")</f>
        <v>NO</v>
      </c>
      <c r="Y132" s="23" t="str">
        <f>IFERROR(('Activity data'!#REF!*(1/Constants!$H$99))*ttokg*FSOMEF*NtoN2O*kgtoGg,"NO")</f>
        <v>NO</v>
      </c>
      <c r="Z132" s="23" t="str">
        <f>IFERROR(('Activity data'!#REF!*(1/Constants!$H$99))*ttokg*FSOMEF*NtoN2O*kgtoGg,"NO")</f>
        <v>NO</v>
      </c>
      <c r="AA132" s="23" t="str">
        <f>IFERROR(('Activity data'!#REF!*(1/Constants!$H$99))*ttokg*FSOMEF*NtoN2O*kgtoGg,"NO")</f>
        <v>NO</v>
      </c>
      <c r="AB132" s="23" t="str">
        <f>IFERROR(('Activity data'!#REF!*(1/Constants!$H$99))*ttokg*FSOMEF*NtoN2O*kgtoGg,"NO")</f>
        <v>NO</v>
      </c>
      <c r="AC132" s="23" t="str">
        <f>IFERROR(('Activity data'!#REF!*(1/Constants!$H$99))*ttokg*FSOMEF*NtoN2O*kgtoGg,"NO")</f>
        <v>NO</v>
      </c>
      <c r="AD132" s="23" t="str">
        <f>IFERROR(('Activity data'!#REF!*(1/Constants!$H$99))*ttokg*FSOMEF*NtoN2O*kgtoGg,"NO")</f>
        <v>NO</v>
      </c>
      <c r="AE132" s="23" t="str">
        <f>IFERROR(('Activity data'!#REF!*(1/Constants!$H$99))*ttokg*FSOMEF*NtoN2O*kgtoGg,"NO")</f>
        <v>NO</v>
      </c>
      <c r="AF132" s="23" t="str">
        <f>IFERROR(('Activity data'!#REF!*(1/Constants!$H$99))*ttokg*FSOMEF*NtoN2O*kgtoGg,"NO")</f>
        <v>NO</v>
      </c>
      <c r="AG132" s="23" t="str">
        <f>IFERROR(('Activity data'!#REF!*(1/Constants!$H$99))*ttokg*FSOMEF*NtoN2O*kgtoGg,"NO")</f>
        <v>NO</v>
      </c>
      <c r="AH132" s="23" t="str">
        <f>IFERROR(('Activity data'!#REF!*(1/Constants!$H$99))*ttokg*FSOMEF*NtoN2O*kgtoGg,"NO")</f>
        <v>NO</v>
      </c>
      <c r="AI132" s="23" t="str">
        <f>IFERROR(('Activity data'!#REF!*(1/Constants!$H$99))*ttokg*FSOMEF*NtoN2O*kgtoGg,"NO")</f>
        <v>NO</v>
      </c>
      <c r="AJ132" s="23" t="str">
        <f>IFERROR(('Activity data'!#REF!*(1/Constants!$H$99))*ttokg*FSOMEF*NtoN2O*kgtoGg,"NO")</f>
        <v>NO</v>
      </c>
      <c r="AK132" s="23" t="str">
        <f>IFERROR(('Activity data'!#REF!*(1/Constants!$H$99))*ttokg*FSOMEF*NtoN2O*kgtoGg,"NO")</f>
        <v>NO</v>
      </c>
      <c r="AL132" s="23" t="str">
        <f>IFERROR(('Activity data'!#REF!*(1/Constants!$H$99))*ttokg*FSOMEF*NtoN2O*kgtoGg,"NO")</f>
        <v>NO</v>
      </c>
      <c r="AM132" s="23" t="str">
        <f>IFERROR(('Activity data'!#REF!*(1/Constants!$H$99))*ttokg*FSOMEF*NtoN2O*kgtoGg,"NO")</f>
        <v>NO</v>
      </c>
      <c r="AN132" s="23" t="str">
        <f>IFERROR(('Activity data'!#REF!*(1/Constants!$H$99))*ttokg*FSOMEF*NtoN2O*kgtoGg,"NO")</f>
        <v>NO</v>
      </c>
      <c r="AO132" s="23" t="str">
        <f>IFERROR(('Activity data'!#REF!*(1/Constants!$H$99))*ttokg*FSOMEF*NtoN2O*kgtoGg,"NO")</f>
        <v>NO</v>
      </c>
      <c r="AP132" s="23" t="str">
        <f>IFERROR(('Activity data'!#REF!*(1/Constants!$H$99))*ttokg*FSOMEF*NtoN2O*kgtoGg,"NO")</f>
        <v>NO</v>
      </c>
      <c r="AQ132" s="23" t="str">
        <f>IFERROR(('Activity data'!#REF!*(1/Constants!$H$99))*ttokg*FSOMEF*NtoN2O*kgtoGg,"NO")</f>
        <v>NO</v>
      </c>
      <c r="AR132" s="23" t="str">
        <f>IFERROR(('Activity data'!#REF!*(1/Constants!$H$99))*ttokg*FSOMEF*NtoN2O*kgtoGg,"NO")</f>
        <v>NO</v>
      </c>
      <c r="AS132" s="23" t="str">
        <f>IFERROR(('Activity data'!#REF!*(1/Constants!$H$99))*ttokg*FSOMEF*NtoN2O*kgtoGg,"NO")</f>
        <v>NO</v>
      </c>
      <c r="AT132" s="23" t="str">
        <f>IFERROR(('Activity data'!#REF!*(1/Constants!$H$99))*ttokg*FSOMEF*NtoN2O*kgtoGg,"NO")</f>
        <v>NO</v>
      </c>
      <c r="AU132" s="23" t="str">
        <f>IFERROR(('Activity data'!#REF!*(1/Constants!$H$99))*ttokg*FSOMEF*NtoN2O*kgtoGg,"NO")</f>
        <v>NO</v>
      </c>
      <c r="AV132" s="23" t="str">
        <f>IFERROR(('Activity data'!#REF!*(1/Constants!$H$99))*ttokg*FSOMEF*NtoN2O*kgtoGg,"NO")</f>
        <v>NO</v>
      </c>
      <c r="AW132" s="23" t="str">
        <f>IFERROR(('Activity data'!#REF!*(1/Constants!$H$99))*ttokg*FSOMEF*NtoN2O*kgtoGg,"NO")</f>
        <v>NO</v>
      </c>
      <c r="AX132" s="23" t="str">
        <f>IFERROR(('Activity data'!#REF!*(1/Constants!$H$99))*ttokg*FSOMEF*NtoN2O*kgtoGg,"NO")</f>
        <v>NO</v>
      </c>
      <c r="AY132" s="23" t="str">
        <f>IFERROR(('Activity data'!#REF!*(1/Constants!$H$99))*ttokg*FSOMEF*NtoN2O*kgtoGg,"NO")</f>
        <v>NO</v>
      </c>
      <c r="AZ132" s="23" t="str">
        <f>IFERROR(('Activity data'!#REF!*(1/Constants!$H$99))*ttokg*FSOMEF*NtoN2O*kgtoGg,"NO")</f>
        <v>NO</v>
      </c>
      <c r="BA132" s="23" t="str">
        <f>IFERROR(('Activity data'!#REF!*(1/Constants!$H$99))*ttokg*FSOMEF*NtoN2O*kgtoGg,"NO")</f>
        <v>NO</v>
      </c>
      <c r="BB132" s="23" t="str">
        <f>IFERROR(('Activity data'!#REF!*(1/Constants!$H$99))*ttokg*FSOMEF*NtoN2O*kgtoGg,"NO")</f>
        <v>NO</v>
      </c>
      <c r="BC132" s="23" t="str">
        <f>IFERROR(('Activity data'!#REF!*(1/Constants!$H$99))*ttokg*FSOMEF*NtoN2O*kgtoGg,"NO")</f>
        <v>NO</v>
      </c>
      <c r="BD132" s="23" t="str">
        <f>IFERROR(('Activity data'!#REF!*(1/Constants!$H$99))*ttokg*FSOMEF*NtoN2O*kgtoGg,"NO")</f>
        <v>NO</v>
      </c>
      <c r="BE132" s="23" t="str">
        <f>IFERROR(('Activity data'!#REF!*(1/Constants!$H$99))*ttokg*FSOMEF*NtoN2O*kgtoGg,"NO")</f>
        <v>NO</v>
      </c>
      <c r="BF132" s="23" t="str">
        <f>IFERROR(('Activity data'!#REF!*(1/Constants!$H$99))*ttokg*FSOMEF*NtoN2O*kgtoGg,"NO")</f>
        <v>NO</v>
      </c>
      <c r="BG132" s="23" t="str">
        <f>IFERROR(('Activity data'!#REF!*(1/Constants!$H$99))*ttokg*FSOMEF*NtoN2O*kgtoGg,"NO")</f>
        <v>NO</v>
      </c>
      <c r="BH132" s="23" t="str">
        <f>IFERROR(('Activity data'!#REF!*(1/Constants!$H$99))*ttokg*FSOMEF*NtoN2O*kgtoGg,"NO")</f>
        <v>NO</v>
      </c>
      <c r="BI132" s="23" t="str">
        <f>IFERROR(('Activity data'!#REF!*(1/Constants!$H$99))*ttokg*FSOMEF*NtoN2O*kgtoGg,"NO")</f>
        <v>NO</v>
      </c>
      <c r="BJ132" s="23" t="str">
        <f>IFERROR(('Activity data'!#REF!*(1/Constants!$H$99))*ttokg*FSOMEF*NtoN2O*kgtoGg,"NO")</f>
        <v>NO</v>
      </c>
      <c r="BK132" s="23" t="str">
        <f>IFERROR(('Activity data'!#REF!*(1/Constants!$H$99))*ttokg*FSOMEF*NtoN2O*kgtoGg,"NO")</f>
        <v>NO</v>
      </c>
      <c r="BL132" s="23" t="str">
        <f>IFERROR(('Activity data'!#REF!*(1/Constants!$H$99))*ttokg*FSOMEF*NtoN2O*kgtoGg,"NO")</f>
        <v>NO</v>
      </c>
      <c r="BM132" s="23" t="str">
        <f>IFERROR(('Activity data'!#REF!*(1/Constants!$H$99))*ttokg*FSOMEF*NtoN2O*kgtoGg,"NO")</f>
        <v>NO</v>
      </c>
      <c r="BN132" s="23" t="str">
        <f>IFERROR(('Activity data'!#REF!*(1/Constants!$H$99))*ttokg*FSOMEF*NtoN2O*kgtoGg,"NO")</f>
        <v>NO</v>
      </c>
      <c r="BO132" s="23" t="str">
        <f>IFERROR(('Activity data'!#REF!*(1/Constants!$H$99))*ttokg*FSOMEF*NtoN2O*kgtoGg,"NO")</f>
        <v>NO</v>
      </c>
      <c r="BP132" s="23" t="str">
        <f>IFERROR(('Activity data'!#REF!*(1/Constants!$H$99))*ttokg*FSOMEF*NtoN2O*kgtoGg,"NO")</f>
        <v>NO</v>
      </c>
    </row>
    <row r="133" spans="1:68" x14ac:dyDescent="0.25">
      <c r="A133" t="str">
        <f t="shared" si="39"/>
        <v>3C Aggregated and non-CO2 emissions on land</v>
      </c>
      <c r="B133" t="str">
        <f t="shared" si="31"/>
        <v>3C4 Direct N2O from managed soils (N2O)</v>
      </c>
      <c r="C133" t="s">
        <v>64</v>
      </c>
      <c r="D133" t="str">
        <f>" - "&amp;'Activity data'!D93</f>
        <v xml:space="preserve"> - Wetland remaining wetland</v>
      </c>
      <c r="E133" t="str">
        <f t="shared" si="41"/>
        <v>FSOM - Wetland remaining wetland</v>
      </c>
      <c r="G133" t="str">
        <f t="shared" si="37"/>
        <v>Gg N2O</v>
      </c>
      <c r="H133" s="23" t="str">
        <f>IFERROR(('Activity data'!H97*(1/Constants!$H$99))*ttokg*FSOMEF*NtoN2O*kgtoGg,"NO")</f>
        <v>NO</v>
      </c>
      <c r="I133" s="23" t="str">
        <f>IFERROR(('Activity data'!#REF!*(1/Constants!$H$99))*ttokg*FSOMEF*NtoN2O*kgtoGg,"NO")</f>
        <v>NO</v>
      </c>
      <c r="J133" s="23" t="str">
        <f>IFERROR(('Activity data'!#REF!*(1/Constants!$H$99))*ttokg*FSOMEF*NtoN2O*kgtoGg,"NO")</f>
        <v>NO</v>
      </c>
      <c r="K133" s="23" t="str">
        <f>IFERROR(('Activity data'!#REF!*(1/Constants!$H$99))*ttokg*FSOMEF*NtoN2O*kgtoGg,"NO")</f>
        <v>NO</v>
      </c>
      <c r="L133" s="23" t="str">
        <f>IFERROR(('Activity data'!#REF!*(1/Constants!$H$99))*ttokg*FSOMEF*NtoN2O*kgtoGg,"NO")</f>
        <v>NO</v>
      </c>
      <c r="M133" s="23" t="str">
        <f>IFERROR(('Activity data'!#REF!*(1/Constants!$H$99))*ttokg*FSOMEF*NtoN2O*kgtoGg,"NO")</f>
        <v>NO</v>
      </c>
      <c r="N133" s="23" t="str">
        <f>IFERROR(('Activity data'!#REF!*(1/Constants!$H$99))*ttokg*FSOMEF*NtoN2O*kgtoGg,"NO")</f>
        <v>NO</v>
      </c>
      <c r="O133" s="23" t="str">
        <f>IFERROR(('Activity data'!#REF!*(1/Constants!$H$99))*ttokg*FSOMEF*NtoN2O*kgtoGg,"NO")</f>
        <v>NO</v>
      </c>
      <c r="P133" s="23" t="str">
        <f>IFERROR(('Activity data'!#REF!*(1/Constants!$H$99))*ttokg*FSOMEF*NtoN2O*kgtoGg,"NO")</f>
        <v>NO</v>
      </c>
      <c r="Q133" s="23" t="str">
        <f>IFERROR(('Activity data'!#REF!*(1/Constants!$H$99))*ttokg*FSOMEF*NtoN2O*kgtoGg,"NO")</f>
        <v>NO</v>
      </c>
      <c r="R133" s="23" t="str">
        <f>IFERROR(('Activity data'!#REF!*(1/Constants!$H$99))*ttokg*FSOMEF*NtoN2O*kgtoGg,"NO")</f>
        <v>NO</v>
      </c>
      <c r="S133" s="23" t="str">
        <f>IFERROR(('Activity data'!#REF!*(1/Constants!$H$99))*ttokg*FSOMEF*NtoN2O*kgtoGg,"NO")</f>
        <v>NO</v>
      </c>
      <c r="T133" s="23" t="str">
        <f>IFERROR(('Activity data'!#REF!*(1/Constants!$H$99))*ttokg*FSOMEF*NtoN2O*kgtoGg,"NO")</f>
        <v>NO</v>
      </c>
      <c r="U133" s="23" t="str">
        <f>IFERROR(('Activity data'!#REF!*(1/Constants!$H$99))*ttokg*FSOMEF*NtoN2O*kgtoGg,"NO")</f>
        <v>NO</v>
      </c>
      <c r="V133" s="23" t="str">
        <f>IFERROR(('Activity data'!#REF!*(1/Constants!$H$99))*ttokg*FSOMEF*NtoN2O*kgtoGg,"NO")</f>
        <v>NO</v>
      </c>
      <c r="W133" s="23" t="str">
        <f>IFERROR(('Activity data'!#REF!*(1/Constants!$H$99))*ttokg*FSOMEF*NtoN2O*kgtoGg,"NO")</f>
        <v>NO</v>
      </c>
      <c r="X133" s="23" t="str">
        <f>IFERROR(('Activity data'!#REF!*(1/Constants!$H$99))*ttokg*FSOMEF*NtoN2O*kgtoGg,"NO")</f>
        <v>NO</v>
      </c>
      <c r="Y133" s="23" t="str">
        <f>IFERROR(('Activity data'!#REF!*(1/Constants!$H$99))*ttokg*FSOMEF*NtoN2O*kgtoGg,"NO")</f>
        <v>NO</v>
      </c>
      <c r="Z133" s="23" t="str">
        <f>IFERROR(('Activity data'!#REF!*(1/Constants!$H$99))*ttokg*FSOMEF*NtoN2O*kgtoGg,"NO")</f>
        <v>NO</v>
      </c>
      <c r="AA133" s="23" t="str">
        <f>IFERROR(('Activity data'!#REF!*(1/Constants!$H$99))*ttokg*FSOMEF*NtoN2O*kgtoGg,"NO")</f>
        <v>NO</v>
      </c>
      <c r="AB133" s="23" t="str">
        <f>IFERROR(('Activity data'!#REF!*(1/Constants!$H$99))*ttokg*FSOMEF*NtoN2O*kgtoGg,"NO")</f>
        <v>NO</v>
      </c>
      <c r="AC133" s="23" t="str">
        <f>IFERROR(('Activity data'!#REF!*(1/Constants!$H$99))*ttokg*FSOMEF*NtoN2O*kgtoGg,"NO")</f>
        <v>NO</v>
      </c>
      <c r="AD133" s="23" t="str">
        <f>IFERROR(('Activity data'!#REF!*(1/Constants!$H$99))*ttokg*FSOMEF*NtoN2O*kgtoGg,"NO")</f>
        <v>NO</v>
      </c>
      <c r="AE133" s="23" t="str">
        <f>IFERROR(('Activity data'!#REF!*(1/Constants!$H$99))*ttokg*FSOMEF*NtoN2O*kgtoGg,"NO")</f>
        <v>NO</v>
      </c>
      <c r="AF133" s="23" t="str">
        <f>IFERROR(('Activity data'!#REF!*(1/Constants!$H$99))*ttokg*FSOMEF*NtoN2O*kgtoGg,"NO")</f>
        <v>NO</v>
      </c>
      <c r="AG133" s="23" t="str">
        <f>IFERROR(('Activity data'!#REF!*(1/Constants!$H$99))*ttokg*FSOMEF*NtoN2O*kgtoGg,"NO")</f>
        <v>NO</v>
      </c>
      <c r="AH133" s="23" t="str">
        <f>IFERROR(('Activity data'!#REF!*(1/Constants!$H$99))*ttokg*FSOMEF*NtoN2O*kgtoGg,"NO")</f>
        <v>NO</v>
      </c>
      <c r="AI133" s="23" t="str">
        <f>IFERROR(('Activity data'!#REF!*(1/Constants!$H$99))*ttokg*FSOMEF*NtoN2O*kgtoGg,"NO")</f>
        <v>NO</v>
      </c>
      <c r="AJ133" s="23" t="str">
        <f>IFERROR(('Activity data'!#REF!*(1/Constants!$H$99))*ttokg*FSOMEF*NtoN2O*kgtoGg,"NO")</f>
        <v>NO</v>
      </c>
      <c r="AK133" s="23" t="str">
        <f>IFERROR(('Activity data'!#REF!*(1/Constants!$H$99))*ttokg*FSOMEF*NtoN2O*kgtoGg,"NO")</f>
        <v>NO</v>
      </c>
      <c r="AL133" s="23" t="str">
        <f>IFERROR(('Activity data'!#REF!*(1/Constants!$H$99))*ttokg*FSOMEF*NtoN2O*kgtoGg,"NO")</f>
        <v>NO</v>
      </c>
      <c r="AM133" s="23" t="str">
        <f>IFERROR(('Activity data'!#REF!*(1/Constants!$H$99))*ttokg*FSOMEF*NtoN2O*kgtoGg,"NO")</f>
        <v>NO</v>
      </c>
      <c r="AN133" s="23" t="str">
        <f>IFERROR(('Activity data'!#REF!*(1/Constants!$H$99))*ttokg*FSOMEF*NtoN2O*kgtoGg,"NO")</f>
        <v>NO</v>
      </c>
      <c r="AO133" s="23" t="str">
        <f>IFERROR(('Activity data'!#REF!*(1/Constants!$H$99))*ttokg*FSOMEF*NtoN2O*kgtoGg,"NO")</f>
        <v>NO</v>
      </c>
      <c r="AP133" s="23" t="str">
        <f>IFERROR(('Activity data'!#REF!*(1/Constants!$H$99))*ttokg*FSOMEF*NtoN2O*kgtoGg,"NO")</f>
        <v>NO</v>
      </c>
      <c r="AQ133" s="23" t="str">
        <f>IFERROR(('Activity data'!#REF!*(1/Constants!$H$99))*ttokg*FSOMEF*NtoN2O*kgtoGg,"NO")</f>
        <v>NO</v>
      </c>
      <c r="AR133" s="23" t="str">
        <f>IFERROR(('Activity data'!#REF!*(1/Constants!$H$99))*ttokg*FSOMEF*NtoN2O*kgtoGg,"NO")</f>
        <v>NO</v>
      </c>
      <c r="AS133" s="23" t="str">
        <f>IFERROR(('Activity data'!#REF!*(1/Constants!$H$99))*ttokg*FSOMEF*NtoN2O*kgtoGg,"NO")</f>
        <v>NO</v>
      </c>
      <c r="AT133" s="23" t="str">
        <f>IFERROR(('Activity data'!#REF!*(1/Constants!$H$99))*ttokg*FSOMEF*NtoN2O*kgtoGg,"NO")</f>
        <v>NO</v>
      </c>
      <c r="AU133" s="23" t="str">
        <f>IFERROR(('Activity data'!#REF!*(1/Constants!$H$99))*ttokg*FSOMEF*NtoN2O*kgtoGg,"NO")</f>
        <v>NO</v>
      </c>
      <c r="AV133" s="23" t="str">
        <f>IFERROR(('Activity data'!#REF!*(1/Constants!$H$99))*ttokg*FSOMEF*NtoN2O*kgtoGg,"NO")</f>
        <v>NO</v>
      </c>
      <c r="AW133" s="23" t="str">
        <f>IFERROR(('Activity data'!#REF!*(1/Constants!$H$99))*ttokg*FSOMEF*NtoN2O*kgtoGg,"NO")</f>
        <v>NO</v>
      </c>
      <c r="AX133" s="23" t="str">
        <f>IFERROR(('Activity data'!#REF!*(1/Constants!$H$99))*ttokg*FSOMEF*NtoN2O*kgtoGg,"NO")</f>
        <v>NO</v>
      </c>
      <c r="AY133" s="23" t="str">
        <f>IFERROR(('Activity data'!#REF!*(1/Constants!$H$99))*ttokg*FSOMEF*NtoN2O*kgtoGg,"NO")</f>
        <v>NO</v>
      </c>
      <c r="AZ133" s="23" t="str">
        <f>IFERROR(('Activity data'!#REF!*(1/Constants!$H$99))*ttokg*FSOMEF*NtoN2O*kgtoGg,"NO")</f>
        <v>NO</v>
      </c>
      <c r="BA133" s="23" t="str">
        <f>IFERROR(('Activity data'!#REF!*(1/Constants!$H$99))*ttokg*FSOMEF*NtoN2O*kgtoGg,"NO")</f>
        <v>NO</v>
      </c>
      <c r="BB133" s="23" t="str">
        <f>IFERROR(('Activity data'!#REF!*(1/Constants!$H$99))*ttokg*FSOMEF*NtoN2O*kgtoGg,"NO")</f>
        <v>NO</v>
      </c>
      <c r="BC133" s="23" t="str">
        <f>IFERROR(('Activity data'!#REF!*(1/Constants!$H$99))*ttokg*FSOMEF*NtoN2O*kgtoGg,"NO")</f>
        <v>NO</v>
      </c>
      <c r="BD133" s="23" t="str">
        <f>IFERROR(('Activity data'!#REF!*(1/Constants!$H$99))*ttokg*FSOMEF*NtoN2O*kgtoGg,"NO")</f>
        <v>NO</v>
      </c>
      <c r="BE133" s="23" t="str">
        <f>IFERROR(('Activity data'!#REF!*(1/Constants!$H$99))*ttokg*FSOMEF*NtoN2O*kgtoGg,"NO")</f>
        <v>NO</v>
      </c>
      <c r="BF133" s="23" t="str">
        <f>IFERROR(('Activity data'!#REF!*(1/Constants!$H$99))*ttokg*FSOMEF*NtoN2O*kgtoGg,"NO")</f>
        <v>NO</v>
      </c>
      <c r="BG133" s="23" t="str">
        <f>IFERROR(('Activity data'!#REF!*(1/Constants!$H$99))*ttokg*FSOMEF*NtoN2O*kgtoGg,"NO")</f>
        <v>NO</v>
      </c>
      <c r="BH133" s="23" t="str">
        <f>IFERROR(('Activity data'!#REF!*(1/Constants!$H$99))*ttokg*FSOMEF*NtoN2O*kgtoGg,"NO")</f>
        <v>NO</v>
      </c>
      <c r="BI133" s="23" t="str">
        <f>IFERROR(('Activity data'!#REF!*(1/Constants!$H$99))*ttokg*FSOMEF*NtoN2O*kgtoGg,"NO")</f>
        <v>NO</v>
      </c>
      <c r="BJ133" s="23" t="str">
        <f>IFERROR(('Activity data'!#REF!*(1/Constants!$H$99))*ttokg*FSOMEF*NtoN2O*kgtoGg,"NO")</f>
        <v>NO</v>
      </c>
      <c r="BK133" s="23" t="str">
        <f>IFERROR(('Activity data'!#REF!*(1/Constants!$H$99))*ttokg*FSOMEF*NtoN2O*kgtoGg,"NO")</f>
        <v>NO</v>
      </c>
      <c r="BL133" s="23" t="str">
        <f>IFERROR(('Activity data'!#REF!*(1/Constants!$H$99))*ttokg*FSOMEF*NtoN2O*kgtoGg,"NO")</f>
        <v>NO</v>
      </c>
      <c r="BM133" s="23" t="str">
        <f>IFERROR(('Activity data'!#REF!*(1/Constants!$H$99))*ttokg*FSOMEF*NtoN2O*kgtoGg,"NO")</f>
        <v>NO</v>
      </c>
      <c r="BN133" s="23" t="str">
        <f>IFERROR(('Activity data'!#REF!*(1/Constants!$H$99))*ttokg*FSOMEF*NtoN2O*kgtoGg,"NO")</f>
        <v>NO</v>
      </c>
      <c r="BO133" s="23" t="str">
        <f>IFERROR(('Activity data'!#REF!*(1/Constants!$H$99))*ttokg*FSOMEF*NtoN2O*kgtoGg,"NO")</f>
        <v>NO</v>
      </c>
      <c r="BP133" s="23" t="str">
        <f>IFERROR(('Activity data'!#REF!*(1/Constants!$H$99))*ttokg*FSOMEF*NtoN2O*kgtoGg,"NO")</f>
        <v>NO</v>
      </c>
    </row>
    <row r="134" spans="1:68" x14ac:dyDescent="0.25">
      <c r="A134" t="str">
        <f t="shared" si="39"/>
        <v>3C Aggregated and non-CO2 emissions on land</v>
      </c>
      <c r="B134" t="str">
        <f t="shared" si="31"/>
        <v>3C4 Direct N2O from managed soils (N2O)</v>
      </c>
      <c r="C134" t="s">
        <v>64</v>
      </c>
      <c r="D134" t="str">
        <f>" - "&amp;'Activity data'!D94</f>
        <v xml:space="preserve"> - Land converted to wetland</v>
      </c>
      <c r="E134" t="str">
        <f t="shared" si="41"/>
        <v>FSOM - Land converted to wetland</v>
      </c>
      <c r="G134" t="str">
        <f t="shared" si="37"/>
        <v>Gg N2O</v>
      </c>
      <c r="H134" s="23">
        <f>IFERROR(('Activity data'!H98*(1/Constants!$H$99))*ttokg*FSOMEF*NtoN2O*kgtoGg,"NO")</f>
        <v>0</v>
      </c>
      <c r="I134" s="23" t="str">
        <f>IFERROR(('Activity data'!#REF!*(1/Constants!$H$99))*ttokg*FSOMEF*NtoN2O*kgtoGg,"NO")</f>
        <v>NO</v>
      </c>
      <c r="J134" s="23" t="str">
        <f>IFERROR(('Activity data'!#REF!*(1/Constants!$H$99))*ttokg*FSOMEF*NtoN2O*kgtoGg,"NO")</f>
        <v>NO</v>
      </c>
      <c r="K134" s="23" t="str">
        <f>IFERROR(('Activity data'!#REF!*(1/Constants!$H$99))*ttokg*FSOMEF*NtoN2O*kgtoGg,"NO")</f>
        <v>NO</v>
      </c>
      <c r="L134" s="23" t="str">
        <f>IFERROR(('Activity data'!#REF!*(1/Constants!$H$99))*ttokg*FSOMEF*NtoN2O*kgtoGg,"NO")</f>
        <v>NO</v>
      </c>
      <c r="M134" s="23" t="str">
        <f>IFERROR(('Activity data'!#REF!*(1/Constants!$H$99))*ttokg*FSOMEF*NtoN2O*kgtoGg,"NO")</f>
        <v>NO</v>
      </c>
      <c r="N134" s="23" t="str">
        <f>IFERROR(('Activity data'!#REF!*(1/Constants!$H$99))*ttokg*FSOMEF*NtoN2O*kgtoGg,"NO")</f>
        <v>NO</v>
      </c>
      <c r="O134" s="23" t="str">
        <f>IFERROR(('Activity data'!#REF!*(1/Constants!$H$99))*ttokg*FSOMEF*NtoN2O*kgtoGg,"NO")</f>
        <v>NO</v>
      </c>
      <c r="P134" s="23" t="str">
        <f>IFERROR(('Activity data'!#REF!*(1/Constants!$H$99))*ttokg*FSOMEF*NtoN2O*kgtoGg,"NO")</f>
        <v>NO</v>
      </c>
      <c r="Q134" s="23" t="str">
        <f>IFERROR(('Activity data'!#REF!*(1/Constants!$H$99))*ttokg*FSOMEF*NtoN2O*kgtoGg,"NO")</f>
        <v>NO</v>
      </c>
      <c r="R134" s="23" t="str">
        <f>IFERROR(('Activity data'!#REF!*(1/Constants!$H$99))*ttokg*FSOMEF*NtoN2O*kgtoGg,"NO")</f>
        <v>NO</v>
      </c>
      <c r="S134" s="23" t="str">
        <f>IFERROR(('Activity data'!#REF!*(1/Constants!$H$99))*ttokg*FSOMEF*NtoN2O*kgtoGg,"NO")</f>
        <v>NO</v>
      </c>
      <c r="T134" s="23" t="str">
        <f>IFERROR(('Activity data'!#REF!*(1/Constants!$H$99))*ttokg*FSOMEF*NtoN2O*kgtoGg,"NO")</f>
        <v>NO</v>
      </c>
      <c r="U134" s="23" t="str">
        <f>IFERROR(('Activity data'!#REF!*(1/Constants!$H$99))*ttokg*FSOMEF*NtoN2O*kgtoGg,"NO")</f>
        <v>NO</v>
      </c>
      <c r="V134" s="23" t="str">
        <f>IFERROR(('Activity data'!#REF!*(1/Constants!$H$99))*ttokg*FSOMEF*NtoN2O*kgtoGg,"NO")</f>
        <v>NO</v>
      </c>
      <c r="W134" s="23" t="str">
        <f>IFERROR(('Activity data'!#REF!*(1/Constants!$H$99))*ttokg*FSOMEF*NtoN2O*kgtoGg,"NO")</f>
        <v>NO</v>
      </c>
      <c r="X134" s="23" t="str">
        <f>IFERROR(('Activity data'!#REF!*(1/Constants!$H$99))*ttokg*FSOMEF*NtoN2O*kgtoGg,"NO")</f>
        <v>NO</v>
      </c>
      <c r="Y134" s="23" t="str">
        <f>IFERROR(('Activity data'!#REF!*(1/Constants!$H$99))*ttokg*FSOMEF*NtoN2O*kgtoGg,"NO")</f>
        <v>NO</v>
      </c>
      <c r="Z134" s="23" t="str">
        <f>IFERROR(('Activity data'!#REF!*(1/Constants!$H$99))*ttokg*FSOMEF*NtoN2O*kgtoGg,"NO")</f>
        <v>NO</v>
      </c>
      <c r="AA134" s="23" t="str">
        <f>IFERROR(('Activity data'!#REF!*(1/Constants!$H$99))*ttokg*FSOMEF*NtoN2O*kgtoGg,"NO")</f>
        <v>NO</v>
      </c>
      <c r="AB134" s="23" t="str">
        <f>IFERROR(('Activity data'!#REF!*(1/Constants!$H$99))*ttokg*FSOMEF*NtoN2O*kgtoGg,"NO")</f>
        <v>NO</v>
      </c>
      <c r="AC134" s="23" t="str">
        <f>IFERROR(('Activity data'!#REF!*(1/Constants!$H$99))*ttokg*FSOMEF*NtoN2O*kgtoGg,"NO")</f>
        <v>NO</v>
      </c>
      <c r="AD134" s="23" t="str">
        <f>IFERROR(('Activity data'!#REF!*(1/Constants!$H$99))*ttokg*FSOMEF*NtoN2O*kgtoGg,"NO")</f>
        <v>NO</v>
      </c>
      <c r="AE134" s="23" t="str">
        <f>IFERROR(('Activity data'!#REF!*(1/Constants!$H$99))*ttokg*FSOMEF*NtoN2O*kgtoGg,"NO")</f>
        <v>NO</v>
      </c>
      <c r="AF134" s="23" t="str">
        <f>IFERROR(('Activity data'!#REF!*(1/Constants!$H$99))*ttokg*FSOMEF*NtoN2O*kgtoGg,"NO")</f>
        <v>NO</v>
      </c>
      <c r="AG134" s="23" t="str">
        <f>IFERROR(('Activity data'!#REF!*(1/Constants!$H$99))*ttokg*FSOMEF*NtoN2O*kgtoGg,"NO")</f>
        <v>NO</v>
      </c>
      <c r="AH134" s="23" t="str">
        <f>IFERROR(('Activity data'!#REF!*(1/Constants!$H$99))*ttokg*FSOMEF*NtoN2O*kgtoGg,"NO")</f>
        <v>NO</v>
      </c>
      <c r="AI134" s="23" t="str">
        <f>IFERROR(('Activity data'!#REF!*(1/Constants!$H$99))*ttokg*FSOMEF*NtoN2O*kgtoGg,"NO")</f>
        <v>NO</v>
      </c>
      <c r="AJ134" s="23" t="str">
        <f>IFERROR(('Activity data'!#REF!*(1/Constants!$H$99))*ttokg*FSOMEF*NtoN2O*kgtoGg,"NO")</f>
        <v>NO</v>
      </c>
      <c r="AK134" s="23" t="str">
        <f>IFERROR(('Activity data'!#REF!*(1/Constants!$H$99))*ttokg*FSOMEF*NtoN2O*kgtoGg,"NO")</f>
        <v>NO</v>
      </c>
      <c r="AL134" s="23" t="str">
        <f>IFERROR(('Activity data'!#REF!*(1/Constants!$H$99))*ttokg*FSOMEF*NtoN2O*kgtoGg,"NO")</f>
        <v>NO</v>
      </c>
      <c r="AM134" s="23" t="str">
        <f>IFERROR(('Activity data'!#REF!*(1/Constants!$H$99))*ttokg*FSOMEF*NtoN2O*kgtoGg,"NO")</f>
        <v>NO</v>
      </c>
      <c r="AN134" s="23" t="str">
        <f>IFERROR(('Activity data'!#REF!*(1/Constants!$H$99))*ttokg*FSOMEF*NtoN2O*kgtoGg,"NO")</f>
        <v>NO</v>
      </c>
      <c r="AO134" s="23" t="str">
        <f>IFERROR(('Activity data'!#REF!*(1/Constants!$H$99))*ttokg*FSOMEF*NtoN2O*kgtoGg,"NO")</f>
        <v>NO</v>
      </c>
      <c r="AP134" s="23" t="str">
        <f>IFERROR(('Activity data'!#REF!*(1/Constants!$H$99))*ttokg*FSOMEF*NtoN2O*kgtoGg,"NO")</f>
        <v>NO</v>
      </c>
      <c r="AQ134" s="23" t="str">
        <f>IFERROR(('Activity data'!#REF!*(1/Constants!$H$99))*ttokg*FSOMEF*NtoN2O*kgtoGg,"NO")</f>
        <v>NO</v>
      </c>
      <c r="AR134" s="23" t="str">
        <f>IFERROR(('Activity data'!#REF!*(1/Constants!$H$99))*ttokg*FSOMEF*NtoN2O*kgtoGg,"NO")</f>
        <v>NO</v>
      </c>
      <c r="AS134" s="23" t="str">
        <f>IFERROR(('Activity data'!#REF!*(1/Constants!$H$99))*ttokg*FSOMEF*NtoN2O*kgtoGg,"NO")</f>
        <v>NO</v>
      </c>
      <c r="AT134" s="23" t="str">
        <f>IFERROR(('Activity data'!#REF!*(1/Constants!$H$99))*ttokg*FSOMEF*NtoN2O*kgtoGg,"NO")</f>
        <v>NO</v>
      </c>
      <c r="AU134" s="23" t="str">
        <f>IFERROR(('Activity data'!#REF!*(1/Constants!$H$99))*ttokg*FSOMEF*NtoN2O*kgtoGg,"NO")</f>
        <v>NO</v>
      </c>
      <c r="AV134" s="23" t="str">
        <f>IFERROR(('Activity data'!#REF!*(1/Constants!$H$99))*ttokg*FSOMEF*NtoN2O*kgtoGg,"NO")</f>
        <v>NO</v>
      </c>
      <c r="AW134" s="23" t="str">
        <f>IFERROR(('Activity data'!#REF!*(1/Constants!$H$99))*ttokg*FSOMEF*NtoN2O*kgtoGg,"NO")</f>
        <v>NO</v>
      </c>
      <c r="AX134" s="23" t="str">
        <f>IFERROR(('Activity data'!#REF!*(1/Constants!$H$99))*ttokg*FSOMEF*NtoN2O*kgtoGg,"NO")</f>
        <v>NO</v>
      </c>
      <c r="AY134" s="23" t="str">
        <f>IFERROR(('Activity data'!#REF!*(1/Constants!$H$99))*ttokg*FSOMEF*NtoN2O*kgtoGg,"NO")</f>
        <v>NO</v>
      </c>
      <c r="AZ134" s="23" t="str">
        <f>IFERROR(('Activity data'!#REF!*(1/Constants!$H$99))*ttokg*FSOMEF*NtoN2O*kgtoGg,"NO")</f>
        <v>NO</v>
      </c>
      <c r="BA134" s="23" t="str">
        <f>IFERROR(('Activity data'!#REF!*(1/Constants!$H$99))*ttokg*FSOMEF*NtoN2O*kgtoGg,"NO")</f>
        <v>NO</v>
      </c>
      <c r="BB134" s="23" t="str">
        <f>IFERROR(('Activity data'!#REF!*(1/Constants!$H$99))*ttokg*FSOMEF*NtoN2O*kgtoGg,"NO")</f>
        <v>NO</v>
      </c>
      <c r="BC134" s="23" t="str">
        <f>IFERROR(('Activity data'!#REF!*(1/Constants!$H$99))*ttokg*FSOMEF*NtoN2O*kgtoGg,"NO")</f>
        <v>NO</v>
      </c>
      <c r="BD134" s="23" t="str">
        <f>IFERROR(('Activity data'!#REF!*(1/Constants!$H$99))*ttokg*FSOMEF*NtoN2O*kgtoGg,"NO")</f>
        <v>NO</v>
      </c>
      <c r="BE134" s="23" t="str">
        <f>IFERROR(('Activity data'!#REF!*(1/Constants!$H$99))*ttokg*FSOMEF*NtoN2O*kgtoGg,"NO")</f>
        <v>NO</v>
      </c>
      <c r="BF134" s="23" t="str">
        <f>IFERROR(('Activity data'!#REF!*(1/Constants!$H$99))*ttokg*FSOMEF*NtoN2O*kgtoGg,"NO")</f>
        <v>NO</v>
      </c>
      <c r="BG134" s="23" t="str">
        <f>IFERROR(('Activity data'!#REF!*(1/Constants!$H$99))*ttokg*FSOMEF*NtoN2O*kgtoGg,"NO")</f>
        <v>NO</v>
      </c>
      <c r="BH134" s="23" t="str">
        <f>IFERROR(('Activity data'!#REF!*(1/Constants!$H$99))*ttokg*FSOMEF*NtoN2O*kgtoGg,"NO")</f>
        <v>NO</v>
      </c>
      <c r="BI134" s="23" t="str">
        <f>IFERROR(('Activity data'!#REF!*(1/Constants!$H$99))*ttokg*FSOMEF*NtoN2O*kgtoGg,"NO")</f>
        <v>NO</v>
      </c>
      <c r="BJ134" s="23" t="str">
        <f>IFERROR(('Activity data'!#REF!*(1/Constants!$H$99))*ttokg*FSOMEF*NtoN2O*kgtoGg,"NO")</f>
        <v>NO</v>
      </c>
      <c r="BK134" s="23" t="str">
        <f>IFERROR(('Activity data'!#REF!*(1/Constants!$H$99))*ttokg*FSOMEF*NtoN2O*kgtoGg,"NO")</f>
        <v>NO</v>
      </c>
      <c r="BL134" s="23" t="str">
        <f>IFERROR(('Activity data'!#REF!*(1/Constants!$H$99))*ttokg*FSOMEF*NtoN2O*kgtoGg,"NO")</f>
        <v>NO</v>
      </c>
      <c r="BM134" s="23" t="str">
        <f>IFERROR(('Activity data'!#REF!*(1/Constants!$H$99))*ttokg*FSOMEF*NtoN2O*kgtoGg,"NO")</f>
        <v>NO</v>
      </c>
      <c r="BN134" s="23" t="str">
        <f>IFERROR(('Activity data'!#REF!*(1/Constants!$H$99))*ttokg*FSOMEF*NtoN2O*kgtoGg,"NO")</f>
        <v>NO</v>
      </c>
      <c r="BO134" s="23" t="str">
        <f>IFERROR(('Activity data'!#REF!*(1/Constants!$H$99))*ttokg*FSOMEF*NtoN2O*kgtoGg,"NO")</f>
        <v>NO</v>
      </c>
      <c r="BP134" s="23" t="str">
        <f>IFERROR(('Activity data'!#REF!*(1/Constants!$H$99))*ttokg*FSOMEF*NtoN2O*kgtoGg,"NO")</f>
        <v>NO</v>
      </c>
    </row>
    <row r="135" spans="1:68" x14ac:dyDescent="0.25">
      <c r="A135" t="str">
        <f t="shared" si="39"/>
        <v>3C Aggregated and non-CO2 emissions on land</v>
      </c>
      <c r="B135" t="str">
        <f t="shared" si="31"/>
        <v>3C4 Direct N2O from managed soils (N2O)</v>
      </c>
      <c r="C135" t="s">
        <v>64</v>
      </c>
      <c r="D135" t="str">
        <f>" - "&amp;'Activity data'!D91</f>
        <v xml:space="preserve"> - Grassland remaining grassland</v>
      </c>
      <c r="E135" t="str">
        <f t="shared" si="32"/>
        <v>FSOM - Grassland remaining grassland</v>
      </c>
      <c r="G135" t="str">
        <f t="shared" si="37"/>
        <v>Gg N2O</v>
      </c>
      <c r="H135" s="23">
        <f>IFERROR(('Activity data'!H99*(1/Constants!$H$99))*ttokg*FSOMEF*NtoN2O*kgtoGg,"NO")</f>
        <v>0</v>
      </c>
      <c r="I135" s="23">
        <f>IFERROR(('Activity data'!I91*(1/Constants!$H$99))*ttokg*FSOMEF*NtoN2O*kgtoGg,"NO")</f>
        <v>5.0353963047889893E-3</v>
      </c>
      <c r="J135" s="23">
        <f>IFERROR(('Activity data'!J91*(1/Constants!$H$99))*ttokg*FSOMEF*NtoN2O*kgtoGg,"NO")</f>
        <v>5.0353963047889893E-3</v>
      </c>
      <c r="K135" s="23">
        <f>IFERROR(('Activity data'!K91*(1/Constants!$H$99))*ttokg*FSOMEF*NtoN2O*kgtoGg,"NO")</f>
        <v>5.0353963047889893E-3</v>
      </c>
      <c r="L135" s="23">
        <f>IFERROR(('Activity data'!L91*(1/Constants!$H$99))*ttokg*FSOMEF*NtoN2O*kgtoGg,"NO")</f>
        <v>5.0353963047889893E-3</v>
      </c>
      <c r="M135" s="23">
        <f>IFERROR(('Activity data'!M91*(1/Constants!$H$99))*ttokg*FSOMEF*NtoN2O*kgtoGg,"NO")</f>
        <v>5.0353963047889893E-3</v>
      </c>
      <c r="N135" s="23">
        <f>IFERROR(('Activity data'!N91*(1/Constants!$H$99))*ttokg*FSOMEF*NtoN2O*kgtoGg,"NO")</f>
        <v>5.0353963047889893E-3</v>
      </c>
      <c r="O135" s="23">
        <f>IFERROR(('Activity data'!O91*(1/Constants!$H$99))*ttokg*FSOMEF*NtoN2O*kgtoGg,"NO")</f>
        <v>5.0353963047889893E-3</v>
      </c>
      <c r="P135" s="23">
        <f>IFERROR(('Activity data'!P91*(1/Constants!$H$99))*ttokg*FSOMEF*NtoN2O*kgtoGg,"NO")</f>
        <v>5.0353963047889893E-3</v>
      </c>
      <c r="Q135" s="23">
        <f>IFERROR(('Activity data'!Q91*(1/Constants!$H$99))*ttokg*FSOMEF*NtoN2O*kgtoGg,"NO")</f>
        <v>5.0353963047889893E-3</v>
      </c>
      <c r="R135" s="23">
        <f>IFERROR(('Activity data'!R91*(1/Constants!$H$99))*ttokg*FSOMEF*NtoN2O*kgtoGg,"NO")</f>
        <v>5.0353963047889893E-3</v>
      </c>
      <c r="S135" s="23">
        <f>IFERROR(('Activity data'!S91*(1/Constants!$H$99))*ttokg*FSOMEF*NtoN2O*kgtoGg,"NO")</f>
        <v>5.0353963047889893E-3</v>
      </c>
      <c r="T135" s="23">
        <f>IFERROR(('Activity data'!T91*(1/Constants!$H$99))*ttokg*FSOMEF*NtoN2O*kgtoGg,"NO")</f>
        <v>5.0353963047889893E-3</v>
      </c>
      <c r="U135" s="23">
        <f>IFERROR(('Activity data'!U91*(1/Constants!$H$99))*ttokg*FSOMEF*NtoN2O*kgtoGg,"NO")</f>
        <v>5.0353963047889893E-3</v>
      </c>
      <c r="V135" s="23">
        <f>IFERROR(('Activity data'!V91*(1/Constants!$H$99))*ttokg*FSOMEF*NtoN2O*kgtoGg,"NO")</f>
        <v>5.0353963047889893E-3</v>
      </c>
      <c r="W135" s="23">
        <f>IFERROR(('Activity data'!W91*(1/Constants!$H$99))*ttokg*FSOMEF*NtoN2O*kgtoGg,"NO")</f>
        <v>5.0353963047889893E-3</v>
      </c>
      <c r="X135" s="23">
        <f>IFERROR(('Activity data'!X91*(1/Constants!$H$99))*ttokg*FSOMEF*NtoN2O*kgtoGg,"NO")</f>
        <v>5.0353963047889893E-3</v>
      </c>
      <c r="Y135" s="23">
        <f>IFERROR(('Activity data'!Y91*(1/Constants!$H$99))*ttokg*FSOMEF*NtoN2O*kgtoGg,"NO")</f>
        <v>5.0353963047889893E-3</v>
      </c>
      <c r="Z135" s="23">
        <f>IFERROR(('Activity data'!Z91*(1/Constants!$H$99))*ttokg*FSOMEF*NtoN2O*kgtoGg,"NO")</f>
        <v>5.0353963047889893E-3</v>
      </c>
      <c r="AA135" s="23">
        <f>IFERROR(('Activity data'!AA91*(1/Constants!$H$99))*ttokg*FSOMEF*NtoN2O*kgtoGg,"NO")</f>
        <v>5.0353963047889893E-3</v>
      </c>
      <c r="AB135" s="23">
        <f>IFERROR(('Activity data'!AB91*(1/Constants!$H$99))*ttokg*FSOMEF*NtoN2O*kgtoGg,"NO")</f>
        <v>5.0353963047889893E-3</v>
      </c>
      <c r="AC135" s="23">
        <f>IFERROR(('Activity data'!AC91*(1/Constants!$H$99))*ttokg*FSOMEF*NtoN2O*kgtoGg,"NO")</f>
        <v>5.0353963047889893E-3</v>
      </c>
      <c r="AD135" s="23">
        <f>IFERROR(('Activity data'!AD91*(1/Constants!$H$99))*ttokg*FSOMEF*NtoN2O*kgtoGg,"NO")</f>
        <v>5.0353963047889893E-3</v>
      </c>
      <c r="AE135" s="23">
        <f>IFERROR(('Activity data'!AE91*(1/Constants!$H$99))*ttokg*FSOMEF*NtoN2O*kgtoGg,"NO")</f>
        <v>5.0353963047889893E-3</v>
      </c>
      <c r="AF135" s="23">
        <f>IFERROR(('Activity data'!AF91*(1/Constants!$H$99))*ttokg*FSOMEF*NtoN2O*kgtoGg,"NO")</f>
        <v>5.0353963047889893E-3</v>
      </c>
      <c r="AG135" s="23">
        <f>IFERROR(('Activity data'!AG91*(1/Constants!$H$99))*ttokg*FSOMEF*NtoN2O*kgtoGg,"NO")</f>
        <v>5.0353963047889893E-3</v>
      </c>
      <c r="AH135" s="23">
        <f>IFERROR(('Activity data'!AH91*(1/Constants!$H$99))*ttokg*FSOMEF*NtoN2O*kgtoGg,"NO")</f>
        <v>5.0353963047889893E-3</v>
      </c>
      <c r="AI135" s="23">
        <f>IFERROR(('Activity data'!AI91*(1/Constants!$H$99))*ttokg*FSOMEF*NtoN2O*kgtoGg,"NO")</f>
        <v>5.0353963047889893E-3</v>
      </c>
      <c r="AJ135" s="23">
        <f>IFERROR(('Activity data'!AJ91*(1/Constants!$H$99))*ttokg*FSOMEF*NtoN2O*kgtoGg,"NO")</f>
        <v>1.3847489699010502</v>
      </c>
      <c r="AK135" s="23">
        <f>IFERROR(('Activity data'!AK91*(1/Constants!$H$99))*ttokg*FSOMEF*NtoN2O*kgtoGg,"NO")</f>
        <v>1.3847489699010502</v>
      </c>
      <c r="AL135" s="23">
        <f>IFERROR(('Activity data'!AL91*(1/Constants!$H$99))*ttokg*FSOMEF*NtoN2O*kgtoGg,"NO")</f>
        <v>1.3847489699010502</v>
      </c>
      <c r="AM135" s="23">
        <f>IFERROR(('Activity data'!AM91*(1/Constants!$H$99))*ttokg*FSOMEF*NtoN2O*kgtoGg,"NO")</f>
        <v>1.3847489699010502</v>
      </c>
      <c r="AN135" s="23">
        <f>IFERROR(('Activity data'!AN91*(1/Constants!$H$99))*ttokg*FSOMEF*NtoN2O*kgtoGg,"NO")</f>
        <v>1.3847489699010502</v>
      </c>
      <c r="AO135" s="23">
        <f>IFERROR(('Activity data'!AO91*(1/Constants!$H$99))*ttokg*FSOMEF*NtoN2O*kgtoGg,"NO")</f>
        <v>1.3847489699010502</v>
      </c>
      <c r="AP135" s="23">
        <f>IFERROR(('Activity data'!AP91*(1/Constants!$H$99))*ttokg*FSOMEF*NtoN2O*kgtoGg,"NO")</f>
        <v>1.3847489699010502</v>
      </c>
      <c r="AQ135" s="23">
        <f>IFERROR(('Activity data'!AQ91*(1/Constants!$H$99))*ttokg*FSOMEF*NtoN2O*kgtoGg,"NO")</f>
        <v>1.3847489699010502</v>
      </c>
      <c r="AR135" s="23">
        <f>IFERROR(('Activity data'!AR91*(1/Constants!$H$99))*ttokg*FSOMEF*NtoN2O*kgtoGg,"NO")</f>
        <v>1.3847489699010502</v>
      </c>
      <c r="AS135" s="23">
        <f>IFERROR(('Activity data'!AS91*(1/Constants!$H$99))*ttokg*FSOMEF*NtoN2O*kgtoGg,"NO")</f>
        <v>1.3847489699010502</v>
      </c>
      <c r="AT135" s="23">
        <f>IFERROR(('Activity data'!AT91*(1/Constants!$H$99))*ttokg*FSOMEF*NtoN2O*kgtoGg,"NO")</f>
        <v>1.3847489699010502</v>
      </c>
      <c r="AU135" s="23">
        <f>IFERROR(('Activity data'!AU91*(1/Constants!$H$99))*ttokg*FSOMEF*NtoN2O*kgtoGg,"NO")</f>
        <v>1.3847489699010502</v>
      </c>
      <c r="AV135" s="23">
        <f>IFERROR(('Activity data'!AV91*(1/Constants!$H$99))*ttokg*FSOMEF*NtoN2O*kgtoGg,"NO")</f>
        <v>1.3847489699010502</v>
      </c>
      <c r="AW135" s="23">
        <f>IFERROR(('Activity data'!AW91*(1/Constants!$H$99))*ttokg*FSOMEF*NtoN2O*kgtoGg,"NO")</f>
        <v>1.3847489699010502</v>
      </c>
      <c r="AX135" s="23">
        <f>IFERROR(('Activity data'!AX91*(1/Constants!$H$99))*ttokg*FSOMEF*NtoN2O*kgtoGg,"NO")</f>
        <v>1.3847489699010502</v>
      </c>
      <c r="AY135" s="23">
        <f>IFERROR(('Activity data'!AY91*(1/Constants!$H$99))*ttokg*FSOMEF*NtoN2O*kgtoGg,"NO")</f>
        <v>1.3847489699010502</v>
      </c>
      <c r="AZ135" s="23">
        <f>IFERROR(('Activity data'!AZ91*(1/Constants!$H$99))*ttokg*FSOMEF*NtoN2O*kgtoGg,"NO")</f>
        <v>1.3847489699010502</v>
      </c>
      <c r="BA135" s="23">
        <f>IFERROR(('Activity data'!BA91*(1/Constants!$H$99))*ttokg*FSOMEF*NtoN2O*kgtoGg,"NO")</f>
        <v>1.3847489699010502</v>
      </c>
      <c r="BB135" s="23">
        <f>IFERROR(('Activity data'!BB91*(1/Constants!$H$99))*ttokg*FSOMEF*NtoN2O*kgtoGg,"NO")</f>
        <v>1.3847489699010502</v>
      </c>
      <c r="BC135" s="23">
        <f>IFERROR(('Activity data'!BC91*(1/Constants!$H$99))*ttokg*FSOMEF*NtoN2O*kgtoGg,"NO")</f>
        <v>1.3847489699010502</v>
      </c>
      <c r="BD135" s="23">
        <f>IFERROR(('Activity data'!BD91*(1/Constants!$H$99))*ttokg*FSOMEF*NtoN2O*kgtoGg,"NO")</f>
        <v>1.3847489699010502</v>
      </c>
      <c r="BE135" s="23">
        <f>IFERROR(('Activity data'!BE91*(1/Constants!$H$99))*ttokg*FSOMEF*NtoN2O*kgtoGg,"NO")</f>
        <v>1.3847489699010502</v>
      </c>
      <c r="BF135" s="23">
        <f>IFERROR(('Activity data'!BF91*(1/Constants!$H$99))*ttokg*FSOMEF*NtoN2O*kgtoGg,"NO")</f>
        <v>1.3847489699010502</v>
      </c>
      <c r="BG135" s="23">
        <f>IFERROR(('Activity data'!BG91*(1/Constants!$H$99))*ttokg*FSOMEF*NtoN2O*kgtoGg,"NO")</f>
        <v>1.3847489699010502</v>
      </c>
      <c r="BH135" s="23">
        <f>IFERROR(('Activity data'!BH91*(1/Constants!$H$99))*ttokg*FSOMEF*NtoN2O*kgtoGg,"NO")</f>
        <v>1.3847489699010502</v>
      </c>
      <c r="BI135" s="23">
        <f>IFERROR(('Activity data'!BI91*(1/Constants!$H$99))*ttokg*FSOMEF*NtoN2O*kgtoGg,"NO")</f>
        <v>1.3847489699010502</v>
      </c>
      <c r="BJ135" s="23">
        <f>IFERROR(('Activity data'!BJ91*(1/Constants!$H$99))*ttokg*FSOMEF*NtoN2O*kgtoGg,"NO")</f>
        <v>1.3847489699010502</v>
      </c>
      <c r="BK135" s="23">
        <f>IFERROR(('Activity data'!BK91*(1/Constants!$H$99))*ttokg*FSOMEF*NtoN2O*kgtoGg,"NO")</f>
        <v>1.3847489699010502</v>
      </c>
      <c r="BL135" s="23">
        <f>IFERROR(('Activity data'!BL91*(1/Constants!$H$99))*ttokg*FSOMEF*NtoN2O*kgtoGg,"NO")</f>
        <v>1.3847489699010502</v>
      </c>
      <c r="BM135" s="23">
        <f>IFERROR(('Activity data'!BM91*(1/Constants!$H$99))*ttokg*FSOMEF*NtoN2O*kgtoGg,"NO")</f>
        <v>1.3847489699010502</v>
      </c>
      <c r="BN135" s="23">
        <f>IFERROR(('Activity data'!BN91*(1/Constants!$H$99))*ttokg*FSOMEF*NtoN2O*kgtoGg,"NO")</f>
        <v>1.3847489699010502</v>
      </c>
      <c r="BO135" s="23">
        <f>IFERROR(('Activity data'!BO91*(1/Constants!$H$99))*ttokg*FSOMEF*NtoN2O*kgtoGg,"NO")</f>
        <v>1.3847489699010502</v>
      </c>
      <c r="BP135" s="23">
        <f>IFERROR(('Activity data'!BP91*(1/Constants!$H$99))*ttokg*FSOMEF*NtoN2O*kgtoGg,"NO")</f>
        <v>1.3847489699010502</v>
      </c>
    </row>
    <row r="136" spans="1:68" x14ac:dyDescent="0.25">
      <c r="A136" t="str">
        <f>A122</f>
        <v>3C Aggregated and non-CO2 emissions on land</v>
      </c>
      <c r="B136" t="str">
        <f>'IPCC Categories'!B78</f>
        <v>3C5 Indirect N2O from managed soils (N2O)</v>
      </c>
      <c r="C136" t="str">
        <f>'IPCC Categories'!C78</f>
        <v>Volatilisation</v>
      </c>
      <c r="D136" t="s">
        <v>510</v>
      </c>
      <c r="E136" t="str">
        <f t="shared" si="32"/>
        <v>Volatilisation - Synthetic fertlisers</v>
      </c>
      <c r="F136" t="str">
        <f>F122</f>
        <v>N2O</v>
      </c>
      <c r="G136" t="str">
        <f>G122</f>
        <v>Gg N2O</v>
      </c>
      <c r="H136" s="23">
        <f>'Activity data'!H47*ttokg*FracGASF*MSVolatEF*NtoN2O*kgtoGg</f>
        <v>0.5400827142857143</v>
      </c>
      <c r="I136" s="23">
        <f>'Activity data'!I47*ttokg*FracGASF*MSVolatEF*NtoN2O*kgtoGg</f>
        <v>0.57362642857142854</v>
      </c>
      <c r="J136" s="23">
        <f>'Activity data'!J47*ttokg*FracGASF*MSVolatEF*NtoN2O*kgtoGg</f>
        <v>0.54611071428571434</v>
      </c>
      <c r="K136" s="23">
        <f>'Activity data'!K47*ttokg*FracGASF*MSVolatEF*NtoN2O*kgtoGg</f>
        <v>0.64186414285714277</v>
      </c>
      <c r="L136" s="23">
        <f>'Activity data'!L47*ttokg*FracGASF*MSVolatEF*NtoN2O*kgtoGg</f>
        <v>0.58938942857142851</v>
      </c>
      <c r="M136" s="23">
        <f>'Activity data'!M47*ttokg*FracGASF*MSVolatEF*NtoN2O*kgtoGg</f>
        <v>0.58377157142857139</v>
      </c>
      <c r="N136" s="23">
        <f>'Activity data'!N47*ttokg*FracGASF*MSVolatEF*NtoN2O*kgtoGg</f>
        <v>0.65227485714285716</v>
      </c>
      <c r="O136" s="23">
        <f>'Activity data'!O47*ttokg*FracGASF*MSVolatEF*NtoN2O*kgtoGg</f>
        <v>0.63943628571428568</v>
      </c>
      <c r="P136" s="23">
        <f>'Activity data'!P47*ttokg*FracGASF*MSVolatEF*NtoN2O*kgtoGg</f>
        <v>0.65296157142857136</v>
      </c>
      <c r="Q136" s="23">
        <f>'Activity data'!Q47*ttokg*FracGASF*MSVolatEF*NtoN2O*kgtoGg</f>
        <v>0.64907071428571428</v>
      </c>
      <c r="R136" s="23">
        <f>'Activity data'!R47*ttokg*FracGASF*MSVolatEF*NtoN2O*kgtoGg</f>
        <v>0.653609</v>
      </c>
      <c r="S136" s="23">
        <f>'Activity data'!S47*ttokg*FracGASF*MSVolatEF*NtoN2O*kgtoGg</f>
        <v>0.6219918571428571</v>
      </c>
      <c r="T136" s="23">
        <f>'Activity data'!T47*ttokg*FracGASF*MSVolatEF*NtoN2O*kgtoGg</f>
        <v>0.74968457142857137</v>
      </c>
      <c r="U136" s="23">
        <f>'Activity data'!U47*ttokg*FracGASF*MSVolatEF*NtoN2O*kgtoGg</f>
        <v>0.66129957142857132</v>
      </c>
      <c r="V136" s="23">
        <f>'Activity data'!V47*ttokg*FracGASF*MSVolatEF*NtoN2O*kgtoGg</f>
        <v>0.67189728571428564</v>
      </c>
      <c r="W136" s="23">
        <f>'Activity data'!W47*ttokg*FracGASF*MSVolatEF*NtoN2O*kgtoGg</f>
        <v>0.54569428571428569</v>
      </c>
      <c r="X136" s="23">
        <f>'Activity data'!X47*ttokg*FracGASF*MSVolatEF*NtoN2O*kgtoGg</f>
        <v>0.67370128571428567</v>
      </c>
      <c r="Y136" s="23">
        <f>'Activity data'!Y47*ttokg*FracGASF*MSVolatEF*NtoN2O*kgtoGg</f>
        <v>0.69061142857142854</v>
      </c>
      <c r="Z136" s="23">
        <f>'Activity data'!Z47*ttokg*FracGASF*MSVolatEF*NtoN2O*kgtoGg</f>
        <v>0.66647899999999993</v>
      </c>
      <c r="AA136" s="23">
        <f>'Activity data'!AA47*ttokg*FracGASF*MSVolatEF*NtoN2O*kgtoGg</f>
        <v>0.71307814285714277</v>
      </c>
      <c r="AB136" s="23">
        <f>'Activity data'!AB47*ttokg*FracGASF*MSVolatEF*NtoN2O*kgtoGg</f>
        <v>0.62071428571428566</v>
      </c>
      <c r="AC136" s="23">
        <f>'Activity data'!AC47*ttokg*FracGASF*MSVolatEF*NtoN2O*kgtoGg</f>
        <v>0.65842857142857136</v>
      </c>
      <c r="AD136" s="23">
        <f>'Activity data'!AD47*ttokg*FracGASF*MSVolatEF*NtoN2O*kgtoGg</f>
        <v>0.6757142857142856</v>
      </c>
      <c r="AE136" s="23">
        <f>'Activity data'!AE47*ttokg*FracGASF*MSVolatEF*NtoN2O*kgtoGg</f>
        <v>0.65449999999999997</v>
      </c>
      <c r="AF136" s="23">
        <f>'Activity data'!AF47*ttokg*FracGASF*MSVolatEF*NtoN2O*kgtoGg</f>
        <v>0.70328814285714281</v>
      </c>
      <c r="AG136" s="23">
        <f>'Activity data'!AG47*ttokg*FracGASF*MSVolatEF*NtoN2O*kgtoGg</f>
        <v>0.63295885714285716</v>
      </c>
      <c r="AH136" s="23">
        <f>'Activity data'!AH47*ttokg*FracGASF*MSVolatEF*NtoN2O*kgtoGg</f>
        <v>0.6757142857142856</v>
      </c>
      <c r="AI136" s="23">
        <f>'Activity data'!AI47*ttokg*FracGASF*MSVolatEF*NtoN2O*kgtoGg</f>
        <v>0.69598571428571432</v>
      </c>
      <c r="AJ136" s="23">
        <f>'Activity data'!AJ47*ttokg*FracGASF*MSVolatEF*NtoN2O*kgtoGg</f>
        <v>0.66713395169939893</v>
      </c>
      <c r="AK136" s="23">
        <f>'Activity data'!AK47*ttokg*FracGASF*MSVolatEF*NtoN2O*kgtoGg</f>
        <v>0.66847567335850677</v>
      </c>
      <c r="AL136" s="23">
        <f>'Activity data'!AL47*ttokg*FracGASF*MSVolatEF*NtoN2O*kgtoGg</f>
        <v>0.66981739501761495</v>
      </c>
      <c r="AM136" s="23">
        <f>'Activity data'!AM47*ttokg*FracGASF*MSVolatEF*NtoN2O*kgtoGg</f>
        <v>0.6711773746927755</v>
      </c>
      <c r="AN136" s="23">
        <f>'Activity data'!AN47*ttokg*FracGASF*MSVolatEF*NtoN2O*kgtoGg</f>
        <v>0.67253735434283324</v>
      </c>
      <c r="AO136" s="23">
        <f>'Activity data'!AO47*ttokg*FracGASF*MSVolatEF*NtoN2O*kgtoGg</f>
        <v>0.67389733399289098</v>
      </c>
      <c r="AP136" s="23">
        <f>'Activity data'!AP47*ttokg*FracGASF*MSVolatEF*NtoN2O*kgtoGg</f>
        <v>0.67525731364294861</v>
      </c>
      <c r="AQ136" s="23">
        <f>'Activity data'!AQ47*ttokg*FracGASF*MSVolatEF*NtoN2O*kgtoGg</f>
        <v>0.67661729331810927</v>
      </c>
      <c r="AR136" s="23">
        <f>'Activity data'!AR47*ttokg*FracGASF*MSVolatEF*NtoN2O*kgtoGg</f>
        <v>0.67661729331810927</v>
      </c>
      <c r="AS136" s="23">
        <f>'Activity data'!AS47*ttokg*FracGASF*MSVolatEF*NtoN2O*kgtoGg</f>
        <v>0.67661729331810927</v>
      </c>
      <c r="AT136" s="23">
        <f>'Activity data'!AT47*ttokg*FracGASF*MSVolatEF*NtoN2O*kgtoGg</f>
        <v>0.67661729331810927</v>
      </c>
      <c r="AU136" s="23">
        <f>'Activity data'!AU47*ttokg*FracGASF*MSVolatEF*NtoN2O*kgtoGg</f>
        <v>0.67661729331810927</v>
      </c>
      <c r="AV136" s="23">
        <f>'Activity data'!AV47*ttokg*FracGASF*MSVolatEF*NtoN2O*kgtoGg</f>
        <v>0.67661729331810927</v>
      </c>
      <c r="AW136" s="23">
        <f>'Activity data'!AW47*ttokg*FracGASF*MSVolatEF*NtoN2O*kgtoGg</f>
        <v>0.67661729331810927</v>
      </c>
      <c r="AX136" s="23">
        <f>'Activity data'!AX47*ttokg*FracGASF*MSVolatEF*NtoN2O*kgtoGg</f>
        <v>0.67661729331810927</v>
      </c>
      <c r="AY136" s="23">
        <f>'Activity data'!AY47*ttokg*FracGASF*MSVolatEF*NtoN2O*kgtoGg</f>
        <v>0.67661729331810927</v>
      </c>
      <c r="AZ136" s="23">
        <f>'Activity data'!AZ47*ttokg*FracGASF*MSVolatEF*NtoN2O*kgtoGg</f>
        <v>0.67661729331810927</v>
      </c>
      <c r="BA136" s="23">
        <f>'Activity data'!BA47*ttokg*FracGASF*MSVolatEF*NtoN2O*kgtoGg</f>
        <v>0.67661729331810927</v>
      </c>
      <c r="BB136" s="23">
        <f>'Activity data'!BB47*ttokg*FracGASF*MSVolatEF*NtoN2O*kgtoGg</f>
        <v>0.67661729331810927</v>
      </c>
      <c r="BC136" s="23">
        <f>'Activity data'!BC47*ttokg*FracGASF*MSVolatEF*NtoN2O*kgtoGg</f>
        <v>0.67661729331810927</v>
      </c>
      <c r="BD136" s="23">
        <f>'Activity data'!BD47*ttokg*FracGASF*MSVolatEF*NtoN2O*kgtoGg</f>
        <v>0.67661729331810927</v>
      </c>
      <c r="BE136" s="23">
        <f>'Activity data'!BE47*ttokg*FracGASF*MSVolatEF*NtoN2O*kgtoGg</f>
        <v>0.67661729331810927</v>
      </c>
      <c r="BF136" s="23">
        <f>'Activity data'!BF47*ttokg*FracGASF*MSVolatEF*NtoN2O*kgtoGg</f>
        <v>0.67661729331810927</v>
      </c>
      <c r="BG136" s="23">
        <f>'Activity data'!BG47*ttokg*FracGASF*MSVolatEF*NtoN2O*kgtoGg</f>
        <v>0.67661729331810927</v>
      </c>
      <c r="BH136" s="23">
        <f>'Activity data'!BH47*ttokg*FracGASF*MSVolatEF*NtoN2O*kgtoGg</f>
        <v>0.67661729331810927</v>
      </c>
      <c r="BI136" s="23">
        <f>'Activity data'!BI47*ttokg*FracGASF*MSVolatEF*NtoN2O*kgtoGg</f>
        <v>0.67661729331810927</v>
      </c>
      <c r="BJ136" s="23">
        <f>'Activity data'!BJ47*ttokg*FracGASF*MSVolatEF*NtoN2O*kgtoGg</f>
        <v>0.67661729331810927</v>
      </c>
      <c r="BK136" s="23">
        <f>'Activity data'!BK47*ttokg*FracGASF*MSVolatEF*NtoN2O*kgtoGg</f>
        <v>0.67661729331810927</v>
      </c>
      <c r="BL136" s="23">
        <f>'Activity data'!BL47*ttokg*FracGASF*MSVolatEF*NtoN2O*kgtoGg</f>
        <v>0.67661729331810927</v>
      </c>
      <c r="BM136" s="23">
        <f>'Activity data'!BM47*ttokg*FracGASF*MSVolatEF*NtoN2O*kgtoGg</f>
        <v>0.67661729331810927</v>
      </c>
      <c r="BN136" s="23">
        <f>'Activity data'!BN47*ttokg*FracGASF*MSVolatEF*NtoN2O*kgtoGg</f>
        <v>0.67661729331810927</v>
      </c>
      <c r="BO136" s="23">
        <f>'Activity data'!BO47*ttokg*FracGASF*MSVolatEF*NtoN2O*kgtoGg</f>
        <v>0.67661729331810927</v>
      </c>
      <c r="BP136" s="23">
        <f>'Activity data'!BP47*ttokg*FracGASF*MSVolatEF*NtoN2O*kgtoGg</f>
        <v>0.67661729331810927</v>
      </c>
    </row>
    <row r="137" spans="1:68" x14ac:dyDescent="0.25">
      <c r="A137" t="str">
        <f t="shared" si="29"/>
        <v>3C Aggregated and non-CO2 emissions on land</v>
      </c>
      <c r="B137" t="str">
        <f>B136</f>
        <v>3C5 Indirect N2O from managed soils (N2O)</v>
      </c>
      <c r="C137" t="str">
        <f>C136</f>
        <v>Volatilisation</v>
      </c>
      <c r="D137" t="s">
        <v>511</v>
      </c>
      <c r="E137" t="str">
        <f t="shared" si="32"/>
        <v>Volatilisation - Organic fertilisers</v>
      </c>
      <c r="F137" t="str">
        <f t="shared" si="36"/>
        <v>N2O</v>
      </c>
      <c r="G137" t="str">
        <f t="shared" si="37"/>
        <v>Gg N2O</v>
      </c>
      <c r="H137" s="23">
        <f>'Activity data'!H48*ttokg*FracGASM*MSVolatEF*NtoN2O*kgtoGg</f>
        <v>7.1290918285714282E-3</v>
      </c>
      <c r="I137" s="23">
        <f>'Activity data'!I48*ttokg*FracGASM*MSVolatEF*NtoN2O*kgtoGg</f>
        <v>7.5718688571428574E-3</v>
      </c>
      <c r="J137" s="23">
        <f>'Activity data'!J48*ttokg*FracGASM*MSVolatEF*NtoN2O*kgtoGg</f>
        <v>7.2086614285714291E-3</v>
      </c>
      <c r="K137" s="23">
        <f>'Activity data'!K48*ttokg*FracGASM*MSVolatEF*NtoN2O*kgtoGg</f>
        <v>8.4726066857142863E-3</v>
      </c>
      <c r="L137" s="23">
        <f>'Activity data'!L48*ttokg*FracGASM*MSVolatEF*NtoN2O*kgtoGg</f>
        <v>7.7799404571428574E-3</v>
      </c>
      <c r="M137" s="23">
        <f>'Activity data'!M48*ttokg*FracGASM*MSVolatEF*NtoN2O*kgtoGg</f>
        <v>7.7057847428571432E-3</v>
      </c>
      <c r="N137" s="23">
        <f>'Activity data'!N48*ttokg*FracGASM*MSVolatEF*NtoN2O*kgtoGg</f>
        <v>8.610028114285715E-3</v>
      </c>
      <c r="O137" s="23">
        <f>'Activity data'!O48*ttokg*FracGASM*MSVolatEF*NtoN2O*kgtoGg</f>
        <v>8.440558971428572E-3</v>
      </c>
      <c r="P137" s="23">
        <f>'Activity data'!P48*ttokg*FracGASM*MSVolatEF*NtoN2O*kgtoGg</f>
        <v>8.6190927428571439E-3</v>
      </c>
      <c r="Q137" s="23">
        <f>'Activity data'!Q48*ttokg*FracGASM*MSVolatEF*NtoN2O*kgtoGg</f>
        <v>8.5677334285714293E-3</v>
      </c>
      <c r="R137" s="23">
        <f>'Activity data'!R48*ttokg*FracGASM*MSVolatEF*NtoN2O*kgtoGg</f>
        <v>8.627638800000002E-3</v>
      </c>
      <c r="S137" s="23">
        <f>'Activity data'!S48*ttokg*FracGASM*MSVolatEF*NtoN2O*kgtoGg</f>
        <v>8.210292514285714E-3</v>
      </c>
      <c r="T137" s="23">
        <f>'Activity data'!T48*ttokg*FracGASM*MSVolatEF*NtoN2O*kgtoGg</f>
        <v>9.8958363428571453E-3</v>
      </c>
      <c r="U137" s="23">
        <f>'Activity data'!U48*ttokg*FracGASM*MSVolatEF*NtoN2O*kgtoGg</f>
        <v>8.7291543428571466E-3</v>
      </c>
      <c r="V137" s="23">
        <f>'Activity data'!V48*ttokg*FracGASM*MSVolatEF*NtoN2O*kgtoGg</f>
        <v>8.8690441714285723E-3</v>
      </c>
      <c r="W137" s="23">
        <f>'Activity data'!W48*ttokg*FracGASM*MSVolatEF*NtoN2O*kgtoGg</f>
        <v>7.2031645714285709E-3</v>
      </c>
      <c r="X137" s="23">
        <f>'Activity data'!X48*ttokg*FracGASM*MSVolatEF*NtoN2O*kgtoGg</f>
        <v>8.8928569714285723E-3</v>
      </c>
      <c r="Y137" s="23">
        <f>'Activity data'!Y48*ttokg*FracGASM*MSVolatEF*NtoN2O*kgtoGg</f>
        <v>9.1160708571428571E-3</v>
      </c>
      <c r="Z137" s="23">
        <f>'Activity data'!Z48*ttokg*FracGASM*MSVolatEF*NtoN2O*kgtoGg</f>
        <v>8.7975228000000006E-3</v>
      </c>
      <c r="AA137" s="23">
        <f>'Activity data'!AA48*ttokg*FracGASM*MSVolatEF*NtoN2O*kgtoGg</f>
        <v>9.4126314857142859E-3</v>
      </c>
      <c r="AB137" s="23">
        <f>'Activity data'!AB48*ttokg*FracGASM*MSVolatEF*NtoN2O*kgtoGg</f>
        <v>8.1934285714285703E-3</v>
      </c>
      <c r="AC137" s="23">
        <f>'Activity data'!AC48*ttokg*FracGASM*MSVolatEF*NtoN2O*kgtoGg</f>
        <v>8.6912571428571419E-3</v>
      </c>
      <c r="AD137" s="23">
        <f>'Activity data'!AD48*ttokg*FracGASM*MSVolatEF*NtoN2O*kgtoGg</f>
        <v>8.9194285714285695E-3</v>
      </c>
      <c r="AE137" s="23">
        <f>'Activity data'!AE48*ttokg*FracGASM*MSVolatEF*NtoN2O*kgtoGg</f>
        <v>8.6393999999999985E-3</v>
      </c>
      <c r="AF137" s="23">
        <f>'Activity data'!AF48*ttokg*FracGASM*MSVolatEF*NtoN2O*kgtoGg</f>
        <v>9.2834034857142873E-3</v>
      </c>
      <c r="AG137" s="23">
        <f>'Activity data'!AG48*ttokg*FracGASM*MSVolatEF*NtoN2O*kgtoGg</f>
        <v>8.3550569142857162E-3</v>
      </c>
      <c r="AH137" s="23">
        <f>'Activity data'!AH48*ttokg*FracGASM*MSVolatEF*NtoN2O*kgtoGg</f>
        <v>8.9194285714285695E-3</v>
      </c>
      <c r="AI137" s="23">
        <f>'Activity data'!AI48*ttokg*FracGASM*MSVolatEF*NtoN2O*kgtoGg</f>
        <v>9.187011428571432E-3</v>
      </c>
      <c r="AJ137" s="23">
        <f>'Activity data'!AJ48*ttokg*FracGASM*MSVolatEF*NtoN2O*kgtoGg</f>
        <v>8.8061681624320674E-3</v>
      </c>
      <c r="AK137" s="23">
        <f>'Activity data'!AK48*ttokg*FracGASM*MSVolatEF*NtoN2O*kgtoGg</f>
        <v>8.8238788883322917E-3</v>
      </c>
      <c r="AL137" s="23">
        <f>'Activity data'!AL48*ttokg*FracGASM*MSVolatEF*NtoN2O*kgtoGg</f>
        <v>8.8415896142325177E-3</v>
      </c>
      <c r="AM137" s="23">
        <f>'Activity data'!AM48*ttokg*FracGASM*MSVolatEF*NtoN2O*kgtoGg</f>
        <v>8.8595413459446378E-3</v>
      </c>
      <c r="AN137" s="23">
        <f>'Activity data'!AN48*ttokg*FracGASM*MSVolatEF*NtoN2O*kgtoGg</f>
        <v>8.8774930773253997E-3</v>
      </c>
      <c r="AO137" s="23">
        <f>'Activity data'!AO48*ttokg*FracGASM*MSVolatEF*NtoN2O*kgtoGg</f>
        <v>8.8954448087061617E-3</v>
      </c>
      <c r="AP137" s="23">
        <f>'Activity data'!AP48*ttokg*FracGASM*MSVolatEF*NtoN2O*kgtoGg</f>
        <v>8.9133965400869253E-3</v>
      </c>
      <c r="AQ137" s="23">
        <f>'Activity data'!AQ48*ttokg*FracGASM*MSVolatEF*NtoN2O*kgtoGg</f>
        <v>8.9313482717990438E-3</v>
      </c>
      <c r="AR137" s="23">
        <f>'Activity data'!AR48*ttokg*FracGASM*MSVolatEF*NtoN2O*kgtoGg</f>
        <v>8.9313482717990438E-3</v>
      </c>
      <c r="AS137" s="23">
        <f>'Activity data'!AS48*ttokg*FracGASM*MSVolatEF*NtoN2O*kgtoGg</f>
        <v>8.9313482717990438E-3</v>
      </c>
      <c r="AT137" s="23">
        <f>'Activity data'!AT48*ttokg*FracGASM*MSVolatEF*NtoN2O*kgtoGg</f>
        <v>8.9313482717990438E-3</v>
      </c>
      <c r="AU137" s="23">
        <f>'Activity data'!AU48*ttokg*FracGASM*MSVolatEF*NtoN2O*kgtoGg</f>
        <v>8.9313482717990438E-3</v>
      </c>
      <c r="AV137" s="23">
        <f>'Activity data'!AV48*ttokg*FracGASM*MSVolatEF*NtoN2O*kgtoGg</f>
        <v>8.9313482717990438E-3</v>
      </c>
      <c r="AW137" s="23">
        <f>'Activity data'!AW48*ttokg*FracGASM*MSVolatEF*NtoN2O*kgtoGg</f>
        <v>8.9313482717990438E-3</v>
      </c>
      <c r="AX137" s="23">
        <f>'Activity data'!AX48*ttokg*FracGASM*MSVolatEF*NtoN2O*kgtoGg</f>
        <v>8.9313482717990438E-3</v>
      </c>
      <c r="AY137" s="23">
        <f>'Activity data'!AY48*ttokg*FracGASM*MSVolatEF*NtoN2O*kgtoGg</f>
        <v>8.9313482717990438E-3</v>
      </c>
      <c r="AZ137" s="23">
        <f>'Activity data'!AZ48*ttokg*FracGASM*MSVolatEF*NtoN2O*kgtoGg</f>
        <v>8.9313482717990438E-3</v>
      </c>
      <c r="BA137" s="23">
        <f>'Activity data'!BA48*ttokg*FracGASM*MSVolatEF*NtoN2O*kgtoGg</f>
        <v>8.9313482717990438E-3</v>
      </c>
      <c r="BB137" s="23">
        <f>'Activity data'!BB48*ttokg*FracGASM*MSVolatEF*NtoN2O*kgtoGg</f>
        <v>8.9313482717990438E-3</v>
      </c>
      <c r="BC137" s="23">
        <f>'Activity data'!BC48*ttokg*FracGASM*MSVolatEF*NtoN2O*kgtoGg</f>
        <v>8.9313482717990438E-3</v>
      </c>
      <c r="BD137" s="23">
        <f>'Activity data'!BD48*ttokg*FracGASM*MSVolatEF*NtoN2O*kgtoGg</f>
        <v>8.9313482717990438E-3</v>
      </c>
      <c r="BE137" s="23">
        <f>'Activity data'!BE48*ttokg*FracGASM*MSVolatEF*NtoN2O*kgtoGg</f>
        <v>8.9313482717990438E-3</v>
      </c>
      <c r="BF137" s="23">
        <f>'Activity data'!BF48*ttokg*FracGASM*MSVolatEF*NtoN2O*kgtoGg</f>
        <v>8.9313482717990438E-3</v>
      </c>
      <c r="BG137" s="23">
        <f>'Activity data'!BG48*ttokg*FracGASM*MSVolatEF*NtoN2O*kgtoGg</f>
        <v>8.9313482717990438E-3</v>
      </c>
      <c r="BH137" s="23">
        <f>'Activity data'!BH48*ttokg*FracGASM*MSVolatEF*NtoN2O*kgtoGg</f>
        <v>8.9313482717990438E-3</v>
      </c>
      <c r="BI137" s="23">
        <f>'Activity data'!BI48*ttokg*FracGASM*MSVolatEF*NtoN2O*kgtoGg</f>
        <v>8.9313482717990438E-3</v>
      </c>
      <c r="BJ137" s="23">
        <f>'Activity data'!BJ48*ttokg*FracGASM*MSVolatEF*NtoN2O*kgtoGg</f>
        <v>8.9313482717990438E-3</v>
      </c>
      <c r="BK137" s="23">
        <f>'Activity data'!BK48*ttokg*FracGASM*MSVolatEF*NtoN2O*kgtoGg</f>
        <v>8.9313482717990438E-3</v>
      </c>
      <c r="BL137" s="23">
        <f>'Activity data'!BL48*ttokg*FracGASM*MSVolatEF*NtoN2O*kgtoGg</f>
        <v>8.9313482717990438E-3</v>
      </c>
      <c r="BM137" s="23">
        <f>'Activity data'!BM48*ttokg*FracGASM*MSVolatEF*NtoN2O*kgtoGg</f>
        <v>8.9313482717990438E-3</v>
      </c>
      <c r="BN137" s="23">
        <f>'Activity data'!BN48*ttokg*FracGASM*MSVolatEF*NtoN2O*kgtoGg</f>
        <v>8.9313482717990438E-3</v>
      </c>
      <c r="BO137" s="23">
        <f>'Activity data'!BO48*ttokg*FracGASM*MSVolatEF*NtoN2O*kgtoGg</f>
        <v>8.9313482717990438E-3</v>
      </c>
      <c r="BP137" s="23">
        <f>'Activity data'!BP48*ttokg*FracGASM*MSVolatEF*NtoN2O*kgtoGg</f>
        <v>8.9313482717990438E-3</v>
      </c>
    </row>
    <row r="138" spans="1:68" x14ac:dyDescent="0.25">
      <c r="A138" t="str">
        <f t="shared" si="29"/>
        <v>3C Aggregated and non-CO2 emissions on land</v>
      </c>
      <c r="B138" t="str">
        <f t="shared" ref="B138:B139" si="42">B137</f>
        <v>3C5 Indirect N2O from managed soils (N2O)</v>
      </c>
      <c r="C138" t="str">
        <f t="shared" ref="C138:C139" si="43">C137</f>
        <v>Volatilisation</v>
      </c>
      <c r="D138" t="s">
        <v>512</v>
      </c>
      <c r="E138" t="str">
        <f t="shared" si="32"/>
        <v>Volatilisation - Managed manure</v>
      </c>
      <c r="F138" t="str">
        <f t="shared" si="36"/>
        <v>N2O</v>
      </c>
      <c r="G138" t="str">
        <f t="shared" si="37"/>
        <v>Gg N2O</v>
      </c>
      <c r="H138" s="23">
        <f>SUM('Activity data'!H50:H65)*FracGASM*MSVolatEF*NtoN2O*kgtoGg</f>
        <v>1.1063457472911082</v>
      </c>
      <c r="I138" s="23">
        <f>SUM('Activity data'!I50:I65)*FracGASM*MSVolatEF*NtoN2O*kgtoGg</f>
        <v>1.1726773113717477</v>
      </c>
      <c r="J138" s="23">
        <f>SUM('Activity data'!J50:J65)*FracGASM*MSVolatEF*NtoN2O*kgtoGg</f>
        <v>1.1378711499790608</v>
      </c>
      <c r="K138" s="23">
        <f>SUM('Activity data'!K50:K65)*FracGASM*MSVolatEF*NtoN2O*kgtoGg</f>
        <v>1.1491175608429292</v>
      </c>
      <c r="L138" s="23">
        <f>SUM('Activity data'!L50:L65)*FracGASM*MSVolatEF*NtoN2O*kgtoGg</f>
        <v>1.0581583253343185</v>
      </c>
      <c r="M138" s="23">
        <f>SUM('Activity data'!M50:M65)*FracGASM*MSVolatEF*NtoN2O*kgtoGg</f>
        <v>1.0791747762034543</v>
      </c>
      <c r="N138" s="23">
        <f>SUM('Activity data'!N50:N65)*FracGASM*MSVolatEF*NtoN2O*kgtoGg</f>
        <v>1.1130164111251279</v>
      </c>
      <c r="O138" s="23">
        <f>SUM('Activity data'!O50:O65)*FracGASM*MSVolatEF*NtoN2O*kgtoGg</f>
        <v>1.1252482910922941</v>
      </c>
      <c r="P138" s="23">
        <f>SUM('Activity data'!P50:P65)*FracGASM*MSVolatEF*NtoN2O*kgtoGg</f>
        <v>1.1598493621115025</v>
      </c>
      <c r="Q138" s="23">
        <f>SUM('Activity data'!Q50:Q65)*FracGASM*MSVolatEF*NtoN2O*kgtoGg</f>
        <v>1.1820926911753284</v>
      </c>
      <c r="R138" s="23">
        <f>SUM('Activity data'!R50:R65)*FracGASM*MSVolatEF*NtoN2O*kgtoGg</f>
        <v>1.2574690413741472</v>
      </c>
      <c r="S138" s="23">
        <f>SUM('Activity data'!S50:S65)*FracGASM*MSVolatEF*NtoN2O*kgtoGg</f>
        <v>1.2412364299891074</v>
      </c>
      <c r="T138" s="23">
        <f>SUM('Activity data'!T50:T65)*FracGASM*MSVolatEF*NtoN2O*kgtoGg</f>
        <v>1.260259768542801</v>
      </c>
      <c r="U138" s="23">
        <f>SUM('Activity data'!U50:U65)*FracGASM*MSVolatEF*NtoN2O*kgtoGg</f>
        <v>1.2312268528712031</v>
      </c>
      <c r="V138" s="23">
        <f>SUM('Activity data'!V50:V65)*FracGASM*MSVolatEF*NtoN2O*kgtoGg</f>
        <v>1.2133495441679139</v>
      </c>
      <c r="W138" s="23">
        <f>SUM('Activity data'!W50:W65)*FracGASM*MSVolatEF*NtoN2O*kgtoGg</f>
        <v>1.2339989203458346</v>
      </c>
      <c r="X138" s="23">
        <f>SUM('Activity data'!X50:X65)*FracGASM*MSVolatEF*NtoN2O*kgtoGg</f>
        <v>1.2535066396214045</v>
      </c>
      <c r="Y138" s="23">
        <f>SUM('Activity data'!Y50:Y65)*FracGASM*MSVolatEF*NtoN2O*kgtoGg</f>
        <v>1.2858895838473561</v>
      </c>
      <c r="Z138" s="23">
        <f>SUM('Activity data'!Z50:Z65)*FracGASM*MSVolatEF*NtoN2O*kgtoGg</f>
        <v>1.349967083880858</v>
      </c>
      <c r="AA138" s="23">
        <f>SUM('Activity data'!AA50:AA65)*FracGASM*MSVolatEF*NtoN2O*kgtoGg</f>
        <v>1.3442823714612291</v>
      </c>
      <c r="AB138" s="23">
        <f>SUM('Activity data'!AB50:AB65)*FracGASM*MSVolatEF*NtoN2O*kgtoGg</f>
        <v>1.3395719314509447</v>
      </c>
      <c r="AC138" s="23">
        <f>SUM('Activity data'!AC50:AC65)*FracGASM*MSVolatEF*NtoN2O*kgtoGg</f>
        <v>1.3410137129702058</v>
      </c>
      <c r="AD138" s="23">
        <f>SUM('Activity data'!AD50:AD65)*FracGASM*MSVolatEF*NtoN2O*kgtoGg</f>
        <v>1.2620485694494605</v>
      </c>
      <c r="AE138" s="23">
        <f>SUM('Activity data'!AE50:AE65)*FracGASM*MSVolatEF*NtoN2O*kgtoGg</f>
        <v>1.3792437975373482</v>
      </c>
      <c r="AF138" s="23">
        <f>SUM('Activity data'!AF50:AF65)*FracGASM*MSVolatEF*NtoN2O*kgtoGg</f>
        <v>1.3617686719536677</v>
      </c>
      <c r="AG138" s="23">
        <f>SUM('Activity data'!AG50:AG65)*FracGASM*MSVolatEF*NtoN2O*kgtoGg</f>
        <v>1.3628837496056347</v>
      </c>
      <c r="AH138" s="23">
        <f>SUM('Activity data'!AH50:AH65)*FracGASM*MSVolatEF*NtoN2O*kgtoGg</f>
        <v>1.35309554875006</v>
      </c>
      <c r="AI138" s="23">
        <f>SUM('Activity data'!AI50:AI65)*FracGASM*MSVolatEF*NtoN2O*kgtoGg</f>
        <v>1.3602488227518148</v>
      </c>
      <c r="AJ138" s="23">
        <f>SUM('Activity data'!AJ50:AJ65)*FracGASM*MSVolatEF*NtoN2O*kgtoGg</f>
        <v>1.3848270627770169</v>
      </c>
      <c r="AK138" s="23">
        <f>SUM('Activity data'!AK50:AK65)*FracGASM*MSVolatEF*NtoN2O*kgtoGg</f>
        <v>1.4587383813327015</v>
      </c>
      <c r="AL138" s="23">
        <f>SUM('Activity data'!AL50:AL65)*FracGASM*MSVolatEF*NtoN2O*kgtoGg</f>
        <v>1.4659791230060732</v>
      </c>
      <c r="AM138" s="23">
        <f>SUM('Activity data'!AM50:AM65)*FracGASM*MSVolatEF*NtoN2O*kgtoGg</f>
        <v>1.4764525466068876</v>
      </c>
      <c r="AN138" s="23">
        <f>SUM('Activity data'!AN50:AN65)*FracGASM*MSVolatEF*NtoN2O*kgtoGg</f>
        <v>1.4868985348869312</v>
      </c>
      <c r="AO138" s="23">
        <f>SUM('Activity data'!AO50:AO65)*FracGASM*MSVolatEF*NtoN2O*kgtoGg</f>
        <v>1.4973506816052591</v>
      </c>
      <c r="AP138" s="23">
        <f>SUM('Activity data'!AP50:AP65)*FracGASM*MSVolatEF*NtoN2O*kgtoGg</f>
        <v>1.5077792104925978</v>
      </c>
      <c r="AQ138" s="23">
        <f>SUM('Activity data'!AQ50:AQ65)*FracGASM*MSVolatEF*NtoN2O*kgtoGg</f>
        <v>1.5182351338122002</v>
      </c>
      <c r="AR138" s="23">
        <f>SUM('Activity data'!AR50:AR65)*FracGASM*MSVolatEF*NtoN2O*kgtoGg</f>
        <v>1.5296325187275168</v>
      </c>
      <c r="AS138" s="23">
        <f>SUM('Activity data'!AS50:AS65)*FracGASM*MSVolatEF*NtoN2O*kgtoGg</f>
        <v>1.5410226401664233</v>
      </c>
      <c r="AT138" s="23">
        <f>SUM('Activity data'!AT50:AT65)*FracGASM*MSVolatEF*NtoN2O*kgtoGg</f>
        <v>1.5524498422395199</v>
      </c>
      <c r="AU138" s="23">
        <f>SUM('Activity data'!AU50:AU65)*FracGASM*MSVolatEF*NtoN2O*kgtoGg</f>
        <v>1.5639045780045162</v>
      </c>
      <c r="AV138" s="23">
        <f>SUM('Activity data'!AV50:AV65)*FracGASM*MSVolatEF*NtoN2O*kgtoGg</f>
        <v>1.5753893605319891</v>
      </c>
      <c r="AW138" s="23">
        <f>SUM('Activity data'!AW50:AW65)*FracGASM*MSVolatEF*NtoN2O*kgtoGg</f>
        <v>1.5866906016304347</v>
      </c>
      <c r="AX138" s="23">
        <f>SUM('Activity data'!AX50:AX65)*FracGASM*MSVolatEF*NtoN2O*kgtoGg</f>
        <v>1.5979424450374637</v>
      </c>
      <c r="AY138" s="23">
        <f>SUM('Activity data'!AY50:AY65)*FracGASM*MSVolatEF*NtoN2O*kgtoGg</f>
        <v>1.6093057045659849</v>
      </c>
      <c r="AZ138" s="23">
        <f>SUM('Activity data'!AZ50:AZ65)*FracGASM*MSVolatEF*NtoN2O*kgtoGg</f>
        <v>1.6207468533753748</v>
      </c>
      <c r="BA138" s="23">
        <f>SUM('Activity data'!BA50:BA65)*FracGASM*MSVolatEF*NtoN2O*kgtoGg</f>
        <v>1.6322701073562569</v>
      </c>
      <c r="BB138" s="23">
        <f>SUM('Activity data'!BB50:BB65)*FracGASM*MSVolatEF*NtoN2O*kgtoGg</f>
        <v>1.644233813219435</v>
      </c>
      <c r="BC138" s="23">
        <f>SUM('Activity data'!BC50:BC65)*FracGASM*MSVolatEF*NtoN2O*kgtoGg</f>
        <v>1.6562539934504401</v>
      </c>
      <c r="BD138" s="23">
        <f>SUM('Activity data'!BD50:BD65)*FracGASM*MSVolatEF*NtoN2O*kgtoGg</f>
        <v>1.66829515349883</v>
      </c>
      <c r="BE138" s="23">
        <f>SUM('Activity data'!BE50:BE65)*FracGASM*MSVolatEF*NtoN2O*kgtoGg</f>
        <v>1.6803933206947248</v>
      </c>
      <c r="BF138" s="23">
        <f>SUM('Activity data'!BF50:BF65)*FracGASM*MSVolatEF*NtoN2O*kgtoGg</f>
        <v>1.6925803952322849</v>
      </c>
      <c r="BG138" s="23">
        <f>SUM('Activity data'!BG50:BG65)*FracGASM*MSVolatEF*NtoN2O*kgtoGg</f>
        <v>1.7063378188876026</v>
      </c>
      <c r="BH138" s="23">
        <f>SUM('Activity data'!BH50:BH65)*FracGASM*MSVolatEF*NtoN2O*kgtoGg</f>
        <v>1.7201634936686729</v>
      </c>
      <c r="BI138" s="23">
        <f>SUM('Activity data'!BI50:BI65)*FracGASM*MSVolatEF*NtoN2O*kgtoGg</f>
        <v>1.7340535292380614</v>
      </c>
      <c r="BJ138" s="23">
        <f>SUM('Activity data'!BJ50:BJ65)*FracGASM*MSVolatEF*NtoN2O*kgtoGg</f>
        <v>1.7480175289722539</v>
      </c>
      <c r="BK138" s="23">
        <f>SUM('Activity data'!BK50:BK65)*FracGASM*MSVolatEF*NtoN2O*kgtoGg</f>
        <v>1.7620935684591279</v>
      </c>
      <c r="BL138" s="23">
        <f>SUM('Activity data'!BL50:BL65)*FracGASM*MSVolatEF*NtoN2O*kgtoGg</f>
        <v>1.775835686403074</v>
      </c>
      <c r="BM138" s="23">
        <f>SUM('Activity data'!BM50:BM65)*FracGASM*MSVolatEF*NtoN2O*kgtoGg</f>
        <v>1.7896744081639038</v>
      </c>
      <c r="BN138" s="23">
        <f>SUM('Activity data'!BN50:BN65)*FracGASM*MSVolatEF*NtoN2O*kgtoGg</f>
        <v>1.8035373549734541</v>
      </c>
      <c r="BO138" s="23">
        <f>SUM('Activity data'!BO50:BO65)*FracGASM*MSVolatEF*NtoN2O*kgtoGg</f>
        <v>1.8175056608019518</v>
      </c>
      <c r="BP138" s="23">
        <f>SUM('Activity data'!BP50:BP65)*FracGASM*MSVolatEF*NtoN2O*kgtoGg</f>
        <v>1.8315881179075941</v>
      </c>
    </row>
    <row r="139" spans="1:68" x14ac:dyDescent="0.25">
      <c r="A139" t="str">
        <f t="shared" si="29"/>
        <v>3C Aggregated and non-CO2 emissions on land</v>
      </c>
      <c r="B139" t="str">
        <f t="shared" si="42"/>
        <v>3C5 Indirect N2O from managed soils (N2O)</v>
      </c>
      <c r="C139" t="str">
        <f t="shared" si="43"/>
        <v>Volatilisation</v>
      </c>
      <c r="D139" t="s">
        <v>513</v>
      </c>
      <c r="E139" t="str">
        <f t="shared" si="32"/>
        <v>Volatilisation - Urine &amp; dung</v>
      </c>
      <c r="F139" t="str">
        <f t="shared" si="36"/>
        <v>N2O</v>
      </c>
      <c r="G139" t="str">
        <f t="shared" si="37"/>
        <v>Gg N2O</v>
      </c>
      <c r="H139" s="23">
        <f>SUM('Activity data'!H66:H81)*FracGASM*MSVolatEF*NtoN2O*kgtoGg</f>
        <v>5.5304175845854786</v>
      </c>
      <c r="I139" s="23">
        <f>SUM('Activity data'!I66:I81)*FracGASM*MSVolatEF*NtoN2O*kgtoGg</f>
        <v>5.4074521211782089</v>
      </c>
      <c r="J139" s="23">
        <f>SUM('Activity data'!J66:J81)*FracGASM*MSVolatEF*NtoN2O*kgtoGg</f>
        <v>5.2823047984797347</v>
      </c>
      <c r="K139" s="23">
        <f>SUM('Activity data'!K66:K81)*FracGASM*MSVolatEF*NtoN2O*kgtoGg</f>
        <v>5.0398867434402899</v>
      </c>
      <c r="L139" s="23">
        <f>SUM('Activity data'!L66:L81)*FracGASM*MSVolatEF*NtoN2O*kgtoGg</f>
        <v>4.9814020580222307</v>
      </c>
      <c r="M139" s="23">
        <f>SUM('Activity data'!M66:M81)*FracGASM*MSVolatEF*NtoN2O*kgtoGg</f>
        <v>4.9987389476045649</v>
      </c>
      <c r="N139" s="23">
        <f>SUM('Activity data'!N66:N81)*FracGASM*MSVolatEF*NtoN2O*kgtoGg</f>
        <v>5.1060214053238973</v>
      </c>
      <c r="O139" s="23">
        <f>SUM('Activity data'!O66:O81)*FracGASM*MSVolatEF*NtoN2O*kgtoGg</f>
        <v>5.1558313323816245</v>
      </c>
      <c r="P139" s="23">
        <f>SUM('Activity data'!P66:P81)*FracGASM*MSVolatEF*NtoN2O*kgtoGg</f>
        <v>5.211363521592439</v>
      </c>
      <c r="Q139" s="23">
        <f>SUM('Activity data'!Q66:Q81)*FracGASM*MSVolatEF*NtoN2O*kgtoGg</f>
        <v>5.1742238582558278</v>
      </c>
      <c r="R139" s="23">
        <f>SUM('Activity data'!R66:R81)*FracGASM*MSVolatEF*NtoN2O*kgtoGg</f>
        <v>5.0715915510996616</v>
      </c>
      <c r="S139" s="23">
        <f>SUM('Activity data'!S66:S81)*FracGASM*MSVolatEF*NtoN2O*kgtoGg</f>
        <v>5.0286840038098575</v>
      </c>
      <c r="T139" s="23">
        <f>SUM('Activity data'!T66:T81)*FracGASM*MSVolatEF*NtoN2O*kgtoGg</f>
        <v>4.9187159875262481</v>
      </c>
      <c r="U139" s="23">
        <f>SUM('Activity data'!U66:U81)*FracGASM*MSVolatEF*NtoN2O*kgtoGg</f>
        <v>4.9316270206441963</v>
      </c>
      <c r="V139" s="23">
        <f>SUM('Activity data'!V66:V81)*FracGASM*MSVolatEF*NtoN2O*kgtoGg</f>
        <v>4.886812891060722</v>
      </c>
      <c r="W139" s="23">
        <f>SUM('Activity data'!W66:W81)*FracGASM*MSVolatEF*NtoN2O*kgtoGg</f>
        <v>4.8886820875697863</v>
      </c>
      <c r="X139" s="23">
        <f>SUM('Activity data'!X66:X81)*FracGASM*MSVolatEF*NtoN2O*kgtoGg</f>
        <v>4.8663896128544319</v>
      </c>
      <c r="Y139" s="23">
        <f>SUM('Activity data'!Y66:Y81)*FracGASM*MSVolatEF*NtoN2O*kgtoGg</f>
        <v>4.9409107713265357</v>
      </c>
      <c r="Z139" s="23">
        <f>SUM('Activity data'!Z66:Z81)*FracGASM*MSVolatEF*NtoN2O*kgtoGg</f>
        <v>4.9560621236128402</v>
      </c>
      <c r="AA139" s="23">
        <f>SUM('Activity data'!AA66:AA81)*FracGASM*MSVolatEF*NtoN2O*kgtoGg</f>
        <v>4.9197919241009656</v>
      </c>
      <c r="AB139" s="23">
        <f>SUM('Activity data'!AB66:AB81)*FracGASM*MSVolatEF*NtoN2O*kgtoGg</f>
        <v>4.8671147126680641</v>
      </c>
      <c r="AC139" s="23">
        <f>SUM('Activity data'!AC66:AC81)*FracGASM*MSVolatEF*NtoN2O*kgtoGg</f>
        <v>4.834839808728816</v>
      </c>
      <c r="AD139" s="23">
        <f>SUM('Activity data'!AD66:AD81)*FracGASM*MSVolatEF*NtoN2O*kgtoGg</f>
        <v>4.9530673434888364</v>
      </c>
      <c r="AE139" s="23">
        <f>SUM('Activity data'!AE66:AE81)*FracGASM*MSVolatEF*NtoN2O*kgtoGg</f>
        <v>4.8762773666611476</v>
      </c>
      <c r="AF139" s="23">
        <f>SUM('Activity data'!AF66:AF81)*FracGASM*MSVolatEF*NtoN2O*kgtoGg</f>
        <v>4.8452646431145068</v>
      </c>
      <c r="AG139" s="23">
        <f>SUM('Activity data'!AG66:AG81)*FracGASM*MSVolatEF*NtoN2O*kgtoGg</f>
        <v>4.7785424482967898</v>
      </c>
      <c r="AH139" s="23">
        <f>SUM('Activity data'!AH66:AH81)*FracGASM*MSVolatEF*NtoN2O*kgtoGg</f>
        <v>4.6497916336722316</v>
      </c>
      <c r="AI139" s="23">
        <f>SUM('Activity data'!AI66:AI81)*FracGASM*MSVolatEF*NtoN2O*kgtoGg</f>
        <v>4.5083108237155702</v>
      </c>
      <c r="AJ139" s="23">
        <f>SUM('Activity data'!AJ66:AJ81)*FracGASM*MSVolatEF*NtoN2O*kgtoGg</f>
        <v>4.8102561254751128</v>
      </c>
      <c r="AK139" s="23">
        <f>SUM('Activity data'!AK66:AK81)*FracGASM*MSVolatEF*NtoN2O*kgtoGg</f>
        <v>4.9248614734078426</v>
      </c>
      <c r="AL139" s="23">
        <f>SUM('Activity data'!AL66:AL81)*FracGASM*MSVolatEF*NtoN2O*kgtoGg</f>
        <v>4.9180709026193297</v>
      </c>
      <c r="AM139" s="23">
        <f>SUM('Activity data'!AM66:AM81)*FracGASM*MSVolatEF*NtoN2O*kgtoGg</f>
        <v>4.9173694771831897</v>
      </c>
      <c r="AN139" s="23">
        <f>SUM('Activity data'!AN66:AN81)*FracGASM*MSVolatEF*NtoN2O*kgtoGg</f>
        <v>4.9166123399308388</v>
      </c>
      <c r="AO139" s="23">
        <f>SUM('Activity data'!AO66:AO81)*FracGASM*MSVolatEF*NtoN2O*kgtoGg</f>
        <v>4.9158656938305123</v>
      </c>
      <c r="AP139" s="23">
        <f>SUM('Activity data'!AP66:AP81)*FracGASM*MSVolatEF*NtoN2O*kgtoGg</f>
        <v>4.915071132120775</v>
      </c>
      <c r="AQ139" s="23">
        <f>SUM('Activity data'!AQ66:AQ81)*FracGASM*MSVolatEF*NtoN2O*kgtoGg</f>
        <v>4.9143288078288263</v>
      </c>
      <c r="AR139" s="23">
        <f>SUM('Activity data'!AR66:AR81)*FracGASM*MSVolatEF*NtoN2O*kgtoGg</f>
        <v>4.9136589227311616</v>
      </c>
      <c r="AS139" s="23">
        <f>SUM('Activity data'!AS66:AS81)*FracGASM*MSVolatEF*NtoN2O*kgtoGg</f>
        <v>4.9129727976787141</v>
      </c>
      <c r="AT139" s="23">
        <f>SUM('Activity data'!AT66:AT81)*FracGASM*MSVolatEF*NtoN2O*kgtoGg</f>
        <v>4.9123571352168289</v>
      </c>
      <c r="AU139" s="23">
        <f>SUM('Activity data'!AU66:AU81)*FracGASM*MSVolatEF*NtoN2O*kgtoGg</f>
        <v>4.9117931291023877</v>
      </c>
      <c r="AV139" s="23">
        <f>SUM('Activity data'!AV66:AV81)*FracGASM*MSVolatEF*NtoN2O*kgtoGg</f>
        <v>4.9112855602295067</v>
      </c>
      <c r="AW139" s="23">
        <f>SUM('Activity data'!AW66:AW81)*FracGASM*MSVolatEF*NtoN2O*kgtoGg</f>
        <v>4.9111948717077496</v>
      </c>
      <c r="AX139" s="23">
        <f>SUM('Activity data'!AX66:AX81)*FracGASM*MSVolatEF*NtoN2O*kgtoGg</f>
        <v>4.9110053371367481</v>
      </c>
      <c r="AY139" s="23">
        <f>SUM('Activity data'!AY66:AY81)*FracGASM*MSVolatEF*NtoN2O*kgtoGg</f>
        <v>4.911029729673885</v>
      </c>
      <c r="AZ139" s="23">
        <f>SUM('Activity data'!AZ66:AZ81)*FracGASM*MSVolatEF*NtoN2O*kgtoGg</f>
        <v>4.9112024144932933</v>
      </c>
      <c r="BA139" s="23">
        <f>SUM('Activity data'!BA66:BA81)*FracGASM*MSVolatEF*NtoN2O*kgtoGg</f>
        <v>4.9115312061831418</v>
      </c>
      <c r="BB139" s="23">
        <f>SUM('Activity data'!BB66:BB81)*FracGASM*MSVolatEF*NtoN2O*kgtoGg</f>
        <v>4.9118450438373245</v>
      </c>
      <c r="BC139" s="23">
        <f>SUM('Activity data'!BC66:BC81)*FracGASM*MSVolatEF*NtoN2O*kgtoGg</f>
        <v>4.9122647342942267</v>
      </c>
      <c r="BD139" s="23">
        <f>SUM('Activity data'!BD66:BD81)*FracGASM*MSVolatEF*NtoN2O*kgtoGg</f>
        <v>4.9127214335791027</v>
      </c>
      <c r="BE139" s="23">
        <f>SUM('Activity data'!BE66:BE81)*FracGASM*MSVolatEF*NtoN2O*kgtoGg</f>
        <v>4.9132847096098171</v>
      </c>
      <c r="BF139" s="23">
        <f>SUM('Activity data'!BF66:BF81)*FracGASM*MSVolatEF*NtoN2O*kgtoGg</f>
        <v>4.9140159127819736</v>
      </c>
      <c r="BG139" s="23">
        <f>SUM('Activity data'!BG66:BG81)*FracGASM*MSVolatEF*NtoN2O*kgtoGg</f>
        <v>4.9145480995970798</v>
      </c>
      <c r="BH139" s="23">
        <f>SUM('Activity data'!BH66:BH81)*FracGASM*MSVolatEF*NtoN2O*kgtoGg</f>
        <v>4.9152074424532657</v>
      </c>
      <c r="BI139" s="23">
        <f>SUM('Activity data'!BI66:BI81)*FracGASM*MSVolatEF*NtoN2O*kgtoGg</f>
        <v>4.9159861878498328</v>
      </c>
      <c r="BJ139" s="23">
        <f>SUM('Activity data'!BJ66:BJ81)*FracGASM*MSVolatEF*NtoN2O*kgtoGg</f>
        <v>4.9169025590096851</v>
      </c>
      <c r="BK139" s="23">
        <f>SUM('Activity data'!BK66:BK81)*FracGASM*MSVolatEF*NtoN2O*kgtoGg</f>
        <v>4.9180293914185302</v>
      </c>
      <c r="BL139" s="23">
        <f>SUM('Activity data'!BL66:BL81)*FracGASM*MSVolatEF*NtoN2O*kgtoGg</f>
        <v>4.919424243403351</v>
      </c>
      <c r="BM139" s="23">
        <f>SUM('Activity data'!BM66:BM81)*FracGASM*MSVolatEF*NtoN2O*kgtoGg</f>
        <v>4.920999219264969</v>
      </c>
      <c r="BN139" s="23">
        <f>SUM('Activity data'!BN66:BN81)*FracGASM*MSVolatEF*NtoN2O*kgtoGg</f>
        <v>4.9226153494735216</v>
      </c>
      <c r="BO139" s="23">
        <f>SUM('Activity data'!BO66:BO81)*FracGASM*MSVolatEF*NtoN2O*kgtoGg</f>
        <v>4.9244279014851742</v>
      </c>
      <c r="BP139" s="23">
        <f>SUM('Activity data'!BP66:BP81)*FracGASM*MSVolatEF*NtoN2O*kgtoGg</f>
        <v>4.9264533067443947</v>
      </c>
    </row>
    <row r="140" spans="1:68" x14ac:dyDescent="0.25">
      <c r="A140" t="str">
        <f t="shared" ref="A140" si="44">A139</f>
        <v>3C Aggregated and non-CO2 emissions on land</v>
      </c>
      <c r="B140" t="str">
        <f t="shared" ref="B140" si="45">B139</f>
        <v>3C5 Indirect N2O from managed soils (N2O)</v>
      </c>
      <c r="C140" t="str">
        <f>'IPCC Categories'!C79</f>
        <v>Leaching/runoff</v>
      </c>
      <c r="D140" t="str">
        <f>D136</f>
        <v xml:space="preserve"> - Synthetic fertlisers</v>
      </c>
      <c r="E140" t="str">
        <f t="shared" ref="E140:E144" si="46">C140&amp;D140</f>
        <v>Leaching/runoff - Synthetic fertlisers</v>
      </c>
      <c r="F140" t="str">
        <f t="shared" ref="F140:F188" si="47">F139</f>
        <v>N2O</v>
      </c>
      <c r="G140" t="str">
        <f t="shared" ref="G140:G188" si="48">G139</f>
        <v>Gg N2O</v>
      </c>
      <c r="H140" s="23">
        <f>'Activity data'!H47*FracLEACH*MSLeachEF*NtoN2O*kgtoGg</f>
        <v>1.8632853642857139E-4</v>
      </c>
      <c r="I140" s="23">
        <f>'Activity data'!I47*FracLEACH*MSLeachEF*NtoN2O*kgtoGg</f>
        <v>1.9790111785714283E-4</v>
      </c>
      <c r="J140" s="23">
        <f>'Activity data'!J47*FracLEACH*MSLeachEF*NtoN2O*kgtoGg</f>
        <v>1.884081964285714E-4</v>
      </c>
      <c r="K140" s="23">
        <f>'Activity data'!K47*FracLEACH*MSLeachEF*NtoN2O*kgtoGg</f>
        <v>2.2144312928571426E-4</v>
      </c>
      <c r="L140" s="23">
        <f>'Activity data'!L47*FracLEACH*MSLeachEF*NtoN2O*kgtoGg</f>
        <v>2.0333935285714286E-4</v>
      </c>
      <c r="M140" s="23">
        <f>'Activity data'!M47*FracLEACH*MSLeachEF*NtoN2O*kgtoGg</f>
        <v>2.0140119214285713E-4</v>
      </c>
      <c r="N140" s="23">
        <f>'Activity data'!N47*FracLEACH*MSLeachEF*NtoN2O*kgtoGg</f>
        <v>2.250348257142857E-4</v>
      </c>
      <c r="O140" s="23">
        <f>'Activity data'!O47*FracLEACH*MSLeachEF*NtoN2O*kgtoGg</f>
        <v>2.2060551857142855E-4</v>
      </c>
      <c r="P140" s="23">
        <f>'Activity data'!P47*FracLEACH*MSLeachEF*NtoN2O*kgtoGg</f>
        <v>2.2527174214285716E-4</v>
      </c>
      <c r="Q140" s="23">
        <f>'Activity data'!Q47*FracLEACH*MSLeachEF*NtoN2O*kgtoGg</f>
        <v>2.2392939642857141E-4</v>
      </c>
      <c r="R140" s="23">
        <f>'Activity data'!R47*FracLEACH*MSLeachEF*NtoN2O*kgtoGg</f>
        <v>2.25495105E-4</v>
      </c>
      <c r="S140" s="23">
        <f>'Activity data'!S47*FracLEACH*MSLeachEF*NtoN2O*kgtoGg</f>
        <v>2.1458719071428572E-4</v>
      </c>
      <c r="T140" s="23">
        <f>'Activity data'!T47*FracLEACH*MSLeachEF*NtoN2O*kgtoGg</f>
        <v>2.5864117714285707E-4</v>
      </c>
      <c r="U140" s="23">
        <f>'Activity data'!U47*FracLEACH*MSLeachEF*NtoN2O*kgtoGg</f>
        <v>2.2814835214285712E-4</v>
      </c>
      <c r="V140" s="23">
        <f>'Activity data'!V47*FracLEACH*MSLeachEF*NtoN2O*kgtoGg</f>
        <v>2.3180456357142852E-4</v>
      </c>
      <c r="W140" s="23">
        <f>'Activity data'!W47*FracLEACH*MSLeachEF*NtoN2O*kgtoGg</f>
        <v>1.8826452857142854E-4</v>
      </c>
      <c r="X140" s="23">
        <f>'Activity data'!X47*FracLEACH*MSLeachEF*NtoN2O*kgtoGg</f>
        <v>2.3242694357142855E-4</v>
      </c>
      <c r="Y140" s="23">
        <f>'Activity data'!Y47*FracLEACH*MSLeachEF*NtoN2O*kgtoGg</f>
        <v>2.382609428571428E-4</v>
      </c>
      <c r="Z140" s="23">
        <f>'Activity data'!Z47*FracLEACH*MSLeachEF*NtoN2O*kgtoGg</f>
        <v>2.2993525499999997E-4</v>
      </c>
      <c r="AA140" s="23">
        <f>'Activity data'!AA47*FracLEACH*MSLeachEF*NtoN2O*kgtoGg</f>
        <v>2.4601195928571426E-4</v>
      </c>
      <c r="AB140" s="23">
        <f>'Activity data'!AB47*FracLEACH*MSLeachEF*NtoN2O*kgtoGg</f>
        <v>2.1414642857142856E-4</v>
      </c>
      <c r="AC140" s="23">
        <f>'Activity data'!AC47*FracLEACH*MSLeachEF*NtoN2O*kgtoGg</f>
        <v>2.2715785714285715E-4</v>
      </c>
      <c r="AD140" s="23">
        <f>'Activity data'!AD47*FracLEACH*MSLeachEF*NtoN2O*kgtoGg</f>
        <v>2.3312142857142857E-4</v>
      </c>
      <c r="AE140" s="23">
        <f>'Activity data'!AE47*FracLEACH*MSLeachEF*NtoN2O*kgtoGg</f>
        <v>2.2580249999999997E-4</v>
      </c>
      <c r="AF140" s="23">
        <f>'Activity data'!AF47*FracLEACH*MSLeachEF*NtoN2O*kgtoGg</f>
        <v>2.426344092857143E-4</v>
      </c>
      <c r="AG140" s="23">
        <f>'Activity data'!AG47*FracLEACH*MSLeachEF*NtoN2O*kgtoGg</f>
        <v>2.1837080571428572E-4</v>
      </c>
      <c r="AH140" s="23">
        <f>'Activity data'!AH47*FracLEACH*MSLeachEF*NtoN2O*kgtoGg</f>
        <v>2.3312142857142857E-4</v>
      </c>
      <c r="AI140" s="23">
        <f>'Activity data'!AI47*FracLEACH*MSLeachEF*NtoN2O*kgtoGg</f>
        <v>2.4011507142857139E-4</v>
      </c>
      <c r="AJ140" s="23">
        <f>'Activity data'!AJ47*FracLEACH*MSLeachEF*NtoN2O*kgtoGg</f>
        <v>2.3016121333629258E-4</v>
      </c>
      <c r="AK140" s="23">
        <f>'Activity data'!AK47*FracLEACH*MSLeachEF*NtoN2O*kgtoGg</f>
        <v>2.306241073086848E-4</v>
      </c>
      <c r="AL140" s="23">
        <f>'Activity data'!AL47*FracLEACH*MSLeachEF*NtoN2O*kgtoGg</f>
        <v>2.3108700128107707E-4</v>
      </c>
      <c r="AM140" s="23">
        <f>'Activity data'!AM47*FracLEACH*MSLeachEF*NtoN2O*kgtoGg</f>
        <v>2.3155619426900751E-4</v>
      </c>
      <c r="AN140" s="23">
        <f>'Activity data'!AN47*FracLEACH*MSLeachEF*NtoN2O*kgtoGg</f>
        <v>2.3202538724827743E-4</v>
      </c>
      <c r="AO140" s="23">
        <f>'Activity data'!AO47*FracLEACH*MSLeachEF*NtoN2O*kgtoGg</f>
        <v>2.3249458022754735E-4</v>
      </c>
      <c r="AP140" s="23">
        <f>'Activity data'!AP47*FracLEACH*MSLeachEF*NtoN2O*kgtoGg</f>
        <v>2.3296377320681724E-4</v>
      </c>
      <c r="AQ140" s="23">
        <f>'Activity data'!AQ47*FracLEACH*MSLeachEF*NtoN2O*kgtoGg</f>
        <v>2.3343296619474766E-4</v>
      </c>
      <c r="AR140" s="23">
        <f>'Activity data'!AR47*FracLEACH*MSLeachEF*NtoN2O*kgtoGg</f>
        <v>2.3343296619474766E-4</v>
      </c>
      <c r="AS140" s="23">
        <f>'Activity data'!AS47*FracLEACH*MSLeachEF*NtoN2O*kgtoGg</f>
        <v>2.3343296619474766E-4</v>
      </c>
      <c r="AT140" s="23">
        <f>'Activity data'!AT47*FracLEACH*MSLeachEF*NtoN2O*kgtoGg</f>
        <v>2.3343296619474766E-4</v>
      </c>
      <c r="AU140" s="23">
        <f>'Activity data'!AU47*FracLEACH*MSLeachEF*NtoN2O*kgtoGg</f>
        <v>2.3343296619474766E-4</v>
      </c>
      <c r="AV140" s="23">
        <f>'Activity data'!AV47*FracLEACH*MSLeachEF*NtoN2O*kgtoGg</f>
        <v>2.3343296619474766E-4</v>
      </c>
      <c r="AW140" s="23">
        <f>'Activity data'!AW47*FracLEACH*MSLeachEF*NtoN2O*kgtoGg</f>
        <v>2.3343296619474766E-4</v>
      </c>
      <c r="AX140" s="23">
        <f>'Activity data'!AX47*FracLEACH*MSLeachEF*NtoN2O*kgtoGg</f>
        <v>2.3343296619474766E-4</v>
      </c>
      <c r="AY140" s="23">
        <f>'Activity data'!AY47*FracLEACH*MSLeachEF*NtoN2O*kgtoGg</f>
        <v>2.3343296619474766E-4</v>
      </c>
      <c r="AZ140" s="23">
        <f>'Activity data'!AZ47*FracLEACH*MSLeachEF*NtoN2O*kgtoGg</f>
        <v>2.3343296619474766E-4</v>
      </c>
      <c r="BA140" s="23">
        <f>'Activity data'!BA47*FracLEACH*MSLeachEF*NtoN2O*kgtoGg</f>
        <v>2.3343296619474766E-4</v>
      </c>
      <c r="BB140" s="23">
        <f>'Activity data'!BB47*FracLEACH*MSLeachEF*NtoN2O*kgtoGg</f>
        <v>2.3343296619474766E-4</v>
      </c>
      <c r="BC140" s="23">
        <f>'Activity data'!BC47*FracLEACH*MSLeachEF*NtoN2O*kgtoGg</f>
        <v>2.3343296619474766E-4</v>
      </c>
      <c r="BD140" s="23">
        <f>'Activity data'!BD47*FracLEACH*MSLeachEF*NtoN2O*kgtoGg</f>
        <v>2.3343296619474766E-4</v>
      </c>
      <c r="BE140" s="23">
        <f>'Activity data'!BE47*FracLEACH*MSLeachEF*NtoN2O*kgtoGg</f>
        <v>2.3343296619474766E-4</v>
      </c>
      <c r="BF140" s="23">
        <f>'Activity data'!BF47*FracLEACH*MSLeachEF*NtoN2O*kgtoGg</f>
        <v>2.3343296619474766E-4</v>
      </c>
      <c r="BG140" s="23">
        <f>'Activity data'!BG47*FracLEACH*MSLeachEF*NtoN2O*kgtoGg</f>
        <v>2.3343296619474766E-4</v>
      </c>
      <c r="BH140" s="23">
        <f>'Activity data'!BH47*FracLEACH*MSLeachEF*NtoN2O*kgtoGg</f>
        <v>2.3343296619474766E-4</v>
      </c>
      <c r="BI140" s="23">
        <f>'Activity data'!BI47*FracLEACH*MSLeachEF*NtoN2O*kgtoGg</f>
        <v>2.3343296619474766E-4</v>
      </c>
      <c r="BJ140" s="23">
        <f>'Activity data'!BJ47*FracLEACH*MSLeachEF*NtoN2O*kgtoGg</f>
        <v>2.3343296619474766E-4</v>
      </c>
      <c r="BK140" s="23">
        <f>'Activity data'!BK47*FracLEACH*MSLeachEF*NtoN2O*kgtoGg</f>
        <v>2.3343296619474766E-4</v>
      </c>
      <c r="BL140" s="23">
        <f>'Activity data'!BL47*FracLEACH*MSLeachEF*NtoN2O*kgtoGg</f>
        <v>2.3343296619474766E-4</v>
      </c>
      <c r="BM140" s="23">
        <f>'Activity data'!BM47*FracLEACH*MSLeachEF*NtoN2O*kgtoGg</f>
        <v>2.3343296619474766E-4</v>
      </c>
      <c r="BN140" s="23">
        <f>'Activity data'!BN47*FracLEACH*MSLeachEF*NtoN2O*kgtoGg</f>
        <v>2.3343296619474766E-4</v>
      </c>
      <c r="BO140" s="23">
        <f>'Activity data'!BO47*FracLEACH*MSLeachEF*NtoN2O*kgtoGg</f>
        <v>2.3343296619474766E-4</v>
      </c>
      <c r="BP140" s="23">
        <f>'Activity data'!BP47*FracLEACH*MSLeachEF*NtoN2O*kgtoGg</f>
        <v>2.3343296619474766E-4</v>
      </c>
    </row>
    <row r="141" spans="1:68" x14ac:dyDescent="0.25">
      <c r="A141" t="str">
        <f t="shared" ref="A141" si="49">A140</f>
        <v>3C Aggregated and non-CO2 emissions on land</v>
      </c>
      <c r="B141" t="str">
        <f t="shared" ref="B141:C141" si="50">B140</f>
        <v>3C5 Indirect N2O from managed soils (N2O)</v>
      </c>
      <c r="C141" t="str">
        <f t="shared" si="50"/>
        <v>Leaching/runoff</v>
      </c>
      <c r="D141" t="str">
        <f t="shared" ref="D141:D143" si="51">D137</f>
        <v xml:space="preserve"> - Organic fertilisers</v>
      </c>
      <c r="E141" t="str">
        <f t="shared" si="46"/>
        <v>Leaching/runoff - Organic fertilisers</v>
      </c>
      <c r="F141" t="str">
        <f t="shared" si="47"/>
        <v>N2O</v>
      </c>
      <c r="G141" t="str">
        <f t="shared" si="48"/>
        <v>Gg N2O</v>
      </c>
      <c r="H141" s="23">
        <f>'Activity data'!H48*FracLEACH*MSLeachEF*NtoN2O*kgtoGg</f>
        <v>1.2297683404285713E-6</v>
      </c>
      <c r="I141" s="23">
        <f>'Activity data'!I48*FracLEACH*MSLeachEF*NtoN2O*kgtoGg</f>
        <v>1.3061473778571428E-6</v>
      </c>
      <c r="J141" s="23">
        <f>'Activity data'!J48*FracLEACH*MSLeachEF*NtoN2O*kgtoGg</f>
        <v>1.2434940964285714E-6</v>
      </c>
      <c r="K141" s="23">
        <f>'Activity data'!K48*FracLEACH*MSLeachEF*NtoN2O*kgtoGg</f>
        <v>1.4615246532857147E-6</v>
      </c>
      <c r="L141" s="23">
        <f>'Activity data'!L48*FracLEACH*MSLeachEF*NtoN2O*kgtoGg</f>
        <v>1.3420397288571429E-6</v>
      </c>
      <c r="M141" s="23">
        <f>'Activity data'!M48*FracLEACH*MSLeachEF*NtoN2O*kgtoGg</f>
        <v>1.3292478681428569E-6</v>
      </c>
      <c r="N141" s="23">
        <f>'Activity data'!N48*FracLEACH*MSLeachEF*NtoN2O*kgtoGg</f>
        <v>1.4852298497142859E-6</v>
      </c>
      <c r="O141" s="23">
        <f>'Activity data'!O48*FracLEACH*MSLeachEF*NtoN2O*kgtoGg</f>
        <v>1.4559964225714286E-6</v>
      </c>
      <c r="P141" s="23">
        <f>'Activity data'!P48*FracLEACH*MSLeachEF*NtoN2O*kgtoGg</f>
        <v>1.4867934981428574E-6</v>
      </c>
      <c r="Q141" s="23">
        <f>'Activity data'!Q48*FracLEACH*MSLeachEF*NtoN2O*kgtoGg</f>
        <v>1.4779340164285714E-6</v>
      </c>
      <c r="R141" s="23">
        <f>'Activity data'!R48*FracLEACH*MSLeachEF*NtoN2O*kgtoGg</f>
        <v>1.4882676930000004E-6</v>
      </c>
      <c r="S141" s="23">
        <f>'Activity data'!S48*FracLEACH*MSLeachEF*NtoN2O*kgtoGg</f>
        <v>1.4162754587142857E-6</v>
      </c>
      <c r="T141" s="23">
        <f>'Activity data'!T48*FracLEACH*MSLeachEF*NtoN2O*kgtoGg</f>
        <v>1.7070317691428573E-6</v>
      </c>
      <c r="U141" s="23">
        <f>'Activity data'!U48*FracLEACH*MSLeachEF*NtoN2O*kgtoGg</f>
        <v>1.5057791241428575E-6</v>
      </c>
      <c r="V141" s="23">
        <f>'Activity data'!V48*FracLEACH*MSLeachEF*NtoN2O*kgtoGg</f>
        <v>1.5299101195714285E-6</v>
      </c>
      <c r="W141" s="23">
        <f>'Activity data'!W48*FracLEACH*MSLeachEF*NtoN2O*kgtoGg</f>
        <v>1.2425458885714285E-6</v>
      </c>
      <c r="X141" s="23">
        <f>'Activity data'!X48*FracLEACH*MSLeachEF*NtoN2O*kgtoGg</f>
        <v>1.5340178275714286E-6</v>
      </c>
      <c r="Y141" s="23">
        <f>'Activity data'!Y48*FracLEACH*MSLeachEF*NtoN2O*kgtoGg</f>
        <v>1.5725222228571428E-6</v>
      </c>
      <c r="Z141" s="23">
        <f>'Activity data'!Z48*FracLEACH*MSLeachEF*NtoN2O*kgtoGg</f>
        <v>1.5175726830000002E-6</v>
      </c>
      <c r="AA141" s="23">
        <f>'Activity data'!AA48*FracLEACH*MSLeachEF*NtoN2O*kgtoGg</f>
        <v>1.6236789312857143E-6</v>
      </c>
      <c r="AB141" s="23">
        <f>'Activity data'!AB48*FracLEACH*MSLeachEF*NtoN2O*kgtoGg</f>
        <v>1.4133664285714284E-6</v>
      </c>
      <c r="AC141" s="23">
        <f>'Activity data'!AC48*FracLEACH*MSLeachEF*NtoN2O*kgtoGg</f>
        <v>1.4992418571428571E-6</v>
      </c>
      <c r="AD141" s="23">
        <f>'Activity data'!AD48*FracLEACH*MSLeachEF*NtoN2O*kgtoGg</f>
        <v>1.5386014285714284E-6</v>
      </c>
      <c r="AE141" s="23">
        <f>'Activity data'!AE48*FracLEACH*MSLeachEF*NtoN2O*kgtoGg</f>
        <v>1.4902964999999997E-6</v>
      </c>
      <c r="AF141" s="23">
        <f>'Activity data'!AF48*FracLEACH*MSLeachEF*NtoN2O*kgtoGg</f>
        <v>1.6013871012857143E-6</v>
      </c>
      <c r="AG141" s="23">
        <f>'Activity data'!AG48*FracLEACH*MSLeachEF*NtoN2O*kgtoGg</f>
        <v>1.4412473177142858E-6</v>
      </c>
      <c r="AH141" s="23">
        <f>'Activity data'!AH48*FracLEACH*MSLeachEF*NtoN2O*kgtoGg</f>
        <v>1.5386014285714284E-6</v>
      </c>
      <c r="AI141" s="23">
        <f>'Activity data'!AI48*FracLEACH*MSLeachEF*NtoN2O*kgtoGg</f>
        <v>1.5847594714285717E-6</v>
      </c>
      <c r="AJ141" s="23">
        <f>'Activity data'!AJ48*FracLEACH*MSLeachEF*NtoN2O*kgtoGg</f>
        <v>1.5190640080195314E-6</v>
      </c>
      <c r="AK141" s="23">
        <f>'Activity data'!AK48*FracLEACH*MSLeachEF*NtoN2O*kgtoGg</f>
        <v>1.5221191082373201E-6</v>
      </c>
      <c r="AL141" s="23">
        <f>'Activity data'!AL48*FracLEACH*MSLeachEF*NtoN2O*kgtoGg</f>
        <v>1.5251742084551092E-6</v>
      </c>
      <c r="AM141" s="23">
        <f>'Activity data'!AM48*FracLEACH*MSLeachEF*NtoN2O*kgtoGg</f>
        <v>1.5282708821754503E-6</v>
      </c>
      <c r="AN141" s="23">
        <f>'Activity data'!AN48*FracLEACH*MSLeachEF*NtoN2O*kgtoGg</f>
        <v>1.5313675558386312E-6</v>
      </c>
      <c r="AO141" s="23">
        <f>'Activity data'!AO48*FracLEACH*MSLeachEF*NtoN2O*kgtoGg</f>
        <v>1.5344642295018126E-6</v>
      </c>
      <c r="AP141" s="23">
        <f>'Activity data'!AP48*FracLEACH*MSLeachEF*NtoN2O*kgtoGg</f>
        <v>1.5375609031649942E-6</v>
      </c>
      <c r="AQ141" s="23">
        <f>'Activity data'!AQ48*FracLEACH*MSLeachEF*NtoN2O*kgtoGg</f>
        <v>1.5406575768853349E-6</v>
      </c>
      <c r="AR141" s="23">
        <f>'Activity data'!AR48*FracLEACH*MSLeachEF*NtoN2O*kgtoGg</f>
        <v>1.5406575768853349E-6</v>
      </c>
      <c r="AS141" s="23">
        <f>'Activity data'!AS48*FracLEACH*MSLeachEF*NtoN2O*kgtoGg</f>
        <v>1.5406575768853349E-6</v>
      </c>
      <c r="AT141" s="23">
        <f>'Activity data'!AT48*FracLEACH*MSLeachEF*NtoN2O*kgtoGg</f>
        <v>1.5406575768853349E-6</v>
      </c>
      <c r="AU141" s="23">
        <f>'Activity data'!AU48*FracLEACH*MSLeachEF*NtoN2O*kgtoGg</f>
        <v>1.5406575768853349E-6</v>
      </c>
      <c r="AV141" s="23">
        <f>'Activity data'!AV48*FracLEACH*MSLeachEF*NtoN2O*kgtoGg</f>
        <v>1.5406575768853349E-6</v>
      </c>
      <c r="AW141" s="23">
        <f>'Activity data'!AW48*FracLEACH*MSLeachEF*NtoN2O*kgtoGg</f>
        <v>1.5406575768853349E-6</v>
      </c>
      <c r="AX141" s="23">
        <f>'Activity data'!AX48*FracLEACH*MSLeachEF*NtoN2O*kgtoGg</f>
        <v>1.5406575768853349E-6</v>
      </c>
      <c r="AY141" s="23">
        <f>'Activity data'!AY48*FracLEACH*MSLeachEF*NtoN2O*kgtoGg</f>
        <v>1.5406575768853349E-6</v>
      </c>
      <c r="AZ141" s="23">
        <f>'Activity data'!AZ48*FracLEACH*MSLeachEF*NtoN2O*kgtoGg</f>
        <v>1.5406575768853349E-6</v>
      </c>
      <c r="BA141" s="23">
        <f>'Activity data'!BA48*FracLEACH*MSLeachEF*NtoN2O*kgtoGg</f>
        <v>1.5406575768853349E-6</v>
      </c>
      <c r="BB141" s="23">
        <f>'Activity data'!BB48*FracLEACH*MSLeachEF*NtoN2O*kgtoGg</f>
        <v>1.5406575768853349E-6</v>
      </c>
      <c r="BC141" s="23">
        <f>'Activity data'!BC48*FracLEACH*MSLeachEF*NtoN2O*kgtoGg</f>
        <v>1.5406575768853349E-6</v>
      </c>
      <c r="BD141" s="23">
        <f>'Activity data'!BD48*FracLEACH*MSLeachEF*NtoN2O*kgtoGg</f>
        <v>1.5406575768853349E-6</v>
      </c>
      <c r="BE141" s="23">
        <f>'Activity data'!BE48*FracLEACH*MSLeachEF*NtoN2O*kgtoGg</f>
        <v>1.5406575768853349E-6</v>
      </c>
      <c r="BF141" s="23">
        <f>'Activity data'!BF48*FracLEACH*MSLeachEF*NtoN2O*kgtoGg</f>
        <v>1.5406575768853349E-6</v>
      </c>
      <c r="BG141" s="23">
        <f>'Activity data'!BG48*FracLEACH*MSLeachEF*NtoN2O*kgtoGg</f>
        <v>1.5406575768853349E-6</v>
      </c>
      <c r="BH141" s="23">
        <f>'Activity data'!BH48*FracLEACH*MSLeachEF*NtoN2O*kgtoGg</f>
        <v>1.5406575768853349E-6</v>
      </c>
      <c r="BI141" s="23">
        <f>'Activity data'!BI48*FracLEACH*MSLeachEF*NtoN2O*kgtoGg</f>
        <v>1.5406575768853349E-6</v>
      </c>
      <c r="BJ141" s="23">
        <f>'Activity data'!BJ48*FracLEACH*MSLeachEF*NtoN2O*kgtoGg</f>
        <v>1.5406575768853349E-6</v>
      </c>
      <c r="BK141" s="23">
        <f>'Activity data'!BK48*FracLEACH*MSLeachEF*NtoN2O*kgtoGg</f>
        <v>1.5406575768853349E-6</v>
      </c>
      <c r="BL141" s="23">
        <f>'Activity data'!BL48*FracLEACH*MSLeachEF*NtoN2O*kgtoGg</f>
        <v>1.5406575768853349E-6</v>
      </c>
      <c r="BM141" s="23">
        <f>'Activity data'!BM48*FracLEACH*MSLeachEF*NtoN2O*kgtoGg</f>
        <v>1.5406575768853349E-6</v>
      </c>
      <c r="BN141" s="23">
        <f>'Activity data'!BN48*FracLEACH*MSLeachEF*NtoN2O*kgtoGg</f>
        <v>1.5406575768853349E-6</v>
      </c>
      <c r="BO141" s="23">
        <f>'Activity data'!BO48*FracLEACH*MSLeachEF*NtoN2O*kgtoGg</f>
        <v>1.5406575768853349E-6</v>
      </c>
      <c r="BP141" s="23">
        <f>'Activity data'!BP48*FracLEACH*MSLeachEF*NtoN2O*kgtoGg</f>
        <v>1.5406575768853349E-6</v>
      </c>
    </row>
    <row r="142" spans="1:68" x14ac:dyDescent="0.25">
      <c r="A142" t="str">
        <f t="shared" ref="A142:A145" si="52">A141</f>
        <v>3C Aggregated and non-CO2 emissions on land</v>
      </c>
      <c r="B142" t="str">
        <f t="shared" ref="B142:B144" si="53">B141</f>
        <v>3C5 Indirect N2O from managed soils (N2O)</v>
      </c>
      <c r="C142" t="str">
        <f t="shared" ref="C142:C156" si="54">C141</f>
        <v>Leaching/runoff</v>
      </c>
      <c r="D142" t="str">
        <f t="shared" si="51"/>
        <v xml:space="preserve"> - Managed manure</v>
      </c>
      <c r="E142" t="str">
        <f t="shared" si="46"/>
        <v>Leaching/runoff - Managed manure</v>
      </c>
      <c r="F142" t="str">
        <f t="shared" si="47"/>
        <v>N2O</v>
      </c>
      <c r="G142" t="str">
        <f t="shared" si="48"/>
        <v>Gg N2O</v>
      </c>
      <c r="H142" s="23">
        <f>SUM('Activity data'!H50:H65)*FracLEACH*MSLeachEF*NtoN2O*kgtoGg</f>
        <v>0.19084464140771618</v>
      </c>
      <c r="I142" s="23">
        <f>SUM('Activity data'!I50:I65)*FracLEACH*MSLeachEF*NtoN2O*kgtoGg</f>
        <v>0.20228683621162641</v>
      </c>
      <c r="J142" s="23">
        <f>SUM('Activity data'!J50:J65)*FracLEACH*MSLeachEF*NtoN2O*kgtoGg</f>
        <v>0.19628277337138794</v>
      </c>
      <c r="K142" s="23">
        <f>SUM('Activity data'!K50:K65)*FracLEACH*MSLeachEF*NtoN2O*kgtoGg</f>
        <v>0.19822277924540524</v>
      </c>
      <c r="L142" s="23">
        <f>SUM('Activity data'!L50:L65)*FracLEACH*MSLeachEF*NtoN2O*kgtoGg</f>
        <v>0.1825323111201699</v>
      </c>
      <c r="M142" s="23">
        <f>SUM('Activity data'!M50:M65)*FracLEACH*MSLeachEF*NtoN2O*kgtoGg</f>
        <v>0.18615764889509581</v>
      </c>
      <c r="N142" s="23">
        <f>SUM('Activity data'!N50:N65)*FracLEACH*MSLeachEF*NtoN2O*kgtoGg</f>
        <v>0.19199533091908458</v>
      </c>
      <c r="O142" s="23">
        <f>SUM('Activity data'!O50:O65)*FracLEACH*MSLeachEF*NtoN2O*kgtoGg</f>
        <v>0.19410533021342069</v>
      </c>
      <c r="P142" s="23">
        <f>SUM('Activity data'!P50:P65)*FracLEACH*MSLeachEF*NtoN2O*kgtoGg</f>
        <v>0.20007401496423419</v>
      </c>
      <c r="Q142" s="23">
        <f>SUM('Activity data'!Q50:Q65)*FracLEACH*MSLeachEF*NtoN2O*kgtoGg</f>
        <v>0.20391098922774409</v>
      </c>
      <c r="R142" s="23">
        <f>SUM('Activity data'!R50:R65)*FracLEACH*MSLeachEF*NtoN2O*kgtoGg</f>
        <v>0.21691340963704037</v>
      </c>
      <c r="S142" s="23">
        <f>SUM('Activity data'!S50:S65)*FracLEACH*MSLeachEF*NtoN2O*kgtoGg</f>
        <v>0.214113284173121</v>
      </c>
      <c r="T142" s="23">
        <f>SUM('Activity data'!T50:T65)*FracLEACH*MSLeachEF*NtoN2O*kgtoGg</f>
        <v>0.21739481007363315</v>
      </c>
      <c r="U142" s="23">
        <f>SUM('Activity data'!U50:U65)*FracLEACH*MSLeachEF*NtoN2O*kgtoGg</f>
        <v>0.21238663212028244</v>
      </c>
      <c r="V142" s="23">
        <f>SUM('Activity data'!V50:V65)*FracLEACH*MSLeachEF*NtoN2O*kgtoGg</f>
        <v>0.20930279636896515</v>
      </c>
      <c r="W142" s="23">
        <f>SUM('Activity data'!W50:W65)*FracLEACH*MSLeachEF*NtoN2O*kgtoGg</f>
        <v>0.21286481375965643</v>
      </c>
      <c r="X142" s="23">
        <f>SUM('Activity data'!X50:X65)*FracLEACH*MSLeachEF*NtoN2O*kgtoGg</f>
        <v>0.21622989533469228</v>
      </c>
      <c r="Y142" s="23">
        <f>SUM('Activity data'!Y50:Y65)*FracLEACH*MSLeachEF*NtoN2O*kgtoGg</f>
        <v>0.22181595321366887</v>
      </c>
      <c r="Z142" s="23">
        <f>SUM('Activity data'!Z50:Z65)*FracLEACH*MSLeachEF*NtoN2O*kgtoGg</f>
        <v>0.23286932196944796</v>
      </c>
      <c r="AA142" s="23">
        <f>SUM('Activity data'!AA50:AA65)*FracLEACH*MSLeachEF*NtoN2O*kgtoGg</f>
        <v>0.23188870907706199</v>
      </c>
      <c r="AB142" s="23">
        <f>SUM('Activity data'!AB50:AB65)*FracLEACH*MSLeachEF*NtoN2O*kgtoGg</f>
        <v>0.2310761581752879</v>
      </c>
      <c r="AC142" s="23">
        <f>SUM('Activity data'!AC50:AC65)*FracLEACH*MSLeachEF*NtoN2O*kgtoGg</f>
        <v>0.23132486548736045</v>
      </c>
      <c r="AD142" s="23">
        <f>SUM('Activity data'!AD50:AD65)*FracLEACH*MSLeachEF*NtoN2O*kgtoGg</f>
        <v>0.21770337823003191</v>
      </c>
      <c r="AE142" s="23">
        <f>SUM('Activity data'!AE50:AE65)*FracLEACH*MSLeachEF*NtoN2O*kgtoGg</f>
        <v>0.2379195550751925</v>
      </c>
      <c r="AF142" s="23">
        <f>SUM('Activity data'!AF50:AF65)*FracLEACH*MSLeachEF*NtoN2O*kgtoGg</f>
        <v>0.2349050959120077</v>
      </c>
      <c r="AG142" s="23">
        <f>SUM('Activity data'!AG50:AG65)*FracLEACH*MSLeachEF*NtoN2O*kgtoGg</f>
        <v>0.23509744680697192</v>
      </c>
      <c r="AH142" s="23">
        <f>SUM('Activity data'!AH50:AH65)*FracLEACH*MSLeachEF*NtoN2O*kgtoGg</f>
        <v>0.23340898215938535</v>
      </c>
      <c r="AI142" s="23">
        <f>SUM('Activity data'!AI50:AI65)*FracLEACH*MSLeachEF*NtoN2O*kgtoGg</f>
        <v>0.23464292192468802</v>
      </c>
      <c r="AJ142" s="23">
        <f>SUM('Activity data'!AJ50:AJ65)*FracLEACH*MSLeachEF*NtoN2O*kgtoGg</f>
        <v>0.23888266832903532</v>
      </c>
      <c r="AK142" s="23">
        <f>SUM('Activity data'!AK50:AK65)*FracLEACH*MSLeachEF*NtoN2O*kgtoGg</f>
        <v>0.25163237077989103</v>
      </c>
      <c r="AL142" s="23">
        <f>SUM('Activity data'!AL50:AL65)*FracLEACH*MSLeachEF*NtoN2O*kgtoGg</f>
        <v>0.25288139871854753</v>
      </c>
      <c r="AM142" s="23">
        <f>SUM('Activity data'!AM50:AM65)*FracLEACH*MSLeachEF*NtoN2O*kgtoGg</f>
        <v>0.25468806428968804</v>
      </c>
      <c r="AN142" s="23">
        <f>SUM('Activity data'!AN50:AN65)*FracLEACH*MSLeachEF*NtoN2O*kgtoGg</f>
        <v>0.25648999726799565</v>
      </c>
      <c r="AO142" s="23">
        <f>SUM('Activity data'!AO50:AO65)*FracLEACH*MSLeachEF*NtoN2O*kgtoGg</f>
        <v>0.25829299257690719</v>
      </c>
      <c r="AP142" s="23">
        <f>SUM('Activity data'!AP50:AP65)*FracLEACH*MSLeachEF*NtoN2O*kgtoGg</f>
        <v>0.2600919138099731</v>
      </c>
      <c r="AQ142" s="23">
        <f>SUM('Activity data'!AQ50:AQ65)*FracLEACH*MSLeachEF*NtoN2O*kgtoGg</f>
        <v>0.26189556058260449</v>
      </c>
      <c r="AR142" s="23">
        <f>SUM('Activity data'!AR50:AR65)*FracLEACH*MSLeachEF*NtoN2O*kgtoGg</f>
        <v>0.26386160948049664</v>
      </c>
      <c r="AS142" s="23">
        <f>SUM('Activity data'!AS50:AS65)*FracLEACH*MSLeachEF*NtoN2O*kgtoGg</f>
        <v>0.265826405428708</v>
      </c>
      <c r="AT142" s="23">
        <f>SUM('Activity data'!AT50:AT65)*FracLEACH*MSLeachEF*NtoN2O*kgtoGg</f>
        <v>0.26779759778631718</v>
      </c>
      <c r="AU142" s="23">
        <f>SUM('Activity data'!AU50:AU65)*FracLEACH*MSLeachEF*NtoN2O*kgtoGg</f>
        <v>0.269773539705779</v>
      </c>
      <c r="AV142" s="23">
        <f>SUM('Activity data'!AV50:AV65)*FracLEACH*MSLeachEF*NtoN2O*kgtoGg</f>
        <v>0.27175466469176807</v>
      </c>
      <c r="AW142" s="23">
        <f>SUM('Activity data'!AW50:AW65)*FracLEACH*MSLeachEF*NtoN2O*kgtoGg</f>
        <v>0.27370412878124994</v>
      </c>
      <c r="AX142" s="23">
        <f>SUM('Activity data'!AX50:AX65)*FracLEACH*MSLeachEF*NtoN2O*kgtoGg</f>
        <v>0.27564507176896247</v>
      </c>
      <c r="AY142" s="23">
        <f>SUM('Activity data'!AY50:AY65)*FracLEACH*MSLeachEF*NtoN2O*kgtoGg</f>
        <v>0.27760523403763232</v>
      </c>
      <c r="AZ142" s="23">
        <f>SUM('Activity data'!AZ50:AZ65)*FracLEACH*MSLeachEF*NtoN2O*kgtoGg</f>
        <v>0.27957883220725216</v>
      </c>
      <c r="BA142" s="23">
        <f>SUM('Activity data'!BA50:BA65)*FracLEACH*MSLeachEF*NtoN2O*kgtoGg</f>
        <v>0.2815665935189543</v>
      </c>
      <c r="BB142" s="23">
        <f>SUM('Activity data'!BB50:BB65)*FracLEACH*MSLeachEF*NtoN2O*kgtoGg</f>
        <v>0.28363033278035243</v>
      </c>
      <c r="BC142" s="23">
        <f>SUM('Activity data'!BC50:BC65)*FracLEACH*MSLeachEF*NtoN2O*kgtoGg</f>
        <v>0.28570381387020088</v>
      </c>
      <c r="BD142" s="23">
        <f>SUM('Activity data'!BD50:BD65)*FracLEACH*MSLeachEF*NtoN2O*kgtoGg</f>
        <v>0.2877809139785481</v>
      </c>
      <c r="BE142" s="23">
        <f>SUM('Activity data'!BE50:BE65)*FracLEACH*MSLeachEF*NtoN2O*kgtoGg</f>
        <v>0.28986784781983993</v>
      </c>
      <c r="BF142" s="23">
        <f>SUM('Activity data'!BF50:BF65)*FracLEACH*MSLeachEF*NtoN2O*kgtoGg</f>
        <v>0.29197011817756913</v>
      </c>
      <c r="BG142" s="23">
        <f>SUM('Activity data'!BG50:BG65)*FracLEACH*MSLeachEF*NtoN2O*kgtoGg</f>
        <v>0.29434327375811137</v>
      </c>
      <c r="BH142" s="23">
        <f>SUM('Activity data'!BH50:BH65)*FracLEACH*MSLeachEF*NtoN2O*kgtoGg</f>
        <v>0.296728202657846</v>
      </c>
      <c r="BI142" s="23">
        <f>SUM('Activity data'!BI50:BI65)*FracLEACH*MSLeachEF*NtoN2O*kgtoGg</f>
        <v>0.29912423379356545</v>
      </c>
      <c r="BJ142" s="23">
        <f>SUM('Activity data'!BJ50:BJ65)*FracLEACH*MSLeachEF*NtoN2O*kgtoGg</f>
        <v>0.30153302374771379</v>
      </c>
      <c r="BK142" s="23">
        <f>SUM('Activity data'!BK50:BK65)*FracLEACH*MSLeachEF*NtoN2O*kgtoGg</f>
        <v>0.30396114055919948</v>
      </c>
      <c r="BL142" s="23">
        <f>SUM('Activity data'!BL50:BL65)*FracLEACH*MSLeachEF*NtoN2O*kgtoGg</f>
        <v>0.30633165590453021</v>
      </c>
      <c r="BM142" s="23">
        <f>SUM('Activity data'!BM50:BM65)*FracLEACH*MSLeachEF*NtoN2O*kgtoGg</f>
        <v>0.30871883540827333</v>
      </c>
      <c r="BN142" s="23">
        <f>SUM('Activity data'!BN50:BN65)*FracLEACH*MSLeachEF*NtoN2O*kgtoGg</f>
        <v>0.31111019373292081</v>
      </c>
      <c r="BO142" s="23">
        <f>SUM('Activity data'!BO50:BO65)*FracLEACH*MSLeachEF*NtoN2O*kgtoGg</f>
        <v>0.31351972648833659</v>
      </c>
      <c r="BP142" s="23">
        <f>SUM('Activity data'!BP50:BP65)*FracLEACH*MSLeachEF*NtoN2O*kgtoGg</f>
        <v>0.31594895033905995</v>
      </c>
    </row>
    <row r="143" spans="1:68" x14ac:dyDescent="0.25">
      <c r="A143" t="str">
        <f t="shared" si="52"/>
        <v>3C Aggregated and non-CO2 emissions on land</v>
      </c>
      <c r="B143" t="str">
        <f t="shared" si="53"/>
        <v>3C5 Indirect N2O from managed soils (N2O)</v>
      </c>
      <c r="C143" t="str">
        <f t="shared" si="54"/>
        <v>Leaching/runoff</v>
      </c>
      <c r="D143" t="str">
        <f t="shared" si="51"/>
        <v xml:space="preserve"> - Urine &amp; dung</v>
      </c>
      <c r="E143" t="str">
        <f t="shared" si="46"/>
        <v>Leaching/runoff - Urine &amp; dung</v>
      </c>
      <c r="F143" t="str">
        <f t="shared" si="47"/>
        <v>N2O</v>
      </c>
      <c r="G143" t="str">
        <f t="shared" si="48"/>
        <v>Gg N2O</v>
      </c>
      <c r="H143" s="23">
        <f>SUM('Activity data'!H66:H81)*FracLEACHUD*MSLeachEF*NtoN2O*kgtoGg</f>
        <v>0</v>
      </c>
      <c r="I143" s="23">
        <f>SUM('Activity data'!I66:I81)*FracLEACHUD*MSLeachEF*NtoN2O*kgtoGg</f>
        <v>0</v>
      </c>
      <c r="J143" s="23">
        <f>SUM('Activity data'!J66:J81)*FracLEACHUD*MSLeachEF*NtoN2O*kgtoGg</f>
        <v>0</v>
      </c>
      <c r="K143" s="23">
        <f>SUM('Activity data'!K66:K81)*FracLEACHUD*MSLeachEF*NtoN2O*kgtoGg</f>
        <v>0</v>
      </c>
      <c r="L143" s="23">
        <f>SUM('Activity data'!L66:L81)*FracLEACHUD*MSLeachEF*NtoN2O*kgtoGg</f>
        <v>0</v>
      </c>
      <c r="M143" s="23">
        <f>SUM('Activity data'!M66:M81)*FracLEACHUD*MSLeachEF*NtoN2O*kgtoGg</f>
        <v>0</v>
      </c>
      <c r="N143" s="23">
        <f>SUM('Activity data'!N66:N81)*FracLEACHUD*MSLeachEF*NtoN2O*kgtoGg</f>
        <v>0</v>
      </c>
      <c r="O143" s="23">
        <f>SUM('Activity data'!O66:O81)*FracLEACHUD*MSLeachEF*NtoN2O*kgtoGg</f>
        <v>0</v>
      </c>
      <c r="P143" s="23">
        <f>SUM('Activity data'!P66:P81)*FracLEACHUD*MSLeachEF*NtoN2O*kgtoGg</f>
        <v>0</v>
      </c>
      <c r="Q143" s="23">
        <f>SUM('Activity data'!Q66:Q81)*FracLEACHUD*MSLeachEF*NtoN2O*kgtoGg</f>
        <v>0</v>
      </c>
      <c r="R143" s="23">
        <f>SUM('Activity data'!R66:R81)*FracLEACHUD*MSLeachEF*NtoN2O*kgtoGg</f>
        <v>0</v>
      </c>
      <c r="S143" s="23">
        <f>SUM('Activity data'!S66:S81)*FracLEACHUD*MSLeachEF*NtoN2O*kgtoGg</f>
        <v>0</v>
      </c>
      <c r="T143" s="23">
        <f>SUM('Activity data'!T66:T81)*FracLEACHUD*MSLeachEF*NtoN2O*kgtoGg</f>
        <v>0</v>
      </c>
      <c r="U143" s="23">
        <f>SUM('Activity data'!U66:U81)*FracLEACHUD*MSLeachEF*NtoN2O*kgtoGg</f>
        <v>0</v>
      </c>
      <c r="V143" s="23">
        <f>SUM('Activity data'!V66:V81)*FracLEACHUD*MSLeachEF*NtoN2O*kgtoGg</f>
        <v>0</v>
      </c>
      <c r="W143" s="23">
        <f>SUM('Activity data'!W66:W81)*FracLEACHUD*MSLeachEF*NtoN2O*kgtoGg</f>
        <v>0</v>
      </c>
      <c r="X143" s="23">
        <f>SUM('Activity data'!X66:X81)*FracLEACHUD*MSLeachEF*NtoN2O*kgtoGg</f>
        <v>0</v>
      </c>
      <c r="Y143" s="23">
        <f>SUM('Activity data'!Y66:Y81)*FracLEACHUD*MSLeachEF*NtoN2O*kgtoGg</f>
        <v>0</v>
      </c>
      <c r="Z143" s="23">
        <f>SUM('Activity data'!Z66:Z81)*FracLEACHUD*MSLeachEF*NtoN2O*kgtoGg</f>
        <v>0</v>
      </c>
      <c r="AA143" s="23">
        <f>SUM('Activity data'!AA66:AA81)*FracLEACHUD*MSLeachEF*NtoN2O*kgtoGg</f>
        <v>0</v>
      </c>
      <c r="AB143" s="23">
        <f>SUM('Activity data'!AB66:AB81)*FracLEACHUD*MSLeachEF*NtoN2O*kgtoGg</f>
        <v>0</v>
      </c>
      <c r="AC143" s="23">
        <f>SUM('Activity data'!AC66:AC81)*FracLEACHUD*MSLeachEF*NtoN2O*kgtoGg</f>
        <v>0</v>
      </c>
      <c r="AD143" s="23">
        <f>SUM('Activity data'!AD66:AD81)*FracLEACHUD*MSLeachEF*NtoN2O*kgtoGg</f>
        <v>0</v>
      </c>
      <c r="AE143" s="23">
        <f>SUM('Activity data'!AE66:AE81)*FracLEACHUD*MSLeachEF*NtoN2O*kgtoGg</f>
        <v>0</v>
      </c>
      <c r="AF143" s="23">
        <f>SUM('Activity data'!AF66:AF81)*FracLEACHUD*MSLeachEF*NtoN2O*kgtoGg</f>
        <v>0</v>
      </c>
      <c r="AG143" s="23">
        <f>SUM('Activity data'!AG66:AG81)*FracLEACHUD*MSLeachEF*NtoN2O*kgtoGg</f>
        <v>0</v>
      </c>
      <c r="AH143" s="23">
        <f>SUM('Activity data'!AH66:AH81)*FracLEACHUD*MSLeachEF*NtoN2O*kgtoGg</f>
        <v>0</v>
      </c>
      <c r="AI143" s="23">
        <f>SUM('Activity data'!AI66:AI81)*FracLEACHUD*MSLeachEF*NtoN2O*kgtoGg</f>
        <v>0</v>
      </c>
      <c r="AJ143" s="23">
        <f>SUM('Activity data'!AJ66:AJ81)*FracLEACHUD*MSLeachEF*NtoN2O*kgtoGg</f>
        <v>0</v>
      </c>
      <c r="AK143" s="23">
        <f>SUM('Activity data'!AK66:AK81)*FracLEACHUD*MSLeachEF*NtoN2O*kgtoGg</f>
        <v>0</v>
      </c>
      <c r="AL143" s="23">
        <f>SUM('Activity data'!AL66:AL81)*FracLEACHUD*MSLeachEF*NtoN2O*kgtoGg</f>
        <v>0</v>
      </c>
      <c r="AM143" s="23">
        <f>SUM('Activity data'!AM66:AM81)*FracLEACHUD*MSLeachEF*NtoN2O*kgtoGg</f>
        <v>0</v>
      </c>
      <c r="AN143" s="23">
        <f>SUM('Activity data'!AN66:AN81)*FracLEACHUD*MSLeachEF*NtoN2O*kgtoGg</f>
        <v>0</v>
      </c>
      <c r="AO143" s="23">
        <f>SUM('Activity data'!AO66:AO81)*FracLEACHUD*MSLeachEF*NtoN2O*kgtoGg</f>
        <v>0</v>
      </c>
      <c r="AP143" s="23">
        <f>SUM('Activity data'!AP66:AP81)*FracLEACHUD*MSLeachEF*NtoN2O*kgtoGg</f>
        <v>0</v>
      </c>
      <c r="AQ143" s="23">
        <f>SUM('Activity data'!AQ66:AQ81)*FracLEACHUD*MSLeachEF*NtoN2O*kgtoGg</f>
        <v>0</v>
      </c>
      <c r="AR143" s="23">
        <f>SUM('Activity data'!AR66:AR81)*FracLEACHUD*MSLeachEF*NtoN2O*kgtoGg</f>
        <v>0</v>
      </c>
      <c r="AS143" s="23">
        <f>SUM('Activity data'!AS66:AS81)*FracLEACHUD*MSLeachEF*NtoN2O*kgtoGg</f>
        <v>0</v>
      </c>
      <c r="AT143" s="23">
        <f>SUM('Activity data'!AT66:AT81)*FracLEACHUD*MSLeachEF*NtoN2O*kgtoGg</f>
        <v>0</v>
      </c>
      <c r="AU143" s="23">
        <f>SUM('Activity data'!AU66:AU81)*FracLEACHUD*MSLeachEF*NtoN2O*kgtoGg</f>
        <v>0</v>
      </c>
      <c r="AV143" s="23">
        <f>SUM('Activity data'!AV66:AV81)*FracLEACHUD*MSLeachEF*NtoN2O*kgtoGg</f>
        <v>0</v>
      </c>
      <c r="AW143" s="23">
        <f>SUM('Activity data'!AW66:AW81)*FracLEACHUD*MSLeachEF*NtoN2O*kgtoGg</f>
        <v>0</v>
      </c>
      <c r="AX143" s="23">
        <f>SUM('Activity data'!AX66:AX81)*FracLEACHUD*MSLeachEF*NtoN2O*kgtoGg</f>
        <v>0</v>
      </c>
      <c r="AY143" s="23">
        <f>SUM('Activity data'!AY66:AY81)*FracLEACHUD*MSLeachEF*NtoN2O*kgtoGg</f>
        <v>0</v>
      </c>
      <c r="AZ143" s="23">
        <f>SUM('Activity data'!AZ66:AZ81)*FracLEACHUD*MSLeachEF*NtoN2O*kgtoGg</f>
        <v>0</v>
      </c>
      <c r="BA143" s="23">
        <f>SUM('Activity data'!BA66:BA81)*FracLEACHUD*MSLeachEF*NtoN2O*kgtoGg</f>
        <v>0</v>
      </c>
      <c r="BB143" s="23">
        <f>SUM('Activity data'!BB66:BB81)*FracLEACHUD*MSLeachEF*NtoN2O*kgtoGg</f>
        <v>0</v>
      </c>
      <c r="BC143" s="23">
        <f>SUM('Activity data'!BC66:BC81)*FracLEACHUD*MSLeachEF*NtoN2O*kgtoGg</f>
        <v>0</v>
      </c>
      <c r="BD143" s="23">
        <f>SUM('Activity data'!BD66:BD81)*FracLEACHUD*MSLeachEF*NtoN2O*kgtoGg</f>
        <v>0</v>
      </c>
      <c r="BE143" s="23">
        <f>SUM('Activity data'!BE66:BE81)*FracLEACHUD*MSLeachEF*NtoN2O*kgtoGg</f>
        <v>0</v>
      </c>
      <c r="BF143" s="23">
        <f>SUM('Activity data'!BF66:BF81)*FracLEACHUD*MSLeachEF*NtoN2O*kgtoGg</f>
        <v>0</v>
      </c>
      <c r="BG143" s="23">
        <f>SUM('Activity data'!BG66:BG81)*FracLEACHUD*MSLeachEF*NtoN2O*kgtoGg</f>
        <v>0</v>
      </c>
      <c r="BH143" s="23">
        <f>SUM('Activity data'!BH66:BH81)*FracLEACHUD*MSLeachEF*NtoN2O*kgtoGg</f>
        <v>0</v>
      </c>
      <c r="BI143" s="23">
        <f>SUM('Activity data'!BI66:BI81)*FracLEACHUD*MSLeachEF*NtoN2O*kgtoGg</f>
        <v>0</v>
      </c>
      <c r="BJ143" s="23">
        <f>SUM('Activity data'!BJ66:BJ81)*FracLEACHUD*MSLeachEF*NtoN2O*kgtoGg</f>
        <v>0</v>
      </c>
      <c r="BK143" s="23">
        <f>SUM('Activity data'!BK66:BK81)*FracLEACHUD*MSLeachEF*NtoN2O*kgtoGg</f>
        <v>0</v>
      </c>
      <c r="BL143" s="23">
        <f>SUM('Activity data'!BL66:BL81)*FracLEACHUD*MSLeachEF*NtoN2O*kgtoGg</f>
        <v>0</v>
      </c>
      <c r="BM143" s="23">
        <f>SUM('Activity data'!BM66:BM81)*FracLEACHUD*MSLeachEF*NtoN2O*kgtoGg</f>
        <v>0</v>
      </c>
      <c r="BN143" s="23">
        <f>SUM('Activity data'!BN66:BN81)*FracLEACHUD*MSLeachEF*NtoN2O*kgtoGg</f>
        <v>0</v>
      </c>
      <c r="BO143" s="23">
        <f>SUM('Activity data'!BO66:BO81)*FracLEACHUD*MSLeachEF*NtoN2O*kgtoGg</f>
        <v>0</v>
      </c>
      <c r="BP143" s="23">
        <f>SUM('Activity data'!BP66:BP81)*FracLEACHUD*MSLeachEF*NtoN2O*kgtoGg</f>
        <v>0</v>
      </c>
    </row>
    <row r="144" spans="1:68" x14ac:dyDescent="0.25">
      <c r="A144" t="str">
        <f t="shared" si="52"/>
        <v>3C Aggregated and non-CO2 emissions on land</v>
      </c>
      <c r="B144" t="str">
        <f t="shared" si="53"/>
        <v>3C5 Indirect N2O from managed soils (N2O)</v>
      </c>
      <c r="C144" t="str">
        <f t="shared" si="54"/>
        <v>Leaching/runoff</v>
      </c>
      <c r="D144" t="s">
        <v>514</v>
      </c>
      <c r="E144" t="str">
        <f t="shared" si="46"/>
        <v>Leaching/runoff - crop residues</v>
      </c>
      <c r="F144" t="str">
        <f t="shared" si="47"/>
        <v>N2O</v>
      </c>
      <c r="G144" t="str">
        <f t="shared" si="48"/>
        <v>Gg N2O</v>
      </c>
      <c r="H144" s="23">
        <f>'Activity data'!H85*FracLEACH*MSLeachEF*NtoN2O*kgtoGg</f>
        <v>0.32825138330425746</v>
      </c>
      <c r="I144" s="23">
        <f>'Activity data'!I85*FracLEACH*MSLeachEF*NtoN2O*kgtoGg</f>
        <v>0.29258472088991805</v>
      </c>
      <c r="J144" s="23">
        <f>'Activity data'!J85*FracLEACH*MSLeachEF*NtoN2O*kgtoGg</f>
        <v>0.30466001341387333</v>
      </c>
      <c r="K144" s="23">
        <f>'Activity data'!K85*FracLEACH*MSLeachEF*NtoN2O*kgtoGg</f>
        <v>0.32719032978612411</v>
      </c>
      <c r="L144" s="23">
        <f>'Activity data'!L85*FracLEACH*MSLeachEF*NtoN2O*kgtoGg</f>
        <v>0.34506298505165967</v>
      </c>
      <c r="M144" s="23">
        <f>'Activity data'!M85*FracLEACH*MSLeachEF*NtoN2O*kgtoGg</f>
        <v>0.26835741701138188</v>
      </c>
      <c r="N144" s="23">
        <f>'Activity data'!N85*FracLEACH*MSLeachEF*NtoN2O*kgtoGg</f>
        <v>0.29559092734534437</v>
      </c>
      <c r="O144" s="23">
        <f>'Activity data'!O85*FracLEACH*MSLeachEF*NtoN2O*kgtoGg</f>
        <v>0.31084343591780184</v>
      </c>
      <c r="P144" s="23">
        <f>'Activity data'!P85*FracLEACH*MSLeachEF*NtoN2O*kgtoGg</f>
        <v>0.27086459563815568</v>
      </c>
      <c r="Q144" s="23">
        <f>'Activity data'!Q85*FracLEACH*MSLeachEF*NtoN2O*kgtoGg</f>
        <v>0.26878213404252554</v>
      </c>
      <c r="R144" s="23">
        <f>'Activity data'!R85*FracLEACH*MSLeachEF*NtoN2O*kgtoGg</f>
        <v>0.30850443704293706</v>
      </c>
      <c r="S144" s="23">
        <f>'Activity data'!S85*FracLEACH*MSLeachEF*NtoN2O*kgtoGg</f>
        <v>0.25198130516617884</v>
      </c>
      <c r="T144" s="23">
        <f>'Activity data'!T85*FracLEACH*MSLeachEF*NtoN2O*kgtoGg</f>
        <v>0.27482653444956295</v>
      </c>
      <c r="U144" s="23">
        <f>'Activity data'!U85*FracLEACH*MSLeachEF*NtoN2O*kgtoGg</f>
        <v>0.27118111335186618</v>
      </c>
      <c r="V144" s="23">
        <f>'Activity data'!V85*FracLEACH*MSLeachEF*NtoN2O*kgtoGg</f>
        <v>0.24249970337716806</v>
      </c>
      <c r="W144" s="23">
        <f>'Activity data'!W85*FracLEACH*MSLeachEF*NtoN2O*kgtoGg</f>
        <v>0.24631967811667024</v>
      </c>
      <c r="X144" s="23">
        <f>'Activity data'!X85*FracLEACH*MSLeachEF*NtoN2O*kgtoGg</f>
        <v>0.16562313484333735</v>
      </c>
      <c r="Y144" s="23">
        <f>'Activity data'!Y85*FracLEACH*MSLeachEF*NtoN2O*kgtoGg</f>
        <v>0.22452515502235468</v>
      </c>
      <c r="Z144" s="23">
        <f>'Activity data'!Z85*FracLEACH*MSLeachEF*NtoN2O*kgtoGg</f>
        <v>0.25642809937723432</v>
      </c>
      <c r="AA144" s="23">
        <f>'Activity data'!AA85*FracLEACH*MSLeachEF*NtoN2O*kgtoGg</f>
        <v>0.22783824491775231</v>
      </c>
      <c r="AB144" s="23">
        <f>'Activity data'!AB85*FracLEACH*MSLeachEF*NtoN2O*kgtoGg</f>
        <v>0.24876618225527067</v>
      </c>
      <c r="AC144" s="23">
        <f>'Activity data'!AC85*FracLEACH*MSLeachEF*NtoN2O*kgtoGg</f>
        <v>0.23034433519625197</v>
      </c>
      <c r="AD144" s="23">
        <f>'Activity data'!AD85*FracLEACH*MSLeachEF*NtoN2O*kgtoGg</f>
        <v>0.2539805022777617</v>
      </c>
      <c r="AE144" s="23">
        <f>'Activity data'!AE85*FracLEACH*MSLeachEF*NtoN2O*kgtoGg</f>
        <v>0.26241387124669568</v>
      </c>
      <c r="AF144" s="23">
        <f>'Activity data'!AF85*FracLEACH*MSLeachEF*NtoN2O*kgtoGg</f>
        <v>0.25036790991705737</v>
      </c>
      <c r="AG144" s="23">
        <f>'Activity data'!AG85*FracLEACH*MSLeachEF*NtoN2O*kgtoGg</f>
        <v>0.24285763694080673</v>
      </c>
      <c r="AH144" s="23">
        <f>'Activity data'!AH85*FracLEACH*MSLeachEF*NtoN2O*kgtoGg</f>
        <v>0.18773106123078995</v>
      </c>
      <c r="AI144" s="23">
        <f>'Activity data'!AI85*FracLEACH*MSLeachEF*NtoN2O*kgtoGg</f>
        <v>0.2448383870709254</v>
      </c>
      <c r="AJ144" s="23">
        <f>'Activity data'!AJ85*FracLEACH*MSLeachEF*NtoN2O*kgtoGg</f>
        <v>0.22530390450820073</v>
      </c>
      <c r="AK144" s="23">
        <f>'Activity data'!AK85*FracLEACH*MSLeachEF*NtoN2O*kgtoGg</f>
        <v>0.22326426709292024</v>
      </c>
      <c r="AL144" s="23">
        <f>'Activity data'!AL85*FracLEACH*MSLeachEF*NtoN2O*kgtoGg</f>
        <v>0.22125117355233362</v>
      </c>
      <c r="AM144" s="23">
        <f>'Activity data'!AM85*FracLEACH*MSLeachEF*NtoN2O*kgtoGg</f>
        <v>0.21918038528715841</v>
      </c>
      <c r="AN144" s="23">
        <f>'Activity data'!AN85*FracLEACH*MSLeachEF*NtoN2O*kgtoGg</f>
        <v>0.21710989045988402</v>
      </c>
      <c r="AO144" s="23">
        <f>'Activity data'!AO85*FracLEACH*MSLeachEF*NtoN2O*kgtoGg</f>
        <v>0.21503933892708127</v>
      </c>
      <c r="AP144" s="23">
        <f>'Activity data'!AP85*FracLEACH*MSLeachEF*NtoN2O*kgtoGg</f>
        <v>0.21296904622512794</v>
      </c>
      <c r="AQ144" s="23">
        <f>'Activity data'!AQ85*FracLEACH*MSLeachEF*NtoN2O*kgtoGg</f>
        <v>0.21089847107959322</v>
      </c>
      <c r="AR144" s="23">
        <f>'Activity data'!AR85*FracLEACH*MSLeachEF*NtoN2O*kgtoGg</f>
        <v>0.21089916755208668</v>
      </c>
      <c r="AS144" s="23">
        <f>'Activity data'!AS85*FracLEACH*MSLeachEF*NtoN2O*kgtoGg</f>
        <v>0.21089994420684693</v>
      </c>
      <c r="AT144" s="23">
        <f>'Activity data'!AT85*FracLEACH*MSLeachEF*NtoN2O*kgtoGg</f>
        <v>0.21090032327602243</v>
      </c>
      <c r="AU144" s="23">
        <f>'Activity data'!AU85*FracLEACH*MSLeachEF*NtoN2O*kgtoGg</f>
        <v>0.21090040582546321</v>
      </c>
      <c r="AV144" s="23">
        <f>'Activity data'!AV85*FracLEACH*MSLeachEF*NtoN2O*kgtoGg</f>
        <v>0.21090016447650523</v>
      </c>
      <c r="AW144" s="23">
        <f>'Activity data'!AW85*FracLEACH*MSLeachEF*NtoN2O*kgtoGg</f>
        <v>0.21089772050115183</v>
      </c>
      <c r="AX144" s="23">
        <f>'Activity data'!AX85*FracLEACH*MSLeachEF*NtoN2O*kgtoGg</f>
        <v>0.2108958232290834</v>
      </c>
      <c r="AY144" s="23">
        <f>'Activity data'!AY85*FracLEACH*MSLeachEF*NtoN2O*kgtoGg</f>
        <v>0.21089277425436875</v>
      </c>
      <c r="AZ144" s="23">
        <f>'Activity data'!AZ85*FracLEACH*MSLeachEF*NtoN2O*kgtoGg</f>
        <v>0.2108889624687923</v>
      </c>
      <c r="BA144" s="23">
        <f>'Activity data'!BA85*FracLEACH*MSLeachEF*NtoN2O*kgtoGg</f>
        <v>0.21088438385435812</v>
      </c>
      <c r="BB144" s="23">
        <f>'Activity data'!BB85*FracLEACH*MSLeachEF*NtoN2O*kgtoGg</f>
        <v>0.21087984532506263</v>
      </c>
      <c r="BC144" s="23">
        <f>'Activity data'!BC85*FracLEACH*MSLeachEF*NtoN2O*kgtoGg</f>
        <v>0.21087485188880442</v>
      </c>
      <c r="BD144" s="23">
        <f>'Activity data'!BD85*FracLEACH*MSLeachEF*NtoN2O*kgtoGg</f>
        <v>0.21086977273787577</v>
      </c>
      <c r="BE144" s="23">
        <f>'Activity data'!BE85*FracLEACH*MSLeachEF*NtoN2O*kgtoGg</f>
        <v>0.21086428818281988</v>
      </c>
      <c r="BF144" s="23">
        <f>'Activity data'!BF85*FracLEACH*MSLeachEF*NtoN2O*kgtoGg</f>
        <v>0.21085815165801575</v>
      </c>
      <c r="BG144" s="23">
        <f>'Activity data'!BG85*FracLEACH*MSLeachEF*NtoN2O*kgtoGg</f>
        <v>0.21085270303364384</v>
      </c>
      <c r="BH144" s="23">
        <f>'Activity data'!BH85*FracLEACH*MSLeachEF*NtoN2O*kgtoGg</f>
        <v>0.21084682770372126</v>
      </c>
      <c r="BI144" s="23">
        <f>'Activity data'!BI85*FracLEACH*MSLeachEF*NtoN2O*kgtoGg</f>
        <v>0.21084060514323841</v>
      </c>
      <c r="BJ144" s="23">
        <f>'Activity data'!BJ85*FracLEACH*MSLeachEF*NtoN2O*kgtoGg</f>
        <v>0.21083400639551711</v>
      </c>
      <c r="BK144" s="23">
        <f>'Activity data'!BK85*FracLEACH*MSLeachEF*NtoN2O*kgtoGg</f>
        <v>0.2108268010157078</v>
      </c>
      <c r="BL144" s="23">
        <f>'Activity data'!BL85*FracLEACH*MSLeachEF*NtoN2O*kgtoGg</f>
        <v>0.21081895675705908</v>
      </c>
      <c r="BM144" s="23">
        <f>'Activity data'!BM85*FracLEACH*MSLeachEF*NtoN2O*kgtoGg</f>
        <v>0.21081081670867163</v>
      </c>
      <c r="BN144" s="23">
        <f>'Activity data'!BN85*FracLEACH*MSLeachEF*NtoN2O*kgtoGg</f>
        <v>0.21080293034363606</v>
      </c>
      <c r="BO144" s="23">
        <f>'Activity data'!BO85*FracLEACH*MSLeachEF*NtoN2O*kgtoGg</f>
        <v>0.2107948055390938</v>
      </c>
      <c r="BP144" s="23">
        <f>'Activity data'!BP85*FracLEACH*MSLeachEF*NtoN2O*kgtoGg</f>
        <v>0.21078647893419292</v>
      </c>
    </row>
    <row r="145" spans="1:68" x14ac:dyDescent="0.25">
      <c r="A145" t="str">
        <f t="shared" si="52"/>
        <v>3C Aggregated and non-CO2 emissions on land</v>
      </c>
      <c r="B145" t="str">
        <f>'IPCC Categories'!B78</f>
        <v>3C5 Indirect N2O from managed soils (N2O)</v>
      </c>
      <c r="C145" t="str">
        <f t="shared" si="54"/>
        <v>Leaching/runoff</v>
      </c>
      <c r="D145" t="str">
        <f>" - FSOM - "&amp;'Activity data'!D87</f>
        <v xml:space="preserve"> - FSOM - Forest remaining forest land</v>
      </c>
      <c r="E145" t="str">
        <f t="shared" ref="E145" si="55">C145&amp;D145</f>
        <v>Leaching/runoff - FSOM - Forest remaining forest land</v>
      </c>
      <c r="F145" t="str">
        <f t="shared" si="47"/>
        <v>N2O</v>
      </c>
      <c r="G145" t="str">
        <f t="shared" si="48"/>
        <v>Gg N2O</v>
      </c>
      <c r="H145" s="23" t="str">
        <f>IFERROR(('Activity data'!H87*(1/Constants!$H$99))*ttokg*FracLEACH*MSLeachEF*NtoN2O*kgtoGg,"NO")</f>
        <v>NO</v>
      </c>
      <c r="I145" s="23" t="str">
        <f>IFERROR(('Activity data'!I87*(1/Constants!$H$99))*ttokg*FracLEACH*MSLeachEF*NtoN2O*kgtoGg,"NO")</f>
        <v>NO</v>
      </c>
      <c r="J145" s="23" t="str">
        <f>IFERROR(('Activity data'!J87*(1/Constants!$H$99))*ttokg*FracLEACH*MSLeachEF*NtoN2O*kgtoGg,"NO")</f>
        <v>NO</v>
      </c>
      <c r="K145" s="23" t="str">
        <f>IFERROR(('Activity data'!K87*(1/Constants!$H$99))*ttokg*FracLEACH*MSLeachEF*NtoN2O*kgtoGg,"NO")</f>
        <v>NO</v>
      </c>
      <c r="L145" s="23" t="str">
        <f>IFERROR(('Activity data'!L87*(1/Constants!$H$99))*ttokg*FracLEACH*MSLeachEF*NtoN2O*kgtoGg,"NO")</f>
        <v>NO</v>
      </c>
      <c r="M145" s="23" t="str">
        <f>IFERROR(('Activity data'!M87*(1/Constants!$H$99))*ttokg*FracLEACH*MSLeachEF*NtoN2O*kgtoGg,"NO")</f>
        <v>NO</v>
      </c>
      <c r="N145" s="23" t="str">
        <f>IFERROR(('Activity data'!N87*(1/Constants!$H$99))*ttokg*FracLEACH*MSLeachEF*NtoN2O*kgtoGg,"NO")</f>
        <v>NO</v>
      </c>
      <c r="O145" s="23" t="str">
        <f>IFERROR(('Activity data'!O87*(1/Constants!$H$99))*ttokg*FracLEACH*MSLeachEF*NtoN2O*kgtoGg,"NO")</f>
        <v>NO</v>
      </c>
      <c r="P145" s="23" t="str">
        <f>IFERROR(('Activity data'!P87*(1/Constants!$H$99))*ttokg*FracLEACH*MSLeachEF*NtoN2O*kgtoGg,"NO")</f>
        <v>NO</v>
      </c>
      <c r="Q145" s="23" t="str">
        <f>IFERROR(('Activity data'!Q87*(1/Constants!$H$99))*ttokg*FracLEACH*MSLeachEF*NtoN2O*kgtoGg,"NO")</f>
        <v>NO</v>
      </c>
      <c r="R145" s="23" t="str">
        <f>IFERROR(('Activity data'!R87*(1/Constants!$H$99))*ttokg*FracLEACH*MSLeachEF*NtoN2O*kgtoGg,"NO")</f>
        <v>NO</v>
      </c>
      <c r="S145" s="23" t="str">
        <f>IFERROR(('Activity data'!S87*(1/Constants!$H$99))*ttokg*FracLEACH*MSLeachEF*NtoN2O*kgtoGg,"NO")</f>
        <v>NO</v>
      </c>
      <c r="T145" s="23" t="str">
        <f>IFERROR(('Activity data'!T87*(1/Constants!$H$99))*ttokg*FracLEACH*MSLeachEF*NtoN2O*kgtoGg,"NO")</f>
        <v>NO</v>
      </c>
      <c r="U145" s="23" t="str">
        <f>IFERROR(('Activity data'!U87*(1/Constants!$H$99))*ttokg*FracLEACH*MSLeachEF*NtoN2O*kgtoGg,"NO")</f>
        <v>NO</v>
      </c>
      <c r="V145" s="23" t="str">
        <f>IFERROR(('Activity data'!V87*(1/Constants!$H$99))*ttokg*FracLEACH*MSLeachEF*NtoN2O*kgtoGg,"NO")</f>
        <v>NO</v>
      </c>
      <c r="W145" s="23" t="str">
        <f>IFERROR(('Activity data'!W87*(1/Constants!$H$99))*ttokg*FracLEACH*MSLeachEF*NtoN2O*kgtoGg,"NO")</f>
        <v>NO</v>
      </c>
      <c r="X145" s="23" t="str">
        <f>IFERROR(('Activity data'!X87*(1/Constants!$H$99))*ttokg*FracLEACH*MSLeachEF*NtoN2O*kgtoGg,"NO")</f>
        <v>NO</v>
      </c>
      <c r="Y145" s="23" t="str">
        <f>IFERROR(('Activity data'!Y87*(1/Constants!$H$99))*ttokg*FracLEACH*MSLeachEF*NtoN2O*kgtoGg,"NO")</f>
        <v>NO</v>
      </c>
      <c r="Z145" s="23" t="str">
        <f>IFERROR(('Activity data'!Z87*(1/Constants!$H$99))*ttokg*FracLEACH*MSLeachEF*NtoN2O*kgtoGg,"NO")</f>
        <v>NO</v>
      </c>
      <c r="AA145" s="23" t="str">
        <f>IFERROR(('Activity data'!AA87*(1/Constants!$H$99))*ttokg*FracLEACH*MSLeachEF*NtoN2O*kgtoGg,"NO")</f>
        <v>NO</v>
      </c>
      <c r="AB145" s="23" t="str">
        <f>IFERROR(('Activity data'!AB87*(1/Constants!$H$99))*ttokg*FracLEACH*MSLeachEF*NtoN2O*kgtoGg,"NO")</f>
        <v>NO</v>
      </c>
      <c r="AC145" s="23" t="str">
        <f>IFERROR(('Activity data'!AC87*(1/Constants!$H$99))*ttokg*FracLEACH*MSLeachEF*NtoN2O*kgtoGg,"NO")</f>
        <v>NO</v>
      </c>
      <c r="AD145" s="23" t="str">
        <f>IFERROR(('Activity data'!AD87*(1/Constants!$H$99))*ttokg*FracLEACH*MSLeachEF*NtoN2O*kgtoGg,"NO")</f>
        <v>NO</v>
      </c>
      <c r="AE145" s="23" t="str">
        <f>IFERROR(('Activity data'!AE87*(1/Constants!$H$99))*ttokg*FracLEACH*MSLeachEF*NtoN2O*kgtoGg,"NO")</f>
        <v>NO</v>
      </c>
      <c r="AF145" s="23" t="str">
        <f>IFERROR(('Activity data'!AF87*(1/Constants!$H$99))*ttokg*FracLEACH*MSLeachEF*NtoN2O*kgtoGg,"NO")</f>
        <v>NO</v>
      </c>
      <c r="AG145" s="23" t="str">
        <f>IFERROR(('Activity data'!AG87*(1/Constants!$H$99))*ttokg*FracLEACH*MSLeachEF*NtoN2O*kgtoGg,"NO")</f>
        <v>NO</v>
      </c>
      <c r="AH145" s="23" t="str">
        <f>IFERROR(('Activity data'!AH87*(1/Constants!$H$99))*ttokg*FracLEACH*MSLeachEF*NtoN2O*kgtoGg,"NO")</f>
        <v>NO</v>
      </c>
      <c r="AI145" s="23" t="str">
        <f>IFERROR(('Activity data'!AI87*(1/Constants!$H$99))*ttokg*FracLEACH*MSLeachEF*NtoN2O*kgtoGg,"NO")</f>
        <v>NO</v>
      </c>
      <c r="AJ145" s="23" t="str">
        <f>IFERROR(('Activity data'!AJ87*(1/Constants!$H$99))*ttokg*FracLEACH*MSLeachEF*NtoN2O*kgtoGg,"NO")</f>
        <v>NO</v>
      </c>
      <c r="AK145" s="23" t="str">
        <f>IFERROR(('Activity data'!AK87*(1/Constants!$H$99))*ttokg*FracLEACH*MSLeachEF*NtoN2O*kgtoGg,"NO")</f>
        <v>NO</v>
      </c>
      <c r="AL145" s="23" t="str">
        <f>IFERROR(('Activity data'!AL87*(1/Constants!$H$99))*ttokg*FracLEACH*MSLeachEF*NtoN2O*kgtoGg,"NO")</f>
        <v>NO</v>
      </c>
      <c r="AM145" s="23" t="str">
        <f>IFERROR(('Activity data'!AM87*(1/Constants!$H$99))*ttokg*FracLEACH*MSLeachEF*NtoN2O*kgtoGg,"NO")</f>
        <v>NO</v>
      </c>
      <c r="AN145" s="23" t="str">
        <f>IFERROR(('Activity data'!AN87*(1/Constants!$H$99))*ttokg*FracLEACH*MSLeachEF*NtoN2O*kgtoGg,"NO")</f>
        <v>NO</v>
      </c>
      <c r="AO145" s="23" t="str">
        <f>IFERROR(('Activity data'!AO87*(1/Constants!$H$99))*ttokg*FracLEACH*MSLeachEF*NtoN2O*kgtoGg,"NO")</f>
        <v>NO</v>
      </c>
      <c r="AP145" s="23" t="str">
        <f>IFERROR(('Activity data'!AP87*(1/Constants!$H$99))*ttokg*FracLEACH*MSLeachEF*NtoN2O*kgtoGg,"NO")</f>
        <v>NO</v>
      </c>
      <c r="AQ145" s="23" t="str">
        <f>IFERROR(('Activity data'!AQ87*(1/Constants!$H$99))*ttokg*FracLEACH*MSLeachEF*NtoN2O*kgtoGg,"NO")</f>
        <v>NO</v>
      </c>
      <c r="AR145" s="23" t="str">
        <f>IFERROR(('Activity data'!AR87*(1/Constants!$H$99))*ttokg*FracLEACH*MSLeachEF*NtoN2O*kgtoGg,"NO")</f>
        <v>NO</v>
      </c>
      <c r="AS145" s="23" t="str">
        <f>IFERROR(('Activity data'!AS87*(1/Constants!$H$99))*ttokg*FracLEACH*MSLeachEF*NtoN2O*kgtoGg,"NO")</f>
        <v>NO</v>
      </c>
      <c r="AT145" s="23" t="str">
        <f>IFERROR(('Activity data'!AT87*(1/Constants!$H$99))*ttokg*FracLEACH*MSLeachEF*NtoN2O*kgtoGg,"NO")</f>
        <v>NO</v>
      </c>
      <c r="AU145" s="23" t="str">
        <f>IFERROR(('Activity data'!AU87*(1/Constants!$H$99))*ttokg*FracLEACH*MSLeachEF*NtoN2O*kgtoGg,"NO")</f>
        <v>NO</v>
      </c>
      <c r="AV145" s="23" t="str">
        <f>IFERROR(('Activity data'!AV87*(1/Constants!$H$99))*ttokg*FracLEACH*MSLeachEF*NtoN2O*kgtoGg,"NO")</f>
        <v>NO</v>
      </c>
      <c r="AW145" s="23" t="str">
        <f>IFERROR(('Activity data'!AW87*(1/Constants!$H$99))*ttokg*FracLEACH*MSLeachEF*NtoN2O*kgtoGg,"NO")</f>
        <v>NO</v>
      </c>
      <c r="AX145" s="23" t="str">
        <f>IFERROR(('Activity data'!AX87*(1/Constants!$H$99))*ttokg*FracLEACH*MSLeachEF*NtoN2O*kgtoGg,"NO")</f>
        <v>NO</v>
      </c>
      <c r="AY145" s="23" t="str">
        <f>IFERROR(('Activity data'!AY87*(1/Constants!$H$99))*ttokg*FracLEACH*MSLeachEF*NtoN2O*kgtoGg,"NO")</f>
        <v>NO</v>
      </c>
      <c r="AZ145" s="23" t="str">
        <f>IFERROR(('Activity data'!AZ87*(1/Constants!$H$99))*ttokg*FracLEACH*MSLeachEF*NtoN2O*kgtoGg,"NO")</f>
        <v>NO</v>
      </c>
      <c r="BA145" s="23" t="str">
        <f>IFERROR(('Activity data'!BA87*(1/Constants!$H$99))*ttokg*FracLEACH*MSLeachEF*NtoN2O*kgtoGg,"NO")</f>
        <v>NO</v>
      </c>
      <c r="BB145" s="23" t="str">
        <f>IFERROR(('Activity data'!BB87*(1/Constants!$H$99))*ttokg*FracLEACH*MSLeachEF*NtoN2O*kgtoGg,"NO")</f>
        <v>NO</v>
      </c>
      <c r="BC145" s="23" t="str">
        <f>IFERROR(('Activity data'!BC87*(1/Constants!$H$99))*ttokg*FracLEACH*MSLeachEF*NtoN2O*kgtoGg,"NO")</f>
        <v>NO</v>
      </c>
      <c r="BD145" s="23" t="str">
        <f>IFERROR(('Activity data'!BD87*(1/Constants!$H$99))*ttokg*FracLEACH*MSLeachEF*NtoN2O*kgtoGg,"NO")</f>
        <v>NO</v>
      </c>
      <c r="BE145" s="23" t="str">
        <f>IFERROR(('Activity data'!BE87*(1/Constants!$H$99))*ttokg*FracLEACH*MSLeachEF*NtoN2O*kgtoGg,"NO")</f>
        <v>NO</v>
      </c>
      <c r="BF145" s="23" t="str">
        <f>IFERROR(('Activity data'!BF87*(1/Constants!$H$99))*ttokg*FracLEACH*MSLeachEF*NtoN2O*kgtoGg,"NO")</f>
        <v>NO</v>
      </c>
      <c r="BG145" s="23" t="str">
        <f>IFERROR(('Activity data'!BG87*(1/Constants!$H$99))*ttokg*FracLEACH*MSLeachEF*NtoN2O*kgtoGg,"NO")</f>
        <v>NO</v>
      </c>
      <c r="BH145" s="23" t="str">
        <f>IFERROR(('Activity data'!BH87*(1/Constants!$H$99))*ttokg*FracLEACH*MSLeachEF*NtoN2O*kgtoGg,"NO")</f>
        <v>NO</v>
      </c>
      <c r="BI145" s="23" t="str">
        <f>IFERROR(('Activity data'!BI87*(1/Constants!$H$99))*ttokg*FracLEACH*MSLeachEF*NtoN2O*kgtoGg,"NO")</f>
        <v>NO</v>
      </c>
      <c r="BJ145" s="23" t="str">
        <f>IFERROR(('Activity data'!BJ87*(1/Constants!$H$99))*ttokg*FracLEACH*MSLeachEF*NtoN2O*kgtoGg,"NO")</f>
        <v>NO</v>
      </c>
      <c r="BK145" s="23" t="str">
        <f>IFERROR(('Activity data'!BK87*(1/Constants!$H$99))*ttokg*FracLEACH*MSLeachEF*NtoN2O*kgtoGg,"NO")</f>
        <v>NO</v>
      </c>
      <c r="BL145" s="23" t="str">
        <f>IFERROR(('Activity data'!BL87*(1/Constants!$H$99))*ttokg*FracLEACH*MSLeachEF*NtoN2O*kgtoGg,"NO")</f>
        <v>NO</v>
      </c>
      <c r="BM145" s="23" t="str">
        <f>IFERROR(('Activity data'!BM87*(1/Constants!$H$99))*ttokg*FracLEACH*MSLeachEF*NtoN2O*kgtoGg,"NO")</f>
        <v>NO</v>
      </c>
      <c r="BN145" s="23" t="str">
        <f>IFERROR(('Activity data'!BN87*(1/Constants!$H$99))*ttokg*FracLEACH*MSLeachEF*NtoN2O*kgtoGg,"NO")</f>
        <v>NO</v>
      </c>
      <c r="BO145" s="23" t="str">
        <f>IFERROR(('Activity data'!BO87*(1/Constants!$H$99))*ttokg*FracLEACH*MSLeachEF*NtoN2O*kgtoGg,"NO")</f>
        <v>NO</v>
      </c>
      <c r="BP145" s="23" t="str">
        <f>IFERROR(('Activity data'!BP87*(1/Constants!$H$99))*ttokg*FracLEACH*MSLeachEF*NtoN2O*kgtoGg,"NO")</f>
        <v>NO</v>
      </c>
    </row>
    <row r="146" spans="1:68" x14ac:dyDescent="0.25">
      <c r="A146" t="str">
        <f>A145</f>
        <v>3C Aggregated and non-CO2 emissions on land</v>
      </c>
      <c r="B146" t="str">
        <f t="shared" ref="B146" si="56">B145</f>
        <v>3C5 Indirect N2O from managed soils (N2O)</v>
      </c>
      <c r="C146" t="str">
        <f t="shared" si="54"/>
        <v>Leaching/runoff</v>
      </c>
      <c r="D146" t="str">
        <f>" - FSOM - "&amp;'Activity data'!D88</f>
        <v xml:space="preserve"> - FSOM - Land converted to forest land</v>
      </c>
      <c r="E146" t="str">
        <f t="shared" ref="E146" si="57">C146&amp;D146</f>
        <v>Leaching/runoff - FSOM - Land converted to forest land</v>
      </c>
      <c r="F146" t="str">
        <f t="shared" si="47"/>
        <v>N2O</v>
      </c>
      <c r="G146" t="str">
        <f t="shared" si="48"/>
        <v>Gg N2O</v>
      </c>
      <c r="H146" s="23" t="str">
        <f>IFERROR(('Activity data'!H88*(1/Constants!$H$99))*ttokg*FracLEACH*MSLeachEF*NtoN2O*kgtoGg,"NO")</f>
        <v>NO</v>
      </c>
      <c r="I146" s="23" t="str">
        <f>IFERROR(('Activity data'!I88*(1/Constants!$H$99))*ttokg*FracLEACH*MSLeachEF*NtoN2O*kgtoGg,"NO")</f>
        <v>NO</v>
      </c>
      <c r="J146" s="23" t="str">
        <f>IFERROR(('Activity data'!J88*(1/Constants!$H$99))*ttokg*FracLEACH*MSLeachEF*NtoN2O*kgtoGg,"NO")</f>
        <v>NO</v>
      </c>
      <c r="K146" s="23" t="str">
        <f>IFERROR(('Activity data'!K88*(1/Constants!$H$99))*ttokg*FracLEACH*MSLeachEF*NtoN2O*kgtoGg,"NO")</f>
        <v>NO</v>
      </c>
      <c r="L146" s="23" t="str">
        <f>IFERROR(('Activity data'!L88*(1/Constants!$H$99))*ttokg*FracLEACH*MSLeachEF*NtoN2O*kgtoGg,"NO")</f>
        <v>NO</v>
      </c>
      <c r="M146" s="23" t="str">
        <f>IFERROR(('Activity data'!M88*(1/Constants!$H$99))*ttokg*FracLEACH*MSLeachEF*NtoN2O*kgtoGg,"NO")</f>
        <v>NO</v>
      </c>
      <c r="N146" s="23" t="str">
        <f>IFERROR(('Activity data'!N88*(1/Constants!$H$99))*ttokg*FracLEACH*MSLeachEF*NtoN2O*kgtoGg,"NO")</f>
        <v>NO</v>
      </c>
      <c r="O146" s="23" t="str">
        <f>IFERROR(('Activity data'!O88*(1/Constants!$H$99))*ttokg*FracLEACH*MSLeachEF*NtoN2O*kgtoGg,"NO")</f>
        <v>NO</v>
      </c>
      <c r="P146" s="23" t="str">
        <f>IFERROR(('Activity data'!P88*(1/Constants!$H$99))*ttokg*FracLEACH*MSLeachEF*NtoN2O*kgtoGg,"NO")</f>
        <v>NO</v>
      </c>
      <c r="Q146" s="23" t="str">
        <f>IFERROR(('Activity data'!Q88*(1/Constants!$H$99))*ttokg*FracLEACH*MSLeachEF*NtoN2O*kgtoGg,"NO")</f>
        <v>NO</v>
      </c>
      <c r="R146" s="23" t="str">
        <f>IFERROR(('Activity data'!R88*(1/Constants!$H$99))*ttokg*FracLEACH*MSLeachEF*NtoN2O*kgtoGg,"NO")</f>
        <v>NO</v>
      </c>
      <c r="S146" s="23" t="str">
        <f>IFERROR(('Activity data'!S88*(1/Constants!$H$99))*ttokg*FracLEACH*MSLeachEF*NtoN2O*kgtoGg,"NO")</f>
        <v>NO</v>
      </c>
      <c r="T146" s="23" t="str">
        <f>IFERROR(('Activity data'!T88*(1/Constants!$H$99))*ttokg*FracLEACH*MSLeachEF*NtoN2O*kgtoGg,"NO")</f>
        <v>NO</v>
      </c>
      <c r="U146" s="23" t="str">
        <f>IFERROR(('Activity data'!U88*(1/Constants!$H$99))*ttokg*FracLEACH*MSLeachEF*NtoN2O*kgtoGg,"NO")</f>
        <v>NO</v>
      </c>
      <c r="V146" s="23" t="str">
        <f>IFERROR(('Activity data'!V88*(1/Constants!$H$99))*ttokg*FracLEACH*MSLeachEF*NtoN2O*kgtoGg,"NO")</f>
        <v>NO</v>
      </c>
      <c r="W146" s="23" t="str">
        <f>IFERROR(('Activity data'!W88*(1/Constants!$H$99))*ttokg*FracLEACH*MSLeachEF*NtoN2O*kgtoGg,"NO")</f>
        <v>NO</v>
      </c>
      <c r="X146" s="23" t="str">
        <f>IFERROR(('Activity data'!X88*(1/Constants!$H$99))*ttokg*FracLEACH*MSLeachEF*NtoN2O*kgtoGg,"NO")</f>
        <v>NO</v>
      </c>
      <c r="Y146" s="23" t="str">
        <f>IFERROR(('Activity data'!Y88*(1/Constants!$H$99))*ttokg*FracLEACH*MSLeachEF*NtoN2O*kgtoGg,"NO")</f>
        <v>NO</v>
      </c>
      <c r="Z146" s="23" t="str">
        <f>IFERROR(('Activity data'!Z88*(1/Constants!$H$99))*ttokg*FracLEACH*MSLeachEF*NtoN2O*kgtoGg,"NO")</f>
        <v>NO</v>
      </c>
      <c r="AA146" s="23" t="str">
        <f>IFERROR(('Activity data'!AA88*(1/Constants!$H$99))*ttokg*FracLEACH*MSLeachEF*NtoN2O*kgtoGg,"NO")</f>
        <v>NO</v>
      </c>
      <c r="AB146" s="23" t="str">
        <f>IFERROR(('Activity data'!AB88*(1/Constants!$H$99))*ttokg*FracLEACH*MSLeachEF*NtoN2O*kgtoGg,"NO")</f>
        <v>NO</v>
      </c>
      <c r="AC146" s="23" t="str">
        <f>IFERROR(('Activity data'!AC88*(1/Constants!$H$99))*ttokg*FracLEACH*MSLeachEF*NtoN2O*kgtoGg,"NO")</f>
        <v>NO</v>
      </c>
      <c r="AD146" s="23" t="str">
        <f>IFERROR(('Activity data'!AD88*(1/Constants!$H$99))*ttokg*FracLEACH*MSLeachEF*NtoN2O*kgtoGg,"NO")</f>
        <v>NO</v>
      </c>
      <c r="AE146" s="23" t="str">
        <f>IFERROR(('Activity data'!AE88*(1/Constants!$H$99))*ttokg*FracLEACH*MSLeachEF*NtoN2O*kgtoGg,"NO")</f>
        <v>NO</v>
      </c>
      <c r="AF146" s="23" t="str">
        <f>IFERROR(('Activity data'!AF88*(1/Constants!$H$99))*ttokg*FracLEACH*MSLeachEF*NtoN2O*kgtoGg,"NO")</f>
        <v>NO</v>
      </c>
      <c r="AG146" s="23" t="str">
        <f>IFERROR(('Activity data'!AG88*(1/Constants!$H$99))*ttokg*FracLEACH*MSLeachEF*NtoN2O*kgtoGg,"NO")</f>
        <v>NO</v>
      </c>
      <c r="AH146" s="23" t="str">
        <f>IFERROR(('Activity data'!AH88*(1/Constants!$H$99))*ttokg*FracLEACH*MSLeachEF*NtoN2O*kgtoGg,"NO")</f>
        <v>NO</v>
      </c>
      <c r="AI146" s="23" t="str">
        <f>IFERROR(('Activity data'!AI88*(1/Constants!$H$99))*ttokg*FracLEACH*MSLeachEF*NtoN2O*kgtoGg,"NO")</f>
        <v>NO</v>
      </c>
      <c r="AJ146" s="23" t="str">
        <f>IFERROR(('Activity data'!AJ88*(1/Constants!$H$99))*ttokg*FracLEACH*MSLeachEF*NtoN2O*kgtoGg,"NO")</f>
        <v>NO</v>
      </c>
      <c r="AK146" s="23" t="str">
        <f>IFERROR(('Activity data'!AK88*(1/Constants!$H$99))*ttokg*FracLEACH*MSLeachEF*NtoN2O*kgtoGg,"NO")</f>
        <v>NO</v>
      </c>
      <c r="AL146" s="23" t="str">
        <f>IFERROR(('Activity data'!AL88*(1/Constants!$H$99))*ttokg*FracLEACH*MSLeachEF*NtoN2O*kgtoGg,"NO")</f>
        <v>NO</v>
      </c>
      <c r="AM146" s="23" t="str">
        <f>IFERROR(('Activity data'!AM88*(1/Constants!$H$99))*ttokg*FracLEACH*MSLeachEF*NtoN2O*kgtoGg,"NO")</f>
        <v>NO</v>
      </c>
      <c r="AN146" s="23" t="str">
        <f>IFERROR(('Activity data'!AN88*(1/Constants!$H$99))*ttokg*FracLEACH*MSLeachEF*NtoN2O*kgtoGg,"NO")</f>
        <v>NO</v>
      </c>
      <c r="AO146" s="23" t="str">
        <f>IFERROR(('Activity data'!AO88*(1/Constants!$H$99))*ttokg*FracLEACH*MSLeachEF*NtoN2O*kgtoGg,"NO")</f>
        <v>NO</v>
      </c>
      <c r="AP146" s="23" t="str">
        <f>IFERROR(('Activity data'!AP88*(1/Constants!$H$99))*ttokg*FracLEACH*MSLeachEF*NtoN2O*kgtoGg,"NO")</f>
        <v>NO</v>
      </c>
      <c r="AQ146" s="23" t="str">
        <f>IFERROR(('Activity data'!AQ88*(1/Constants!$H$99))*ttokg*FracLEACH*MSLeachEF*NtoN2O*kgtoGg,"NO")</f>
        <v>NO</v>
      </c>
      <c r="AR146" s="23" t="str">
        <f>IFERROR(('Activity data'!AR88*(1/Constants!$H$99))*ttokg*FracLEACH*MSLeachEF*NtoN2O*kgtoGg,"NO")</f>
        <v>NO</v>
      </c>
      <c r="AS146" s="23" t="str">
        <f>IFERROR(('Activity data'!AS88*(1/Constants!$H$99))*ttokg*FracLEACH*MSLeachEF*NtoN2O*kgtoGg,"NO")</f>
        <v>NO</v>
      </c>
      <c r="AT146" s="23" t="str">
        <f>IFERROR(('Activity data'!AT88*(1/Constants!$H$99))*ttokg*FracLEACH*MSLeachEF*NtoN2O*kgtoGg,"NO")</f>
        <v>NO</v>
      </c>
      <c r="AU146" s="23" t="str">
        <f>IFERROR(('Activity data'!AU88*(1/Constants!$H$99))*ttokg*FracLEACH*MSLeachEF*NtoN2O*kgtoGg,"NO")</f>
        <v>NO</v>
      </c>
      <c r="AV146" s="23" t="str">
        <f>IFERROR(('Activity data'!AV88*(1/Constants!$H$99))*ttokg*FracLEACH*MSLeachEF*NtoN2O*kgtoGg,"NO")</f>
        <v>NO</v>
      </c>
      <c r="AW146" s="23" t="str">
        <f>IFERROR(('Activity data'!AW88*(1/Constants!$H$99))*ttokg*FracLEACH*MSLeachEF*NtoN2O*kgtoGg,"NO")</f>
        <v>NO</v>
      </c>
      <c r="AX146" s="23" t="str">
        <f>IFERROR(('Activity data'!AX88*(1/Constants!$H$99))*ttokg*FracLEACH*MSLeachEF*NtoN2O*kgtoGg,"NO")</f>
        <v>NO</v>
      </c>
      <c r="AY146" s="23" t="str">
        <f>IFERROR(('Activity data'!AY88*(1/Constants!$H$99))*ttokg*FracLEACH*MSLeachEF*NtoN2O*kgtoGg,"NO")</f>
        <v>NO</v>
      </c>
      <c r="AZ146" s="23" t="str">
        <f>IFERROR(('Activity data'!AZ88*(1/Constants!$H$99))*ttokg*FracLEACH*MSLeachEF*NtoN2O*kgtoGg,"NO")</f>
        <v>NO</v>
      </c>
      <c r="BA146" s="23" t="str">
        <f>IFERROR(('Activity data'!BA88*(1/Constants!$H$99))*ttokg*FracLEACH*MSLeachEF*NtoN2O*kgtoGg,"NO")</f>
        <v>NO</v>
      </c>
      <c r="BB146" s="23" t="str">
        <f>IFERROR(('Activity data'!BB88*(1/Constants!$H$99))*ttokg*FracLEACH*MSLeachEF*NtoN2O*kgtoGg,"NO")</f>
        <v>NO</v>
      </c>
      <c r="BC146" s="23" t="str">
        <f>IFERROR(('Activity data'!BC88*(1/Constants!$H$99))*ttokg*FracLEACH*MSLeachEF*NtoN2O*kgtoGg,"NO")</f>
        <v>NO</v>
      </c>
      <c r="BD146" s="23" t="str">
        <f>IFERROR(('Activity data'!BD88*(1/Constants!$H$99))*ttokg*FracLEACH*MSLeachEF*NtoN2O*kgtoGg,"NO")</f>
        <v>NO</v>
      </c>
      <c r="BE146" s="23" t="str">
        <f>IFERROR(('Activity data'!BE88*(1/Constants!$H$99))*ttokg*FracLEACH*MSLeachEF*NtoN2O*kgtoGg,"NO")</f>
        <v>NO</v>
      </c>
      <c r="BF146" s="23" t="str">
        <f>IFERROR(('Activity data'!BF88*(1/Constants!$H$99))*ttokg*FracLEACH*MSLeachEF*NtoN2O*kgtoGg,"NO")</f>
        <v>NO</v>
      </c>
      <c r="BG146" s="23" t="str">
        <f>IFERROR(('Activity data'!BG88*(1/Constants!$H$99))*ttokg*FracLEACH*MSLeachEF*NtoN2O*kgtoGg,"NO")</f>
        <v>NO</v>
      </c>
      <c r="BH146" s="23" t="str">
        <f>IFERROR(('Activity data'!BH88*(1/Constants!$H$99))*ttokg*FracLEACH*MSLeachEF*NtoN2O*kgtoGg,"NO")</f>
        <v>NO</v>
      </c>
      <c r="BI146" s="23" t="str">
        <f>IFERROR(('Activity data'!BI88*(1/Constants!$H$99))*ttokg*FracLEACH*MSLeachEF*NtoN2O*kgtoGg,"NO")</f>
        <v>NO</v>
      </c>
      <c r="BJ146" s="23" t="str">
        <f>IFERROR(('Activity data'!BJ88*(1/Constants!$H$99))*ttokg*FracLEACH*MSLeachEF*NtoN2O*kgtoGg,"NO")</f>
        <v>NO</v>
      </c>
      <c r="BK146" s="23" t="str">
        <f>IFERROR(('Activity data'!BK88*(1/Constants!$H$99))*ttokg*FracLEACH*MSLeachEF*NtoN2O*kgtoGg,"NO")</f>
        <v>NO</v>
      </c>
      <c r="BL146" s="23" t="str">
        <f>IFERROR(('Activity data'!BL88*(1/Constants!$H$99))*ttokg*FracLEACH*MSLeachEF*NtoN2O*kgtoGg,"NO")</f>
        <v>NO</v>
      </c>
      <c r="BM146" s="23" t="str">
        <f>IFERROR(('Activity data'!BM88*(1/Constants!$H$99))*ttokg*FracLEACH*MSLeachEF*NtoN2O*kgtoGg,"NO")</f>
        <v>NO</v>
      </c>
      <c r="BN146" s="23" t="str">
        <f>IFERROR(('Activity data'!BN88*(1/Constants!$H$99))*ttokg*FracLEACH*MSLeachEF*NtoN2O*kgtoGg,"NO")</f>
        <v>NO</v>
      </c>
      <c r="BO146" s="23" t="str">
        <f>IFERROR(('Activity data'!BO88*(1/Constants!$H$99))*ttokg*FracLEACH*MSLeachEF*NtoN2O*kgtoGg,"NO")</f>
        <v>NO</v>
      </c>
      <c r="BP146" s="23" t="str">
        <f>IFERROR(('Activity data'!BP88*(1/Constants!$H$99))*ttokg*FracLEACH*MSLeachEF*NtoN2O*kgtoGg,"NO")</f>
        <v>NO</v>
      </c>
    </row>
    <row r="147" spans="1:68" x14ac:dyDescent="0.25">
      <c r="A147" t="str">
        <f t="shared" ref="A147:A188" si="58">A146</f>
        <v>3C Aggregated and non-CO2 emissions on land</v>
      </c>
      <c r="B147" t="str">
        <f t="shared" ref="B147:B156" si="59">B146</f>
        <v>3C5 Indirect N2O from managed soils (N2O)</v>
      </c>
      <c r="C147" t="str">
        <f t="shared" si="54"/>
        <v>Leaching/runoff</v>
      </c>
      <c r="D147" t="str">
        <f>" - FSOM - "&amp;'Activity data'!D89</f>
        <v xml:space="preserve"> - FSOM - Cropland remaining cropland</v>
      </c>
      <c r="E147" t="str">
        <f t="shared" ref="E147:E156" si="60">C147&amp;D147</f>
        <v>Leaching/runoff - FSOM - Cropland remaining cropland</v>
      </c>
      <c r="F147" t="str">
        <f t="shared" si="47"/>
        <v>N2O</v>
      </c>
      <c r="G147" t="str">
        <f t="shared" si="48"/>
        <v>Gg N2O</v>
      </c>
      <c r="H147" s="23" t="str">
        <f>IFERROR(('Activity data'!H89*(1/Constants!$H$99))*ttokg*FracLEACH*MSLeachEF*NtoN2O*kgtoGg,"NO")</f>
        <v>NO</v>
      </c>
      <c r="I147" s="23" t="str">
        <f>IFERROR(('Activity data'!I89*(1/Constants!$H$99))*ttokg*FracLEACH*MSLeachEF*NtoN2O*kgtoGg,"NO")</f>
        <v>NO</v>
      </c>
      <c r="J147" s="23" t="str">
        <f>IFERROR(('Activity data'!J89*(1/Constants!$H$99))*ttokg*FracLEACH*MSLeachEF*NtoN2O*kgtoGg,"NO")</f>
        <v>NO</v>
      </c>
      <c r="K147" s="23" t="str">
        <f>IFERROR(('Activity data'!K89*(1/Constants!$H$99))*ttokg*FracLEACH*MSLeachEF*NtoN2O*kgtoGg,"NO")</f>
        <v>NO</v>
      </c>
      <c r="L147" s="23" t="str">
        <f>IFERROR(('Activity data'!L89*(1/Constants!$H$99))*ttokg*FracLEACH*MSLeachEF*NtoN2O*kgtoGg,"NO")</f>
        <v>NO</v>
      </c>
      <c r="M147" s="23" t="str">
        <f>IFERROR(('Activity data'!M89*(1/Constants!$H$99))*ttokg*FracLEACH*MSLeachEF*NtoN2O*kgtoGg,"NO")</f>
        <v>NO</v>
      </c>
      <c r="N147" s="23" t="str">
        <f>IFERROR(('Activity data'!N89*(1/Constants!$H$99))*ttokg*FracLEACH*MSLeachEF*NtoN2O*kgtoGg,"NO")</f>
        <v>NO</v>
      </c>
      <c r="O147" s="23" t="str">
        <f>IFERROR(('Activity data'!O89*(1/Constants!$H$99))*ttokg*FracLEACH*MSLeachEF*NtoN2O*kgtoGg,"NO")</f>
        <v>NO</v>
      </c>
      <c r="P147" s="23" t="str">
        <f>IFERROR(('Activity data'!P89*(1/Constants!$H$99))*ttokg*FracLEACH*MSLeachEF*NtoN2O*kgtoGg,"NO")</f>
        <v>NO</v>
      </c>
      <c r="Q147" s="23" t="str">
        <f>IFERROR(('Activity data'!Q89*(1/Constants!$H$99))*ttokg*FracLEACH*MSLeachEF*NtoN2O*kgtoGg,"NO")</f>
        <v>NO</v>
      </c>
      <c r="R147" s="23" t="str">
        <f>IFERROR(('Activity data'!R89*(1/Constants!$H$99))*ttokg*FracLEACH*MSLeachEF*NtoN2O*kgtoGg,"NO")</f>
        <v>NO</v>
      </c>
      <c r="S147" s="23" t="str">
        <f>IFERROR(('Activity data'!S89*(1/Constants!$H$99))*ttokg*FracLEACH*MSLeachEF*NtoN2O*kgtoGg,"NO")</f>
        <v>NO</v>
      </c>
      <c r="T147" s="23" t="str">
        <f>IFERROR(('Activity data'!T89*(1/Constants!$H$99))*ttokg*FracLEACH*MSLeachEF*NtoN2O*kgtoGg,"NO")</f>
        <v>NO</v>
      </c>
      <c r="U147" s="23" t="str">
        <f>IFERROR(('Activity data'!U89*(1/Constants!$H$99))*ttokg*FracLEACH*MSLeachEF*NtoN2O*kgtoGg,"NO")</f>
        <v>NO</v>
      </c>
      <c r="V147" s="23" t="str">
        <f>IFERROR(('Activity data'!V89*(1/Constants!$H$99))*ttokg*FracLEACH*MSLeachEF*NtoN2O*kgtoGg,"NO")</f>
        <v>NO</v>
      </c>
      <c r="W147" s="23" t="str">
        <f>IFERROR(('Activity data'!W89*(1/Constants!$H$99))*ttokg*FracLEACH*MSLeachEF*NtoN2O*kgtoGg,"NO")</f>
        <v>NO</v>
      </c>
      <c r="X147" s="23" t="str">
        <f>IFERROR(('Activity data'!X89*(1/Constants!$H$99))*ttokg*FracLEACH*MSLeachEF*NtoN2O*kgtoGg,"NO")</f>
        <v>NO</v>
      </c>
      <c r="Y147" s="23" t="str">
        <f>IFERROR(('Activity data'!Y89*(1/Constants!$H$99))*ttokg*FracLEACH*MSLeachEF*NtoN2O*kgtoGg,"NO")</f>
        <v>NO</v>
      </c>
      <c r="Z147" s="23" t="str">
        <f>IFERROR(('Activity data'!Z89*(1/Constants!$H$99))*ttokg*FracLEACH*MSLeachEF*NtoN2O*kgtoGg,"NO")</f>
        <v>NO</v>
      </c>
      <c r="AA147" s="23" t="str">
        <f>IFERROR(('Activity data'!AA89*(1/Constants!$H$99))*ttokg*FracLEACH*MSLeachEF*NtoN2O*kgtoGg,"NO")</f>
        <v>NO</v>
      </c>
      <c r="AB147" s="23" t="str">
        <f>IFERROR(('Activity data'!AB89*(1/Constants!$H$99))*ttokg*FracLEACH*MSLeachEF*NtoN2O*kgtoGg,"NO")</f>
        <v>NO</v>
      </c>
      <c r="AC147" s="23" t="str">
        <f>IFERROR(('Activity data'!AC89*(1/Constants!$H$99))*ttokg*FracLEACH*MSLeachEF*NtoN2O*kgtoGg,"NO")</f>
        <v>NO</v>
      </c>
      <c r="AD147" s="23" t="str">
        <f>IFERROR(('Activity data'!AD89*(1/Constants!$H$99))*ttokg*FracLEACH*MSLeachEF*NtoN2O*kgtoGg,"NO")</f>
        <v>NO</v>
      </c>
      <c r="AE147" s="23" t="str">
        <f>IFERROR(('Activity data'!AE89*(1/Constants!$H$99))*ttokg*FracLEACH*MSLeachEF*NtoN2O*kgtoGg,"NO")</f>
        <v>NO</v>
      </c>
      <c r="AF147" s="23" t="str">
        <f>IFERROR(('Activity data'!AF89*(1/Constants!$H$99))*ttokg*FracLEACH*MSLeachEF*NtoN2O*kgtoGg,"NO")</f>
        <v>NO</v>
      </c>
      <c r="AG147" s="23" t="str">
        <f>IFERROR(('Activity data'!AG89*(1/Constants!$H$99))*ttokg*FracLEACH*MSLeachEF*NtoN2O*kgtoGg,"NO")</f>
        <v>NO</v>
      </c>
      <c r="AH147" s="23" t="str">
        <f>IFERROR(('Activity data'!AH89*(1/Constants!$H$99))*ttokg*FracLEACH*MSLeachEF*NtoN2O*kgtoGg,"NO")</f>
        <v>NO</v>
      </c>
      <c r="AI147" s="23" t="str">
        <f>IFERROR(('Activity data'!AI89*(1/Constants!$H$99))*ttokg*FracLEACH*MSLeachEF*NtoN2O*kgtoGg,"NO")</f>
        <v>NO</v>
      </c>
      <c r="AJ147" s="23" t="str">
        <f>IFERROR(('Activity data'!AJ89*(1/Constants!$H$99))*ttokg*FracLEACH*MSLeachEF*NtoN2O*kgtoGg,"NO")</f>
        <v>NO</v>
      </c>
      <c r="AK147" s="23" t="str">
        <f>IFERROR(('Activity data'!AK89*(1/Constants!$H$99))*ttokg*FracLEACH*MSLeachEF*NtoN2O*kgtoGg,"NO")</f>
        <v>NO</v>
      </c>
      <c r="AL147" s="23" t="str">
        <f>IFERROR(('Activity data'!AL89*(1/Constants!$H$99))*ttokg*FracLEACH*MSLeachEF*NtoN2O*kgtoGg,"NO")</f>
        <v>NO</v>
      </c>
      <c r="AM147" s="23" t="str">
        <f>IFERROR(('Activity data'!AM89*(1/Constants!$H$99))*ttokg*FracLEACH*MSLeachEF*NtoN2O*kgtoGg,"NO")</f>
        <v>NO</v>
      </c>
      <c r="AN147" s="23" t="str">
        <f>IFERROR(('Activity data'!AN89*(1/Constants!$H$99))*ttokg*FracLEACH*MSLeachEF*NtoN2O*kgtoGg,"NO")</f>
        <v>NO</v>
      </c>
      <c r="AO147" s="23" t="str">
        <f>IFERROR(('Activity data'!AO89*(1/Constants!$H$99))*ttokg*FracLEACH*MSLeachEF*NtoN2O*kgtoGg,"NO")</f>
        <v>NO</v>
      </c>
      <c r="AP147" s="23" t="str">
        <f>IFERROR(('Activity data'!AP89*(1/Constants!$H$99))*ttokg*FracLEACH*MSLeachEF*NtoN2O*kgtoGg,"NO")</f>
        <v>NO</v>
      </c>
      <c r="AQ147" s="23" t="str">
        <f>IFERROR(('Activity data'!AQ89*(1/Constants!$H$99))*ttokg*FracLEACH*MSLeachEF*NtoN2O*kgtoGg,"NO")</f>
        <v>NO</v>
      </c>
      <c r="AR147" s="23" t="str">
        <f>IFERROR(('Activity data'!AR89*(1/Constants!$H$99))*ttokg*FracLEACH*MSLeachEF*NtoN2O*kgtoGg,"NO")</f>
        <v>NO</v>
      </c>
      <c r="AS147" s="23" t="str">
        <f>IFERROR(('Activity data'!AS89*(1/Constants!$H$99))*ttokg*FracLEACH*MSLeachEF*NtoN2O*kgtoGg,"NO")</f>
        <v>NO</v>
      </c>
      <c r="AT147" s="23" t="str">
        <f>IFERROR(('Activity data'!AT89*(1/Constants!$H$99))*ttokg*FracLEACH*MSLeachEF*NtoN2O*kgtoGg,"NO")</f>
        <v>NO</v>
      </c>
      <c r="AU147" s="23" t="str">
        <f>IFERROR(('Activity data'!AU89*(1/Constants!$H$99))*ttokg*FracLEACH*MSLeachEF*NtoN2O*kgtoGg,"NO")</f>
        <v>NO</v>
      </c>
      <c r="AV147" s="23" t="str">
        <f>IFERROR(('Activity data'!AV89*(1/Constants!$H$99))*ttokg*FracLEACH*MSLeachEF*NtoN2O*kgtoGg,"NO")</f>
        <v>NO</v>
      </c>
      <c r="AW147" s="23" t="str">
        <f>IFERROR(('Activity data'!AW89*(1/Constants!$H$99))*ttokg*FracLEACH*MSLeachEF*NtoN2O*kgtoGg,"NO")</f>
        <v>NO</v>
      </c>
      <c r="AX147" s="23" t="str">
        <f>IFERROR(('Activity data'!AX89*(1/Constants!$H$99))*ttokg*FracLEACH*MSLeachEF*NtoN2O*kgtoGg,"NO")</f>
        <v>NO</v>
      </c>
      <c r="AY147" s="23" t="str">
        <f>IFERROR(('Activity data'!AY89*(1/Constants!$H$99))*ttokg*FracLEACH*MSLeachEF*NtoN2O*kgtoGg,"NO")</f>
        <v>NO</v>
      </c>
      <c r="AZ147" s="23" t="str">
        <f>IFERROR(('Activity data'!AZ89*(1/Constants!$H$99))*ttokg*FracLEACH*MSLeachEF*NtoN2O*kgtoGg,"NO")</f>
        <v>NO</v>
      </c>
      <c r="BA147" s="23" t="str">
        <f>IFERROR(('Activity data'!BA89*(1/Constants!$H$99))*ttokg*FracLEACH*MSLeachEF*NtoN2O*kgtoGg,"NO")</f>
        <v>NO</v>
      </c>
      <c r="BB147" s="23" t="str">
        <f>IFERROR(('Activity data'!BB89*(1/Constants!$H$99))*ttokg*FracLEACH*MSLeachEF*NtoN2O*kgtoGg,"NO")</f>
        <v>NO</v>
      </c>
      <c r="BC147" s="23" t="str">
        <f>IFERROR(('Activity data'!BC89*(1/Constants!$H$99))*ttokg*FracLEACH*MSLeachEF*NtoN2O*kgtoGg,"NO")</f>
        <v>NO</v>
      </c>
      <c r="BD147" s="23" t="str">
        <f>IFERROR(('Activity data'!BD89*(1/Constants!$H$99))*ttokg*FracLEACH*MSLeachEF*NtoN2O*kgtoGg,"NO")</f>
        <v>NO</v>
      </c>
      <c r="BE147" s="23" t="str">
        <f>IFERROR(('Activity data'!BE89*(1/Constants!$H$99))*ttokg*FracLEACH*MSLeachEF*NtoN2O*kgtoGg,"NO")</f>
        <v>NO</v>
      </c>
      <c r="BF147" s="23" t="str">
        <f>IFERROR(('Activity data'!BF89*(1/Constants!$H$99))*ttokg*FracLEACH*MSLeachEF*NtoN2O*kgtoGg,"NO")</f>
        <v>NO</v>
      </c>
      <c r="BG147" s="23" t="str">
        <f>IFERROR(('Activity data'!BG89*(1/Constants!$H$99))*ttokg*FracLEACH*MSLeachEF*NtoN2O*kgtoGg,"NO")</f>
        <v>NO</v>
      </c>
      <c r="BH147" s="23" t="str">
        <f>IFERROR(('Activity data'!BH89*(1/Constants!$H$99))*ttokg*FracLEACH*MSLeachEF*NtoN2O*kgtoGg,"NO")</f>
        <v>NO</v>
      </c>
      <c r="BI147" s="23" t="str">
        <f>IFERROR(('Activity data'!BI89*(1/Constants!$H$99))*ttokg*FracLEACH*MSLeachEF*NtoN2O*kgtoGg,"NO")</f>
        <v>NO</v>
      </c>
      <c r="BJ147" s="23" t="str">
        <f>IFERROR(('Activity data'!BJ89*(1/Constants!$H$99))*ttokg*FracLEACH*MSLeachEF*NtoN2O*kgtoGg,"NO")</f>
        <v>NO</v>
      </c>
      <c r="BK147" s="23" t="str">
        <f>IFERROR(('Activity data'!BK89*(1/Constants!$H$99))*ttokg*FracLEACH*MSLeachEF*NtoN2O*kgtoGg,"NO")</f>
        <v>NO</v>
      </c>
      <c r="BL147" s="23" t="str">
        <f>IFERROR(('Activity data'!BL89*(1/Constants!$H$99))*ttokg*FracLEACH*MSLeachEF*NtoN2O*kgtoGg,"NO")</f>
        <v>NO</v>
      </c>
      <c r="BM147" s="23" t="str">
        <f>IFERROR(('Activity data'!BM89*(1/Constants!$H$99))*ttokg*FracLEACH*MSLeachEF*NtoN2O*kgtoGg,"NO")</f>
        <v>NO</v>
      </c>
      <c r="BN147" s="23" t="str">
        <f>IFERROR(('Activity data'!BN89*(1/Constants!$H$99))*ttokg*FracLEACH*MSLeachEF*NtoN2O*kgtoGg,"NO")</f>
        <v>NO</v>
      </c>
      <c r="BO147" s="23" t="str">
        <f>IFERROR(('Activity data'!BO89*(1/Constants!$H$99))*ttokg*FracLEACH*MSLeachEF*NtoN2O*kgtoGg,"NO")</f>
        <v>NO</v>
      </c>
      <c r="BP147" s="23" t="str">
        <f>IFERROR(('Activity data'!BP89*(1/Constants!$H$99))*ttokg*FracLEACH*MSLeachEF*NtoN2O*kgtoGg,"NO")</f>
        <v>NO</v>
      </c>
    </row>
    <row r="148" spans="1:68" x14ac:dyDescent="0.25">
      <c r="A148" t="str">
        <f t="shared" si="58"/>
        <v>3C Aggregated and non-CO2 emissions on land</v>
      </c>
      <c r="B148" t="str">
        <f t="shared" si="59"/>
        <v>3C5 Indirect N2O from managed soils (N2O)</v>
      </c>
      <c r="C148" t="str">
        <f t="shared" si="54"/>
        <v>Leaching/runoff</v>
      </c>
      <c r="D148" t="str">
        <f>" - FSOM - "&amp;'Activity data'!D90</f>
        <v xml:space="preserve"> - FSOM - Land converted to cropland</v>
      </c>
      <c r="E148" t="str">
        <f t="shared" si="60"/>
        <v>Leaching/runoff - FSOM - Land converted to cropland</v>
      </c>
      <c r="F148" t="str">
        <f t="shared" si="47"/>
        <v>N2O</v>
      </c>
      <c r="G148" t="str">
        <f t="shared" si="48"/>
        <v>Gg N2O</v>
      </c>
      <c r="H148" s="23" t="str">
        <f>IFERROR(('Activity data'!H90*(1/Constants!$H$99))*ttokg*FracLEACH*MSLeachEF*NtoN2O*kgtoGg,"NO")</f>
        <v>NO</v>
      </c>
      <c r="I148" s="23">
        <f>IFERROR(('Activity data'!I90*(1/Constants!$H$99))*ttokg*FracLEACH*MSLeachEF*NtoN2O*kgtoGg,"NO")</f>
        <v>7.2988165488083543E-3</v>
      </c>
      <c r="J148" s="23">
        <f>IFERROR(('Activity data'!J90*(1/Constants!$H$99))*ttokg*FracLEACH*MSLeachEF*NtoN2O*kgtoGg,"NO")</f>
        <v>7.2988165488083543E-3</v>
      </c>
      <c r="K148" s="23">
        <f>IFERROR(('Activity data'!K90*(1/Constants!$H$99))*ttokg*FracLEACH*MSLeachEF*NtoN2O*kgtoGg,"NO")</f>
        <v>7.2988165488083543E-3</v>
      </c>
      <c r="L148" s="23">
        <f>IFERROR(('Activity data'!L90*(1/Constants!$H$99))*ttokg*FracLEACH*MSLeachEF*NtoN2O*kgtoGg,"NO")</f>
        <v>7.2988165488083543E-3</v>
      </c>
      <c r="M148" s="23">
        <f>IFERROR(('Activity data'!M90*(1/Constants!$H$99))*ttokg*FracLEACH*MSLeachEF*NtoN2O*kgtoGg,"NO")</f>
        <v>7.2988165488083543E-3</v>
      </c>
      <c r="N148" s="23">
        <f>IFERROR(('Activity data'!N90*(1/Constants!$H$99))*ttokg*FracLEACH*MSLeachEF*NtoN2O*kgtoGg,"NO")</f>
        <v>7.2988165488083543E-3</v>
      </c>
      <c r="O148" s="23">
        <f>IFERROR(('Activity data'!O90*(1/Constants!$H$99))*ttokg*FracLEACH*MSLeachEF*NtoN2O*kgtoGg,"NO")</f>
        <v>7.2988165488083543E-3</v>
      </c>
      <c r="P148" s="23">
        <f>IFERROR(('Activity data'!P90*(1/Constants!$H$99))*ttokg*FracLEACH*MSLeachEF*NtoN2O*kgtoGg,"NO")</f>
        <v>7.2988165488083543E-3</v>
      </c>
      <c r="Q148" s="23">
        <f>IFERROR(('Activity data'!Q90*(1/Constants!$H$99))*ttokg*FracLEACH*MSLeachEF*NtoN2O*kgtoGg,"NO")</f>
        <v>7.2988165488083543E-3</v>
      </c>
      <c r="R148" s="23">
        <f>IFERROR(('Activity data'!R90*(1/Constants!$H$99))*ttokg*FracLEACH*MSLeachEF*NtoN2O*kgtoGg,"NO")</f>
        <v>7.2988165488083543E-3</v>
      </c>
      <c r="S148" s="23">
        <f>IFERROR(('Activity data'!S90*(1/Constants!$H$99))*ttokg*FracLEACH*MSLeachEF*NtoN2O*kgtoGg,"NO")</f>
        <v>7.2988165488083543E-3</v>
      </c>
      <c r="T148" s="23">
        <f>IFERROR(('Activity data'!T90*(1/Constants!$H$99))*ttokg*FracLEACH*MSLeachEF*NtoN2O*kgtoGg,"NO")</f>
        <v>7.2988165488083543E-3</v>
      </c>
      <c r="U148" s="23">
        <f>IFERROR(('Activity data'!U90*(1/Constants!$H$99))*ttokg*FracLEACH*MSLeachEF*NtoN2O*kgtoGg,"NO")</f>
        <v>7.2988165488083543E-3</v>
      </c>
      <c r="V148" s="23">
        <f>IFERROR(('Activity data'!V90*(1/Constants!$H$99))*ttokg*FracLEACH*MSLeachEF*NtoN2O*kgtoGg,"NO")</f>
        <v>7.2988165488083543E-3</v>
      </c>
      <c r="W148" s="23">
        <f>IFERROR(('Activity data'!W90*(1/Constants!$H$99))*ttokg*FracLEACH*MSLeachEF*NtoN2O*kgtoGg,"NO")</f>
        <v>7.2988165488083543E-3</v>
      </c>
      <c r="X148" s="23">
        <f>IFERROR(('Activity data'!X90*(1/Constants!$H$99))*ttokg*FracLEACH*MSLeachEF*NtoN2O*kgtoGg,"NO")</f>
        <v>7.2988165488083543E-3</v>
      </c>
      <c r="Y148" s="23">
        <f>IFERROR(('Activity data'!Y90*(1/Constants!$H$99))*ttokg*FracLEACH*MSLeachEF*NtoN2O*kgtoGg,"NO")</f>
        <v>7.2988165488083543E-3</v>
      </c>
      <c r="Z148" s="23">
        <f>IFERROR(('Activity data'!Z90*(1/Constants!$H$99))*ttokg*FracLEACH*MSLeachEF*NtoN2O*kgtoGg,"NO")</f>
        <v>7.2988165488083543E-3</v>
      </c>
      <c r="AA148" s="23">
        <f>IFERROR(('Activity data'!AA90*(1/Constants!$H$99))*ttokg*FracLEACH*MSLeachEF*NtoN2O*kgtoGg,"NO")</f>
        <v>7.2988165488083543E-3</v>
      </c>
      <c r="AB148" s="23">
        <f>IFERROR(('Activity data'!AB90*(1/Constants!$H$99))*ttokg*FracLEACH*MSLeachEF*NtoN2O*kgtoGg,"NO")</f>
        <v>7.2988165488083543E-3</v>
      </c>
      <c r="AC148" s="23">
        <f>IFERROR(('Activity data'!AC90*(1/Constants!$H$99))*ttokg*FracLEACH*MSLeachEF*NtoN2O*kgtoGg,"NO")</f>
        <v>7.2988165488083543E-3</v>
      </c>
      <c r="AD148" s="23">
        <f>IFERROR(('Activity data'!AD90*(1/Constants!$H$99))*ttokg*FracLEACH*MSLeachEF*NtoN2O*kgtoGg,"NO")</f>
        <v>7.2988165488083543E-3</v>
      </c>
      <c r="AE148" s="23">
        <f>IFERROR(('Activity data'!AE90*(1/Constants!$H$99))*ttokg*FracLEACH*MSLeachEF*NtoN2O*kgtoGg,"NO")</f>
        <v>7.2988165488083543E-3</v>
      </c>
      <c r="AF148" s="23">
        <f>IFERROR(('Activity data'!AF90*(1/Constants!$H$99))*ttokg*FracLEACH*MSLeachEF*NtoN2O*kgtoGg,"NO")</f>
        <v>7.2988165488083543E-3</v>
      </c>
      <c r="AG148" s="23">
        <f>IFERROR(('Activity data'!AG90*(1/Constants!$H$99))*ttokg*FracLEACH*MSLeachEF*NtoN2O*kgtoGg,"NO")</f>
        <v>7.2988165488083543E-3</v>
      </c>
      <c r="AH148" s="23">
        <f>IFERROR(('Activity data'!AH90*(1/Constants!$H$99))*ttokg*FracLEACH*MSLeachEF*NtoN2O*kgtoGg,"NO")</f>
        <v>7.2988165488083543E-3</v>
      </c>
      <c r="AI148" s="23">
        <f>IFERROR(('Activity data'!AI90*(1/Constants!$H$99))*ttokg*FracLEACH*MSLeachEF*NtoN2O*kgtoGg,"NO")</f>
        <v>7.2988165488083543E-3</v>
      </c>
      <c r="AJ148" s="23">
        <f>IFERROR(('Activity data'!AJ90*(1/Constants!$H$99))*ttokg*FracLEACH*MSLeachEF*NtoN2O*kgtoGg,"NO")</f>
        <v>1.2230865350424435E-2</v>
      </c>
      <c r="AK148" s="23">
        <f>IFERROR(('Activity data'!AK90*(1/Constants!$H$99))*ttokg*FracLEACH*MSLeachEF*NtoN2O*kgtoGg,"NO")</f>
        <v>1.227068803317357E-2</v>
      </c>
      <c r="AL148" s="23">
        <f>IFERROR(('Activity data'!AL90*(1/Constants!$H$99))*ttokg*FracLEACH*MSLeachEF*NtoN2O*kgtoGg,"NO")</f>
        <v>1.231051071592271E-2</v>
      </c>
      <c r="AM148" s="23">
        <f>IFERROR(('Activity data'!AM90*(1/Constants!$H$99))*ttokg*FracLEACH*MSLeachEF*NtoN2O*kgtoGg,"NO")</f>
        <v>1.2350333398671842E-2</v>
      </c>
      <c r="AN148" s="23">
        <f>IFERROR(('Activity data'!AN90*(1/Constants!$H$99))*ttokg*FracLEACH*MSLeachEF*NtoN2O*kgtoGg,"NO")</f>
        <v>1.2390156081420979E-2</v>
      </c>
      <c r="AO148" s="23">
        <f>IFERROR(('Activity data'!AO90*(1/Constants!$H$99))*ttokg*FracLEACH*MSLeachEF*NtoN2O*kgtoGg,"NO")</f>
        <v>1.2429978764170116E-2</v>
      </c>
      <c r="AP148" s="23">
        <f>IFERROR(('Activity data'!AP90*(1/Constants!$H$99))*ttokg*FracLEACH*MSLeachEF*NtoN2O*kgtoGg,"NO")</f>
        <v>1.2469801446919251E-2</v>
      </c>
      <c r="AQ148" s="23">
        <f>IFERROR(('Activity data'!AQ90*(1/Constants!$H$99))*ttokg*FracLEACH*MSLeachEF*NtoN2O*kgtoGg,"NO")</f>
        <v>1.2509624129668377E-2</v>
      </c>
      <c r="AR148" s="23">
        <f>IFERROR(('Activity data'!AR90*(1/Constants!$H$99))*ttokg*FracLEACH*MSLeachEF*NtoN2O*kgtoGg,"NO")</f>
        <v>1.2549446812417521E-2</v>
      </c>
      <c r="AS148" s="23">
        <f>IFERROR(('Activity data'!AS90*(1/Constants!$H$99))*ttokg*FracLEACH*MSLeachEF*NtoN2O*kgtoGg,"NO")</f>
        <v>1.2589269495166658E-2</v>
      </c>
      <c r="AT148" s="23">
        <f>IFERROR(('Activity data'!AT90*(1/Constants!$H$99))*ttokg*FracLEACH*MSLeachEF*NtoN2O*kgtoGg,"NO")</f>
        <v>1.2629092177915786E-2</v>
      </c>
      <c r="AU148" s="23">
        <f>IFERROR(('Activity data'!AU90*(1/Constants!$H$99))*ttokg*FracLEACH*MSLeachEF*NtoN2O*kgtoGg,"NO")</f>
        <v>1.2668914860664923E-2</v>
      </c>
      <c r="AV148" s="23">
        <f>IFERROR(('Activity data'!AV90*(1/Constants!$H$99))*ttokg*FracLEACH*MSLeachEF*NtoN2O*kgtoGg,"NO")</f>
        <v>1.270873754341406E-2</v>
      </c>
      <c r="AW148" s="23">
        <f>IFERROR(('Activity data'!AW90*(1/Constants!$H$99))*ttokg*FracLEACH*MSLeachEF*NtoN2O*kgtoGg,"NO")</f>
        <v>1.2748560226163197E-2</v>
      </c>
      <c r="AX148" s="23">
        <f>IFERROR(('Activity data'!AX90*(1/Constants!$H$99))*ttokg*FracLEACH*MSLeachEF*NtoN2O*kgtoGg,"NO")</f>
        <v>1.2788382908912327E-2</v>
      </c>
      <c r="AY148" s="23">
        <f>IFERROR(('Activity data'!AY90*(1/Constants!$H$99))*ttokg*FracLEACH*MSLeachEF*NtoN2O*kgtoGg,"NO")</f>
        <v>1.2828205591661465E-2</v>
      </c>
      <c r="AZ148" s="23">
        <f>IFERROR(('Activity data'!AZ90*(1/Constants!$H$99))*ttokg*FracLEACH*MSLeachEF*NtoN2O*kgtoGg,"NO")</f>
        <v>1.28680282744106E-2</v>
      </c>
      <c r="BA148" s="23">
        <f>IFERROR(('Activity data'!BA90*(1/Constants!$H$99))*ttokg*FracLEACH*MSLeachEF*NtoN2O*kgtoGg,"NO")</f>
        <v>1.2907850957159728E-2</v>
      </c>
      <c r="BB148" s="23">
        <f>IFERROR(('Activity data'!BB90*(1/Constants!$H$99))*ttokg*FracLEACH*MSLeachEF*NtoN2O*kgtoGg,"NO")</f>
        <v>1.2947673639908869E-2</v>
      </c>
      <c r="BC148" s="23">
        <f>IFERROR(('Activity data'!BC90*(1/Constants!$H$99))*ttokg*FracLEACH*MSLeachEF*NtoN2O*kgtoGg,"NO")</f>
        <v>1.2987496322658002E-2</v>
      </c>
      <c r="BD148" s="23">
        <f>IFERROR(('Activity data'!BD90*(1/Constants!$H$99))*ttokg*FracLEACH*MSLeachEF*NtoN2O*kgtoGg,"NO")</f>
        <v>1.3027319005407142E-2</v>
      </c>
      <c r="BE148" s="23">
        <f>IFERROR(('Activity data'!BE90*(1/Constants!$H$99))*ttokg*FracLEACH*MSLeachEF*NtoN2O*kgtoGg,"NO")</f>
        <v>1.3067141688156276E-2</v>
      </c>
      <c r="BF148" s="23">
        <f>IFERROR(('Activity data'!BF90*(1/Constants!$H$99))*ttokg*FracLEACH*MSLeachEF*NtoN2O*kgtoGg,"NO")</f>
        <v>1.3106964370905413E-2</v>
      </c>
      <c r="BG148" s="23">
        <f>IFERROR(('Activity data'!BG90*(1/Constants!$H$99))*ttokg*FracLEACH*MSLeachEF*NtoN2O*kgtoGg,"NO")</f>
        <v>1.3146787053654546E-2</v>
      </c>
      <c r="BH148" s="23">
        <f>IFERROR(('Activity data'!BH90*(1/Constants!$H$99))*ttokg*FracLEACH*MSLeachEF*NtoN2O*kgtoGg,"NO")</f>
        <v>1.3186609736403676E-2</v>
      </c>
      <c r="BI148" s="23">
        <f>IFERROR(('Activity data'!BI90*(1/Constants!$H$99))*ttokg*FracLEACH*MSLeachEF*NtoN2O*kgtoGg,"NO")</f>
        <v>1.3226432419152811E-2</v>
      </c>
      <c r="BJ148" s="23">
        <f>IFERROR(('Activity data'!BJ90*(1/Constants!$H$99))*ttokg*FracLEACH*MSLeachEF*NtoN2O*kgtoGg,"NO")</f>
        <v>1.3266255101901948E-2</v>
      </c>
      <c r="BK148" s="23">
        <f>IFERROR(('Activity data'!BK90*(1/Constants!$H$99))*ttokg*FracLEACH*MSLeachEF*NtoN2O*kgtoGg,"NO")</f>
        <v>1.330607778465109E-2</v>
      </c>
      <c r="BL148" s="23">
        <f>IFERROR(('Activity data'!BL90*(1/Constants!$H$99))*ttokg*FracLEACH*MSLeachEF*NtoN2O*kgtoGg,"NO")</f>
        <v>1.334590046740022E-2</v>
      </c>
      <c r="BM148" s="23">
        <f>IFERROR(('Activity data'!BM90*(1/Constants!$H$99))*ttokg*FracLEACH*MSLeachEF*NtoN2O*kgtoGg,"NO")</f>
        <v>1.3385723150149357E-2</v>
      </c>
      <c r="BN148" s="23">
        <f>IFERROR(('Activity data'!BN90*(1/Constants!$H$99))*ttokg*FracLEACH*MSLeachEF*NtoN2O*kgtoGg,"NO")</f>
        <v>1.342554583289849E-2</v>
      </c>
      <c r="BO148" s="23">
        <f>IFERROR(('Activity data'!BO90*(1/Constants!$H$99))*ttokg*FracLEACH*MSLeachEF*NtoN2O*kgtoGg,"NO")</f>
        <v>1.3465368515647631E-2</v>
      </c>
      <c r="BP148" s="23">
        <f>IFERROR(('Activity data'!BP90*(1/Constants!$H$99))*ttokg*FracLEACH*MSLeachEF*NtoN2O*kgtoGg,"NO")</f>
        <v>1.3505191198396767E-2</v>
      </c>
    </row>
    <row r="149" spans="1:68" x14ac:dyDescent="0.25">
      <c r="A149" t="str">
        <f t="shared" si="58"/>
        <v>3C Aggregated and non-CO2 emissions on land</v>
      </c>
      <c r="B149" t="str">
        <f t="shared" si="59"/>
        <v>3C5 Indirect N2O from managed soils (N2O)</v>
      </c>
      <c r="C149" t="str">
        <f t="shared" si="54"/>
        <v>Leaching/runoff</v>
      </c>
      <c r="D149" t="str">
        <f>" - FSOM - "&amp;'Activity data'!D91</f>
        <v xml:space="preserve"> - FSOM - Grassland remaining grassland</v>
      </c>
      <c r="E149" t="str">
        <f t="shared" si="60"/>
        <v>Leaching/runoff - FSOM - Grassland remaining grassland</v>
      </c>
      <c r="F149" t="str">
        <f t="shared" si="47"/>
        <v>N2O</v>
      </c>
      <c r="G149" t="str">
        <f t="shared" si="48"/>
        <v>Gg N2O</v>
      </c>
      <c r="H149" s="23" t="str">
        <f>IFERROR(('Activity data'!H91*(1/Constants!$H$99))*ttokg*FracLEACH*MSLeachEF*NtoN2O*kgtoGg,"NO")</f>
        <v>NO</v>
      </c>
      <c r="I149" s="23">
        <f>IFERROR(('Activity data'!I91*(1/Constants!$H$99))*ttokg*FracLEACH*MSLeachEF*NtoN2O*kgtoGg,"NO")</f>
        <v>1.737211725152201E-4</v>
      </c>
      <c r="J149" s="23">
        <f>IFERROR(('Activity data'!J91*(1/Constants!$H$99))*ttokg*FracLEACH*MSLeachEF*NtoN2O*kgtoGg,"NO")</f>
        <v>1.737211725152201E-4</v>
      </c>
      <c r="K149" s="23">
        <f>IFERROR(('Activity data'!K91*(1/Constants!$H$99))*ttokg*FracLEACH*MSLeachEF*NtoN2O*kgtoGg,"NO")</f>
        <v>1.737211725152201E-4</v>
      </c>
      <c r="L149" s="23">
        <f>IFERROR(('Activity data'!L91*(1/Constants!$H$99))*ttokg*FracLEACH*MSLeachEF*NtoN2O*kgtoGg,"NO")</f>
        <v>1.737211725152201E-4</v>
      </c>
      <c r="M149" s="23">
        <f>IFERROR(('Activity data'!M91*(1/Constants!$H$99))*ttokg*FracLEACH*MSLeachEF*NtoN2O*kgtoGg,"NO")</f>
        <v>1.737211725152201E-4</v>
      </c>
      <c r="N149" s="23">
        <f>IFERROR(('Activity data'!N91*(1/Constants!$H$99))*ttokg*FracLEACH*MSLeachEF*NtoN2O*kgtoGg,"NO")</f>
        <v>1.737211725152201E-4</v>
      </c>
      <c r="O149" s="23">
        <f>IFERROR(('Activity data'!O91*(1/Constants!$H$99))*ttokg*FracLEACH*MSLeachEF*NtoN2O*kgtoGg,"NO")</f>
        <v>1.737211725152201E-4</v>
      </c>
      <c r="P149" s="23">
        <f>IFERROR(('Activity data'!P91*(1/Constants!$H$99))*ttokg*FracLEACH*MSLeachEF*NtoN2O*kgtoGg,"NO")</f>
        <v>1.737211725152201E-4</v>
      </c>
      <c r="Q149" s="23">
        <f>IFERROR(('Activity data'!Q91*(1/Constants!$H$99))*ttokg*FracLEACH*MSLeachEF*NtoN2O*kgtoGg,"NO")</f>
        <v>1.737211725152201E-4</v>
      </c>
      <c r="R149" s="23">
        <f>IFERROR(('Activity data'!R91*(1/Constants!$H$99))*ttokg*FracLEACH*MSLeachEF*NtoN2O*kgtoGg,"NO")</f>
        <v>1.737211725152201E-4</v>
      </c>
      <c r="S149" s="23">
        <f>IFERROR(('Activity data'!S91*(1/Constants!$H$99))*ttokg*FracLEACH*MSLeachEF*NtoN2O*kgtoGg,"NO")</f>
        <v>1.737211725152201E-4</v>
      </c>
      <c r="T149" s="23">
        <f>IFERROR(('Activity data'!T91*(1/Constants!$H$99))*ttokg*FracLEACH*MSLeachEF*NtoN2O*kgtoGg,"NO")</f>
        <v>1.737211725152201E-4</v>
      </c>
      <c r="U149" s="23">
        <f>IFERROR(('Activity data'!U91*(1/Constants!$H$99))*ttokg*FracLEACH*MSLeachEF*NtoN2O*kgtoGg,"NO")</f>
        <v>1.737211725152201E-4</v>
      </c>
      <c r="V149" s="23">
        <f>IFERROR(('Activity data'!V91*(1/Constants!$H$99))*ttokg*FracLEACH*MSLeachEF*NtoN2O*kgtoGg,"NO")</f>
        <v>1.737211725152201E-4</v>
      </c>
      <c r="W149" s="23">
        <f>IFERROR(('Activity data'!W91*(1/Constants!$H$99))*ttokg*FracLEACH*MSLeachEF*NtoN2O*kgtoGg,"NO")</f>
        <v>1.737211725152201E-4</v>
      </c>
      <c r="X149" s="23">
        <f>IFERROR(('Activity data'!X91*(1/Constants!$H$99))*ttokg*FracLEACH*MSLeachEF*NtoN2O*kgtoGg,"NO")</f>
        <v>1.737211725152201E-4</v>
      </c>
      <c r="Y149" s="23">
        <f>IFERROR(('Activity data'!Y91*(1/Constants!$H$99))*ttokg*FracLEACH*MSLeachEF*NtoN2O*kgtoGg,"NO")</f>
        <v>1.737211725152201E-4</v>
      </c>
      <c r="Z149" s="23">
        <f>IFERROR(('Activity data'!Z91*(1/Constants!$H$99))*ttokg*FracLEACH*MSLeachEF*NtoN2O*kgtoGg,"NO")</f>
        <v>1.737211725152201E-4</v>
      </c>
      <c r="AA149" s="23">
        <f>IFERROR(('Activity data'!AA91*(1/Constants!$H$99))*ttokg*FracLEACH*MSLeachEF*NtoN2O*kgtoGg,"NO")</f>
        <v>1.737211725152201E-4</v>
      </c>
      <c r="AB149" s="23">
        <f>IFERROR(('Activity data'!AB91*(1/Constants!$H$99))*ttokg*FracLEACH*MSLeachEF*NtoN2O*kgtoGg,"NO")</f>
        <v>1.737211725152201E-4</v>
      </c>
      <c r="AC149" s="23">
        <f>IFERROR(('Activity data'!AC91*(1/Constants!$H$99))*ttokg*FracLEACH*MSLeachEF*NtoN2O*kgtoGg,"NO")</f>
        <v>1.737211725152201E-4</v>
      </c>
      <c r="AD149" s="23">
        <f>IFERROR(('Activity data'!AD91*(1/Constants!$H$99))*ttokg*FracLEACH*MSLeachEF*NtoN2O*kgtoGg,"NO")</f>
        <v>1.737211725152201E-4</v>
      </c>
      <c r="AE149" s="23">
        <f>IFERROR(('Activity data'!AE91*(1/Constants!$H$99))*ttokg*FracLEACH*MSLeachEF*NtoN2O*kgtoGg,"NO")</f>
        <v>1.737211725152201E-4</v>
      </c>
      <c r="AF149" s="23">
        <f>IFERROR(('Activity data'!AF91*(1/Constants!$H$99))*ttokg*FracLEACH*MSLeachEF*NtoN2O*kgtoGg,"NO")</f>
        <v>1.737211725152201E-4</v>
      </c>
      <c r="AG149" s="23">
        <f>IFERROR(('Activity data'!AG91*(1/Constants!$H$99))*ttokg*FracLEACH*MSLeachEF*NtoN2O*kgtoGg,"NO")</f>
        <v>1.737211725152201E-4</v>
      </c>
      <c r="AH149" s="23">
        <f>IFERROR(('Activity data'!AH91*(1/Constants!$H$99))*ttokg*FracLEACH*MSLeachEF*NtoN2O*kgtoGg,"NO")</f>
        <v>1.737211725152201E-4</v>
      </c>
      <c r="AI149" s="23">
        <f>IFERROR(('Activity data'!AI91*(1/Constants!$H$99))*ttokg*FracLEACH*MSLeachEF*NtoN2O*kgtoGg,"NO")</f>
        <v>1.737211725152201E-4</v>
      </c>
      <c r="AJ149" s="23">
        <f>IFERROR(('Activity data'!AJ91*(1/Constants!$H$99))*ttokg*FracLEACH*MSLeachEF*NtoN2O*kgtoGg,"NO")</f>
        <v>4.7773839461586233E-2</v>
      </c>
      <c r="AK149" s="23">
        <f>IFERROR(('Activity data'!AK91*(1/Constants!$H$99))*ttokg*FracLEACH*MSLeachEF*NtoN2O*kgtoGg,"NO")</f>
        <v>4.7773839461586233E-2</v>
      </c>
      <c r="AL149" s="23">
        <f>IFERROR(('Activity data'!AL91*(1/Constants!$H$99))*ttokg*FracLEACH*MSLeachEF*NtoN2O*kgtoGg,"NO")</f>
        <v>4.7773839461586233E-2</v>
      </c>
      <c r="AM149" s="23">
        <f>IFERROR(('Activity data'!AM91*(1/Constants!$H$99))*ttokg*FracLEACH*MSLeachEF*NtoN2O*kgtoGg,"NO")</f>
        <v>4.7773839461586233E-2</v>
      </c>
      <c r="AN149" s="23">
        <f>IFERROR(('Activity data'!AN91*(1/Constants!$H$99))*ttokg*FracLEACH*MSLeachEF*NtoN2O*kgtoGg,"NO")</f>
        <v>4.7773839461586233E-2</v>
      </c>
      <c r="AO149" s="23">
        <f>IFERROR(('Activity data'!AO91*(1/Constants!$H$99))*ttokg*FracLEACH*MSLeachEF*NtoN2O*kgtoGg,"NO")</f>
        <v>4.7773839461586233E-2</v>
      </c>
      <c r="AP149" s="23">
        <f>IFERROR(('Activity data'!AP91*(1/Constants!$H$99))*ttokg*FracLEACH*MSLeachEF*NtoN2O*kgtoGg,"NO")</f>
        <v>4.7773839461586233E-2</v>
      </c>
      <c r="AQ149" s="23">
        <f>IFERROR(('Activity data'!AQ91*(1/Constants!$H$99))*ttokg*FracLEACH*MSLeachEF*NtoN2O*kgtoGg,"NO")</f>
        <v>4.7773839461586233E-2</v>
      </c>
      <c r="AR149" s="23">
        <f>IFERROR(('Activity data'!AR91*(1/Constants!$H$99))*ttokg*FracLEACH*MSLeachEF*NtoN2O*kgtoGg,"NO")</f>
        <v>4.7773839461586233E-2</v>
      </c>
      <c r="AS149" s="23">
        <f>IFERROR(('Activity data'!AS91*(1/Constants!$H$99))*ttokg*FracLEACH*MSLeachEF*NtoN2O*kgtoGg,"NO")</f>
        <v>4.7773839461586233E-2</v>
      </c>
      <c r="AT149" s="23">
        <f>IFERROR(('Activity data'!AT91*(1/Constants!$H$99))*ttokg*FracLEACH*MSLeachEF*NtoN2O*kgtoGg,"NO")</f>
        <v>4.7773839461586233E-2</v>
      </c>
      <c r="AU149" s="23">
        <f>IFERROR(('Activity data'!AU91*(1/Constants!$H$99))*ttokg*FracLEACH*MSLeachEF*NtoN2O*kgtoGg,"NO")</f>
        <v>4.7773839461586233E-2</v>
      </c>
      <c r="AV149" s="23">
        <f>IFERROR(('Activity data'!AV91*(1/Constants!$H$99))*ttokg*FracLEACH*MSLeachEF*NtoN2O*kgtoGg,"NO")</f>
        <v>4.7773839461586233E-2</v>
      </c>
      <c r="AW149" s="23">
        <f>IFERROR(('Activity data'!AW91*(1/Constants!$H$99))*ttokg*FracLEACH*MSLeachEF*NtoN2O*kgtoGg,"NO")</f>
        <v>4.7773839461586233E-2</v>
      </c>
      <c r="AX149" s="23">
        <f>IFERROR(('Activity data'!AX91*(1/Constants!$H$99))*ttokg*FracLEACH*MSLeachEF*NtoN2O*kgtoGg,"NO")</f>
        <v>4.7773839461586233E-2</v>
      </c>
      <c r="AY149" s="23">
        <f>IFERROR(('Activity data'!AY91*(1/Constants!$H$99))*ttokg*FracLEACH*MSLeachEF*NtoN2O*kgtoGg,"NO")</f>
        <v>4.7773839461586233E-2</v>
      </c>
      <c r="AZ149" s="23">
        <f>IFERROR(('Activity data'!AZ91*(1/Constants!$H$99))*ttokg*FracLEACH*MSLeachEF*NtoN2O*kgtoGg,"NO")</f>
        <v>4.7773839461586233E-2</v>
      </c>
      <c r="BA149" s="23">
        <f>IFERROR(('Activity data'!BA91*(1/Constants!$H$99))*ttokg*FracLEACH*MSLeachEF*NtoN2O*kgtoGg,"NO")</f>
        <v>4.7773839461586233E-2</v>
      </c>
      <c r="BB149" s="23">
        <f>IFERROR(('Activity data'!BB91*(1/Constants!$H$99))*ttokg*FracLEACH*MSLeachEF*NtoN2O*kgtoGg,"NO")</f>
        <v>4.7773839461586233E-2</v>
      </c>
      <c r="BC149" s="23">
        <f>IFERROR(('Activity data'!BC91*(1/Constants!$H$99))*ttokg*FracLEACH*MSLeachEF*NtoN2O*kgtoGg,"NO")</f>
        <v>4.7773839461586233E-2</v>
      </c>
      <c r="BD149" s="23">
        <f>IFERROR(('Activity data'!BD91*(1/Constants!$H$99))*ttokg*FracLEACH*MSLeachEF*NtoN2O*kgtoGg,"NO")</f>
        <v>4.7773839461586233E-2</v>
      </c>
      <c r="BE149" s="23">
        <f>IFERROR(('Activity data'!BE91*(1/Constants!$H$99))*ttokg*FracLEACH*MSLeachEF*NtoN2O*kgtoGg,"NO")</f>
        <v>4.7773839461586233E-2</v>
      </c>
      <c r="BF149" s="23">
        <f>IFERROR(('Activity data'!BF91*(1/Constants!$H$99))*ttokg*FracLEACH*MSLeachEF*NtoN2O*kgtoGg,"NO")</f>
        <v>4.7773839461586233E-2</v>
      </c>
      <c r="BG149" s="23">
        <f>IFERROR(('Activity data'!BG91*(1/Constants!$H$99))*ttokg*FracLEACH*MSLeachEF*NtoN2O*kgtoGg,"NO")</f>
        <v>4.7773839461586233E-2</v>
      </c>
      <c r="BH149" s="23">
        <f>IFERROR(('Activity data'!BH91*(1/Constants!$H$99))*ttokg*FracLEACH*MSLeachEF*NtoN2O*kgtoGg,"NO")</f>
        <v>4.7773839461586233E-2</v>
      </c>
      <c r="BI149" s="23">
        <f>IFERROR(('Activity data'!BI91*(1/Constants!$H$99))*ttokg*FracLEACH*MSLeachEF*NtoN2O*kgtoGg,"NO")</f>
        <v>4.7773839461586233E-2</v>
      </c>
      <c r="BJ149" s="23">
        <f>IFERROR(('Activity data'!BJ91*(1/Constants!$H$99))*ttokg*FracLEACH*MSLeachEF*NtoN2O*kgtoGg,"NO")</f>
        <v>4.7773839461586233E-2</v>
      </c>
      <c r="BK149" s="23">
        <f>IFERROR(('Activity data'!BK91*(1/Constants!$H$99))*ttokg*FracLEACH*MSLeachEF*NtoN2O*kgtoGg,"NO")</f>
        <v>4.7773839461586233E-2</v>
      </c>
      <c r="BL149" s="23">
        <f>IFERROR(('Activity data'!BL91*(1/Constants!$H$99))*ttokg*FracLEACH*MSLeachEF*NtoN2O*kgtoGg,"NO")</f>
        <v>4.7773839461586233E-2</v>
      </c>
      <c r="BM149" s="23">
        <f>IFERROR(('Activity data'!BM91*(1/Constants!$H$99))*ttokg*FracLEACH*MSLeachEF*NtoN2O*kgtoGg,"NO")</f>
        <v>4.7773839461586233E-2</v>
      </c>
      <c r="BN149" s="23">
        <f>IFERROR(('Activity data'!BN91*(1/Constants!$H$99))*ttokg*FracLEACH*MSLeachEF*NtoN2O*kgtoGg,"NO")</f>
        <v>4.7773839461586233E-2</v>
      </c>
      <c r="BO149" s="23">
        <f>IFERROR(('Activity data'!BO91*(1/Constants!$H$99))*ttokg*FracLEACH*MSLeachEF*NtoN2O*kgtoGg,"NO")</f>
        <v>4.7773839461586233E-2</v>
      </c>
      <c r="BP149" s="23">
        <f>IFERROR(('Activity data'!BP91*(1/Constants!$H$99))*ttokg*FracLEACH*MSLeachEF*NtoN2O*kgtoGg,"NO")</f>
        <v>4.7773839461586233E-2</v>
      </c>
    </row>
    <row r="150" spans="1:68" x14ac:dyDescent="0.25">
      <c r="A150" t="str">
        <f t="shared" si="58"/>
        <v>3C Aggregated and non-CO2 emissions on land</v>
      </c>
      <c r="B150" t="str">
        <f t="shared" si="59"/>
        <v>3C5 Indirect N2O from managed soils (N2O)</v>
      </c>
      <c r="C150" t="str">
        <f t="shared" si="54"/>
        <v>Leaching/runoff</v>
      </c>
      <c r="D150" t="str">
        <f>" - FSOM - "&amp;'Activity data'!D92</f>
        <v xml:space="preserve"> - FSOM - Land converted to grassland</v>
      </c>
      <c r="E150" t="str">
        <f t="shared" si="60"/>
        <v>Leaching/runoff - FSOM - Land converted to grassland</v>
      </c>
      <c r="F150" t="str">
        <f t="shared" si="47"/>
        <v>N2O</v>
      </c>
      <c r="G150" t="str">
        <f t="shared" si="48"/>
        <v>Gg N2O</v>
      </c>
      <c r="H150" s="23">
        <f>IFERROR(('Activity data'!H92*(1/Constants!$H$99))*ttokg*FracLEACH*MSLeachEF*NtoN2O*kgtoGg,"NO")</f>
        <v>0</v>
      </c>
      <c r="I150" s="23">
        <f>IFERROR(('Activity data'!I92*(1/Constants!$H$99))*ttokg*FracLEACH*MSLeachEF*NtoN2O*kgtoGg,"NO")</f>
        <v>9.2483926361848039E-3</v>
      </c>
      <c r="J150" s="23">
        <f>IFERROR(('Activity data'!J92*(1/Constants!$H$99))*ttokg*FracLEACH*MSLeachEF*NtoN2O*kgtoGg,"NO")</f>
        <v>9.2483926361848039E-3</v>
      </c>
      <c r="K150" s="23">
        <f>IFERROR(('Activity data'!K92*(1/Constants!$H$99))*ttokg*FracLEACH*MSLeachEF*NtoN2O*kgtoGg,"NO")</f>
        <v>9.2483926361848039E-3</v>
      </c>
      <c r="L150" s="23">
        <f>IFERROR(('Activity data'!L92*(1/Constants!$H$99))*ttokg*FracLEACH*MSLeachEF*NtoN2O*kgtoGg,"NO")</f>
        <v>9.2483926361848039E-3</v>
      </c>
      <c r="M150" s="23">
        <f>IFERROR(('Activity data'!M92*(1/Constants!$H$99))*ttokg*FracLEACH*MSLeachEF*NtoN2O*kgtoGg,"NO")</f>
        <v>9.2483926361848039E-3</v>
      </c>
      <c r="N150" s="23">
        <f>IFERROR(('Activity data'!N92*(1/Constants!$H$99))*ttokg*FracLEACH*MSLeachEF*NtoN2O*kgtoGg,"NO")</f>
        <v>9.2483926361848039E-3</v>
      </c>
      <c r="O150" s="23">
        <f>IFERROR(('Activity data'!O92*(1/Constants!$H$99))*ttokg*FracLEACH*MSLeachEF*NtoN2O*kgtoGg,"NO")</f>
        <v>9.2483926361848039E-3</v>
      </c>
      <c r="P150" s="23">
        <f>IFERROR(('Activity data'!P92*(1/Constants!$H$99))*ttokg*FracLEACH*MSLeachEF*NtoN2O*kgtoGg,"NO")</f>
        <v>9.2483926361848039E-3</v>
      </c>
      <c r="Q150" s="23">
        <f>IFERROR(('Activity data'!Q92*(1/Constants!$H$99))*ttokg*FracLEACH*MSLeachEF*NtoN2O*kgtoGg,"NO")</f>
        <v>9.2483926361848039E-3</v>
      </c>
      <c r="R150" s="23">
        <f>IFERROR(('Activity data'!R92*(1/Constants!$H$99))*ttokg*FracLEACH*MSLeachEF*NtoN2O*kgtoGg,"NO")</f>
        <v>9.2483926361848039E-3</v>
      </c>
      <c r="S150" s="23">
        <f>IFERROR(('Activity data'!S92*(1/Constants!$H$99))*ttokg*FracLEACH*MSLeachEF*NtoN2O*kgtoGg,"NO")</f>
        <v>9.2483926361848039E-3</v>
      </c>
      <c r="T150" s="23">
        <f>IFERROR(('Activity data'!T92*(1/Constants!$H$99))*ttokg*FracLEACH*MSLeachEF*NtoN2O*kgtoGg,"NO")</f>
        <v>9.2483926361848039E-3</v>
      </c>
      <c r="U150" s="23">
        <f>IFERROR(('Activity data'!U92*(1/Constants!$H$99))*ttokg*FracLEACH*MSLeachEF*NtoN2O*kgtoGg,"NO")</f>
        <v>9.2483926361848039E-3</v>
      </c>
      <c r="V150" s="23">
        <f>IFERROR(('Activity data'!V92*(1/Constants!$H$99))*ttokg*FracLEACH*MSLeachEF*NtoN2O*kgtoGg,"NO")</f>
        <v>9.2483926361848039E-3</v>
      </c>
      <c r="W150" s="23">
        <f>IFERROR(('Activity data'!W92*(1/Constants!$H$99))*ttokg*FracLEACH*MSLeachEF*NtoN2O*kgtoGg,"NO")</f>
        <v>9.2483926361848039E-3</v>
      </c>
      <c r="X150" s="23">
        <f>IFERROR(('Activity data'!X92*(1/Constants!$H$99))*ttokg*FracLEACH*MSLeachEF*NtoN2O*kgtoGg,"NO")</f>
        <v>9.2483926361848039E-3</v>
      </c>
      <c r="Y150" s="23">
        <f>IFERROR(('Activity data'!Y92*(1/Constants!$H$99))*ttokg*FracLEACH*MSLeachEF*NtoN2O*kgtoGg,"NO")</f>
        <v>9.2483926361848039E-3</v>
      </c>
      <c r="Z150" s="23">
        <f>IFERROR(('Activity data'!Z92*(1/Constants!$H$99))*ttokg*FracLEACH*MSLeachEF*NtoN2O*kgtoGg,"NO")</f>
        <v>9.2483926361848039E-3</v>
      </c>
      <c r="AA150" s="23">
        <f>IFERROR(('Activity data'!AA92*(1/Constants!$H$99))*ttokg*FracLEACH*MSLeachEF*NtoN2O*kgtoGg,"NO")</f>
        <v>9.2483926361848039E-3</v>
      </c>
      <c r="AB150" s="23">
        <f>IFERROR(('Activity data'!AB92*(1/Constants!$H$99))*ttokg*FracLEACH*MSLeachEF*NtoN2O*kgtoGg,"NO")</f>
        <v>9.2483926361848039E-3</v>
      </c>
      <c r="AC150" s="23">
        <f>IFERROR(('Activity data'!AC92*(1/Constants!$H$99))*ttokg*FracLEACH*MSLeachEF*NtoN2O*kgtoGg,"NO")</f>
        <v>9.2483926361848039E-3</v>
      </c>
      <c r="AD150" s="23">
        <f>IFERROR(('Activity data'!AD92*(1/Constants!$H$99))*ttokg*FracLEACH*MSLeachEF*NtoN2O*kgtoGg,"NO")</f>
        <v>9.2483926361848039E-3</v>
      </c>
      <c r="AE150" s="23">
        <f>IFERROR(('Activity data'!AE92*(1/Constants!$H$99))*ttokg*FracLEACH*MSLeachEF*NtoN2O*kgtoGg,"NO")</f>
        <v>9.2483926361848039E-3</v>
      </c>
      <c r="AF150" s="23">
        <f>IFERROR(('Activity data'!AF92*(1/Constants!$H$99))*ttokg*FracLEACH*MSLeachEF*NtoN2O*kgtoGg,"NO")</f>
        <v>9.2483926361848039E-3</v>
      </c>
      <c r="AG150" s="23">
        <f>IFERROR(('Activity data'!AG92*(1/Constants!$H$99))*ttokg*FracLEACH*MSLeachEF*NtoN2O*kgtoGg,"NO")</f>
        <v>9.2483926361848039E-3</v>
      </c>
      <c r="AH150" s="23">
        <f>IFERROR(('Activity data'!AH92*(1/Constants!$H$99))*ttokg*FracLEACH*MSLeachEF*NtoN2O*kgtoGg,"NO")</f>
        <v>9.2483926361848039E-3</v>
      </c>
      <c r="AI150" s="23">
        <f>IFERROR(('Activity data'!AI92*(1/Constants!$H$99))*ttokg*FracLEACH*MSLeachEF*NtoN2O*kgtoGg,"NO")</f>
        <v>9.2483926361848039E-3</v>
      </c>
      <c r="AJ150" s="23" t="str">
        <f>IFERROR(('Activity data'!AJ92*(1/Constants!$H$99))*ttokg*FracLEACH*MSLeachEF*NtoN2O*kgtoGg,"NO")</f>
        <v>NO</v>
      </c>
      <c r="AK150" s="23" t="str">
        <f>IFERROR(('Activity data'!AK92*(1/Constants!$H$99))*ttokg*FracLEACH*MSLeachEF*NtoN2O*kgtoGg,"NO")</f>
        <v>NO</v>
      </c>
      <c r="AL150" s="23" t="str">
        <f>IFERROR(('Activity data'!AL92*(1/Constants!$H$99))*ttokg*FracLEACH*MSLeachEF*NtoN2O*kgtoGg,"NO")</f>
        <v>NO</v>
      </c>
      <c r="AM150" s="23" t="str">
        <f>IFERROR(('Activity data'!AM92*(1/Constants!$H$99))*ttokg*FracLEACH*MSLeachEF*NtoN2O*kgtoGg,"NO")</f>
        <v>NO</v>
      </c>
      <c r="AN150" s="23" t="str">
        <f>IFERROR(('Activity data'!AN92*(1/Constants!$H$99))*ttokg*FracLEACH*MSLeachEF*NtoN2O*kgtoGg,"NO")</f>
        <v>NO</v>
      </c>
      <c r="AO150" s="23" t="str">
        <f>IFERROR(('Activity data'!AO92*(1/Constants!$H$99))*ttokg*FracLEACH*MSLeachEF*NtoN2O*kgtoGg,"NO")</f>
        <v>NO</v>
      </c>
      <c r="AP150" s="23" t="str">
        <f>IFERROR(('Activity data'!AP92*(1/Constants!$H$99))*ttokg*FracLEACH*MSLeachEF*NtoN2O*kgtoGg,"NO")</f>
        <v>NO</v>
      </c>
      <c r="AQ150" s="23" t="str">
        <f>IFERROR(('Activity data'!AQ92*(1/Constants!$H$99))*ttokg*FracLEACH*MSLeachEF*NtoN2O*kgtoGg,"NO")</f>
        <v>NO</v>
      </c>
      <c r="AR150" s="23" t="str">
        <f>IFERROR(('Activity data'!AR92*(1/Constants!$H$99))*ttokg*FracLEACH*MSLeachEF*NtoN2O*kgtoGg,"NO")</f>
        <v>NO</v>
      </c>
      <c r="AS150" s="23" t="str">
        <f>IFERROR(('Activity data'!AS92*(1/Constants!$H$99))*ttokg*FracLEACH*MSLeachEF*NtoN2O*kgtoGg,"NO")</f>
        <v>NO</v>
      </c>
      <c r="AT150" s="23" t="str">
        <f>IFERROR(('Activity data'!AT92*(1/Constants!$H$99))*ttokg*FracLEACH*MSLeachEF*NtoN2O*kgtoGg,"NO")</f>
        <v>NO</v>
      </c>
      <c r="AU150" s="23" t="str">
        <f>IFERROR(('Activity data'!AU92*(1/Constants!$H$99))*ttokg*FracLEACH*MSLeachEF*NtoN2O*kgtoGg,"NO")</f>
        <v>NO</v>
      </c>
      <c r="AV150" s="23" t="str">
        <f>IFERROR(('Activity data'!AV92*(1/Constants!$H$99))*ttokg*FracLEACH*MSLeachEF*NtoN2O*kgtoGg,"NO")</f>
        <v>NO</v>
      </c>
      <c r="AW150" s="23" t="str">
        <f>IFERROR(('Activity data'!AW92*(1/Constants!$H$99))*ttokg*FracLEACH*MSLeachEF*NtoN2O*kgtoGg,"NO")</f>
        <v>NO</v>
      </c>
      <c r="AX150" s="23" t="str">
        <f>IFERROR(('Activity data'!AX92*(1/Constants!$H$99))*ttokg*FracLEACH*MSLeachEF*NtoN2O*kgtoGg,"NO")</f>
        <v>NO</v>
      </c>
      <c r="AY150" s="23" t="str">
        <f>IFERROR(('Activity data'!AY92*(1/Constants!$H$99))*ttokg*FracLEACH*MSLeachEF*NtoN2O*kgtoGg,"NO")</f>
        <v>NO</v>
      </c>
      <c r="AZ150" s="23" t="str">
        <f>IFERROR(('Activity data'!AZ92*(1/Constants!$H$99))*ttokg*FracLEACH*MSLeachEF*NtoN2O*kgtoGg,"NO")</f>
        <v>NO</v>
      </c>
      <c r="BA150" s="23" t="str">
        <f>IFERROR(('Activity data'!BA92*(1/Constants!$H$99))*ttokg*FracLEACH*MSLeachEF*NtoN2O*kgtoGg,"NO")</f>
        <v>NO</v>
      </c>
      <c r="BB150" s="23" t="str">
        <f>IFERROR(('Activity data'!BB92*(1/Constants!$H$99))*ttokg*FracLEACH*MSLeachEF*NtoN2O*kgtoGg,"NO")</f>
        <v>NO</v>
      </c>
      <c r="BC150" s="23" t="str">
        <f>IFERROR(('Activity data'!BC92*(1/Constants!$H$99))*ttokg*FracLEACH*MSLeachEF*NtoN2O*kgtoGg,"NO")</f>
        <v>NO</v>
      </c>
      <c r="BD150" s="23" t="str">
        <f>IFERROR(('Activity data'!BD92*(1/Constants!$H$99))*ttokg*FracLEACH*MSLeachEF*NtoN2O*kgtoGg,"NO")</f>
        <v>NO</v>
      </c>
      <c r="BE150" s="23" t="str">
        <f>IFERROR(('Activity data'!BE92*(1/Constants!$H$99))*ttokg*FracLEACH*MSLeachEF*NtoN2O*kgtoGg,"NO")</f>
        <v>NO</v>
      </c>
      <c r="BF150" s="23" t="str">
        <f>IFERROR(('Activity data'!BF92*(1/Constants!$H$99))*ttokg*FracLEACH*MSLeachEF*NtoN2O*kgtoGg,"NO")</f>
        <v>NO</v>
      </c>
      <c r="BG150" s="23" t="str">
        <f>IFERROR(('Activity data'!BG92*(1/Constants!$H$99))*ttokg*FracLEACH*MSLeachEF*NtoN2O*kgtoGg,"NO")</f>
        <v>NO</v>
      </c>
      <c r="BH150" s="23" t="str">
        <f>IFERROR(('Activity data'!BH92*(1/Constants!$H$99))*ttokg*FracLEACH*MSLeachEF*NtoN2O*kgtoGg,"NO")</f>
        <v>NO</v>
      </c>
      <c r="BI150" s="23" t="str">
        <f>IFERROR(('Activity data'!BI92*(1/Constants!$H$99))*ttokg*FracLEACH*MSLeachEF*NtoN2O*kgtoGg,"NO")</f>
        <v>NO</v>
      </c>
      <c r="BJ150" s="23" t="str">
        <f>IFERROR(('Activity data'!BJ92*(1/Constants!$H$99))*ttokg*FracLEACH*MSLeachEF*NtoN2O*kgtoGg,"NO")</f>
        <v>NO</v>
      </c>
      <c r="BK150" s="23" t="str">
        <f>IFERROR(('Activity data'!BK92*(1/Constants!$H$99))*ttokg*FracLEACH*MSLeachEF*NtoN2O*kgtoGg,"NO")</f>
        <v>NO</v>
      </c>
      <c r="BL150" s="23" t="str">
        <f>IFERROR(('Activity data'!BL92*(1/Constants!$H$99))*ttokg*FracLEACH*MSLeachEF*NtoN2O*kgtoGg,"NO")</f>
        <v>NO</v>
      </c>
      <c r="BM150" s="23" t="str">
        <f>IFERROR(('Activity data'!BM92*(1/Constants!$H$99))*ttokg*FracLEACH*MSLeachEF*NtoN2O*kgtoGg,"NO")</f>
        <v>NO</v>
      </c>
      <c r="BN150" s="23" t="str">
        <f>IFERROR(('Activity data'!BN92*(1/Constants!$H$99))*ttokg*FracLEACH*MSLeachEF*NtoN2O*kgtoGg,"NO")</f>
        <v>NO</v>
      </c>
      <c r="BO150" s="23" t="str">
        <f>IFERROR(('Activity data'!BO92*(1/Constants!$H$99))*ttokg*FracLEACH*MSLeachEF*NtoN2O*kgtoGg,"NO")</f>
        <v>NO</v>
      </c>
      <c r="BP150" s="23" t="str">
        <f>IFERROR(('Activity data'!BP92*(1/Constants!$H$99))*ttokg*FracLEACH*MSLeachEF*NtoN2O*kgtoGg,"NO")</f>
        <v>NO</v>
      </c>
    </row>
    <row r="151" spans="1:68" x14ac:dyDescent="0.25">
      <c r="A151" t="str">
        <f t="shared" si="58"/>
        <v>3C Aggregated and non-CO2 emissions on land</v>
      </c>
      <c r="B151" t="str">
        <f t="shared" si="59"/>
        <v>3C5 Indirect N2O from managed soils (N2O)</v>
      </c>
      <c r="C151" t="str">
        <f t="shared" si="54"/>
        <v>Leaching/runoff</v>
      </c>
      <c r="D151" t="str">
        <f>" - FSOM - "&amp;'Activity data'!D93</f>
        <v xml:space="preserve"> - FSOM - Wetland remaining wetland</v>
      </c>
      <c r="E151" t="str">
        <f t="shared" si="60"/>
        <v>Leaching/runoff - FSOM - Wetland remaining wetland</v>
      </c>
      <c r="F151" t="str">
        <f t="shared" si="47"/>
        <v>N2O</v>
      </c>
      <c r="G151" t="str">
        <f t="shared" si="48"/>
        <v>Gg N2O</v>
      </c>
      <c r="H151" s="23" t="str">
        <f>IFERROR(('Activity data'!H93*(1/Constants!$H$99))*ttokg*FracLEACH*MSLeachEF*NtoN2O*kgtoGg,"NO")</f>
        <v>NO</v>
      </c>
      <c r="I151" s="23" t="str">
        <f>IFERROR(('Activity data'!I93*(1/Constants!$H$99))*ttokg*FracLEACH*MSLeachEF*NtoN2O*kgtoGg,"NO")</f>
        <v>NO</v>
      </c>
      <c r="J151" s="23" t="str">
        <f>IFERROR(('Activity data'!J93*(1/Constants!$H$99))*ttokg*FracLEACH*MSLeachEF*NtoN2O*kgtoGg,"NO")</f>
        <v>NO</v>
      </c>
      <c r="K151" s="23" t="str">
        <f>IFERROR(('Activity data'!K93*(1/Constants!$H$99))*ttokg*FracLEACH*MSLeachEF*NtoN2O*kgtoGg,"NO")</f>
        <v>NO</v>
      </c>
      <c r="L151" s="23" t="str">
        <f>IFERROR(('Activity data'!L93*(1/Constants!$H$99))*ttokg*FracLEACH*MSLeachEF*NtoN2O*kgtoGg,"NO")</f>
        <v>NO</v>
      </c>
      <c r="M151" s="23" t="str">
        <f>IFERROR(('Activity data'!M93*(1/Constants!$H$99))*ttokg*FracLEACH*MSLeachEF*NtoN2O*kgtoGg,"NO")</f>
        <v>NO</v>
      </c>
      <c r="N151" s="23" t="str">
        <f>IFERROR(('Activity data'!N93*(1/Constants!$H$99))*ttokg*FracLEACH*MSLeachEF*NtoN2O*kgtoGg,"NO")</f>
        <v>NO</v>
      </c>
      <c r="O151" s="23" t="str">
        <f>IFERROR(('Activity data'!O93*(1/Constants!$H$99))*ttokg*FracLEACH*MSLeachEF*NtoN2O*kgtoGg,"NO")</f>
        <v>NO</v>
      </c>
      <c r="P151" s="23" t="str">
        <f>IFERROR(('Activity data'!P93*(1/Constants!$H$99))*ttokg*FracLEACH*MSLeachEF*NtoN2O*kgtoGg,"NO")</f>
        <v>NO</v>
      </c>
      <c r="Q151" s="23" t="str">
        <f>IFERROR(('Activity data'!Q93*(1/Constants!$H$99))*ttokg*FracLEACH*MSLeachEF*NtoN2O*kgtoGg,"NO")</f>
        <v>NO</v>
      </c>
      <c r="R151" s="23" t="str">
        <f>IFERROR(('Activity data'!R93*(1/Constants!$H$99))*ttokg*FracLEACH*MSLeachEF*NtoN2O*kgtoGg,"NO")</f>
        <v>NO</v>
      </c>
      <c r="S151" s="23" t="str">
        <f>IFERROR(('Activity data'!S93*(1/Constants!$H$99))*ttokg*FracLEACH*MSLeachEF*NtoN2O*kgtoGg,"NO")</f>
        <v>NO</v>
      </c>
      <c r="T151" s="23" t="str">
        <f>IFERROR(('Activity data'!T93*(1/Constants!$H$99))*ttokg*FracLEACH*MSLeachEF*NtoN2O*kgtoGg,"NO")</f>
        <v>NO</v>
      </c>
      <c r="U151" s="23" t="str">
        <f>IFERROR(('Activity data'!U93*(1/Constants!$H$99))*ttokg*FracLEACH*MSLeachEF*NtoN2O*kgtoGg,"NO")</f>
        <v>NO</v>
      </c>
      <c r="V151" s="23" t="str">
        <f>IFERROR(('Activity data'!V93*(1/Constants!$H$99))*ttokg*FracLEACH*MSLeachEF*NtoN2O*kgtoGg,"NO")</f>
        <v>NO</v>
      </c>
      <c r="W151" s="23" t="str">
        <f>IFERROR(('Activity data'!W93*(1/Constants!$H$99))*ttokg*FracLEACH*MSLeachEF*NtoN2O*kgtoGg,"NO")</f>
        <v>NO</v>
      </c>
      <c r="X151" s="23" t="str">
        <f>IFERROR(('Activity data'!X93*(1/Constants!$H$99))*ttokg*FracLEACH*MSLeachEF*NtoN2O*kgtoGg,"NO")</f>
        <v>NO</v>
      </c>
      <c r="Y151" s="23" t="str">
        <f>IFERROR(('Activity data'!Y93*(1/Constants!$H$99))*ttokg*FracLEACH*MSLeachEF*NtoN2O*kgtoGg,"NO")</f>
        <v>NO</v>
      </c>
      <c r="Z151" s="23" t="str">
        <f>IFERROR(('Activity data'!Z93*(1/Constants!$H$99))*ttokg*FracLEACH*MSLeachEF*NtoN2O*kgtoGg,"NO")</f>
        <v>NO</v>
      </c>
      <c r="AA151" s="23" t="str">
        <f>IFERROR(('Activity data'!AA93*(1/Constants!$H$99))*ttokg*FracLEACH*MSLeachEF*NtoN2O*kgtoGg,"NO")</f>
        <v>NO</v>
      </c>
      <c r="AB151" s="23" t="str">
        <f>IFERROR(('Activity data'!AB93*(1/Constants!$H$99))*ttokg*FracLEACH*MSLeachEF*NtoN2O*kgtoGg,"NO")</f>
        <v>NO</v>
      </c>
      <c r="AC151" s="23" t="str">
        <f>IFERROR(('Activity data'!AC93*(1/Constants!$H$99))*ttokg*FracLEACH*MSLeachEF*NtoN2O*kgtoGg,"NO")</f>
        <v>NO</v>
      </c>
      <c r="AD151" s="23" t="str">
        <f>IFERROR(('Activity data'!AD93*(1/Constants!$H$99))*ttokg*FracLEACH*MSLeachEF*NtoN2O*kgtoGg,"NO")</f>
        <v>NO</v>
      </c>
      <c r="AE151" s="23" t="str">
        <f>IFERROR(('Activity data'!AE93*(1/Constants!$H$99))*ttokg*FracLEACH*MSLeachEF*NtoN2O*kgtoGg,"NO")</f>
        <v>NO</v>
      </c>
      <c r="AF151" s="23" t="str">
        <f>IFERROR(('Activity data'!AF93*(1/Constants!$H$99))*ttokg*FracLEACH*MSLeachEF*NtoN2O*kgtoGg,"NO")</f>
        <v>NO</v>
      </c>
      <c r="AG151" s="23" t="str">
        <f>IFERROR(('Activity data'!AG93*(1/Constants!$H$99))*ttokg*FracLEACH*MSLeachEF*NtoN2O*kgtoGg,"NO")</f>
        <v>NO</v>
      </c>
      <c r="AH151" s="23" t="str">
        <f>IFERROR(('Activity data'!AH93*(1/Constants!$H$99))*ttokg*FracLEACH*MSLeachEF*NtoN2O*kgtoGg,"NO")</f>
        <v>NO</v>
      </c>
      <c r="AI151" s="23" t="str">
        <f>IFERROR(('Activity data'!AI93*(1/Constants!$H$99))*ttokg*FracLEACH*MSLeachEF*NtoN2O*kgtoGg,"NO")</f>
        <v>NO</v>
      </c>
      <c r="AJ151" s="23" t="str">
        <f>IFERROR(('Activity data'!AJ93*(1/Constants!$H$99))*ttokg*FracLEACH*MSLeachEF*NtoN2O*kgtoGg,"NO")</f>
        <v>NO</v>
      </c>
      <c r="AK151" s="23" t="str">
        <f>IFERROR(('Activity data'!AK93*(1/Constants!$H$99))*ttokg*FracLEACH*MSLeachEF*NtoN2O*kgtoGg,"NO")</f>
        <v>NO</v>
      </c>
      <c r="AL151" s="23" t="str">
        <f>IFERROR(('Activity data'!AL93*(1/Constants!$H$99))*ttokg*FracLEACH*MSLeachEF*NtoN2O*kgtoGg,"NO")</f>
        <v>NO</v>
      </c>
      <c r="AM151" s="23" t="str">
        <f>IFERROR(('Activity data'!AM93*(1/Constants!$H$99))*ttokg*FracLEACH*MSLeachEF*NtoN2O*kgtoGg,"NO")</f>
        <v>NO</v>
      </c>
      <c r="AN151" s="23" t="str">
        <f>IFERROR(('Activity data'!AN93*(1/Constants!$H$99))*ttokg*FracLEACH*MSLeachEF*NtoN2O*kgtoGg,"NO")</f>
        <v>NO</v>
      </c>
      <c r="AO151" s="23" t="str">
        <f>IFERROR(('Activity data'!AO93*(1/Constants!$H$99))*ttokg*FracLEACH*MSLeachEF*NtoN2O*kgtoGg,"NO")</f>
        <v>NO</v>
      </c>
      <c r="AP151" s="23" t="str">
        <f>IFERROR(('Activity data'!AP93*(1/Constants!$H$99))*ttokg*FracLEACH*MSLeachEF*NtoN2O*kgtoGg,"NO")</f>
        <v>NO</v>
      </c>
      <c r="AQ151" s="23" t="str">
        <f>IFERROR(('Activity data'!AQ93*(1/Constants!$H$99))*ttokg*FracLEACH*MSLeachEF*NtoN2O*kgtoGg,"NO")</f>
        <v>NO</v>
      </c>
      <c r="AR151" s="23" t="str">
        <f>IFERROR(('Activity data'!AR93*(1/Constants!$H$99))*ttokg*FracLEACH*MSLeachEF*NtoN2O*kgtoGg,"NO")</f>
        <v>NO</v>
      </c>
      <c r="AS151" s="23" t="str">
        <f>IFERROR(('Activity data'!AS93*(1/Constants!$H$99))*ttokg*FracLEACH*MSLeachEF*NtoN2O*kgtoGg,"NO")</f>
        <v>NO</v>
      </c>
      <c r="AT151" s="23" t="str">
        <f>IFERROR(('Activity data'!AT93*(1/Constants!$H$99))*ttokg*FracLEACH*MSLeachEF*NtoN2O*kgtoGg,"NO")</f>
        <v>NO</v>
      </c>
      <c r="AU151" s="23" t="str">
        <f>IFERROR(('Activity data'!AU93*(1/Constants!$H$99))*ttokg*FracLEACH*MSLeachEF*NtoN2O*kgtoGg,"NO")</f>
        <v>NO</v>
      </c>
      <c r="AV151" s="23" t="str">
        <f>IFERROR(('Activity data'!AV93*(1/Constants!$H$99))*ttokg*FracLEACH*MSLeachEF*NtoN2O*kgtoGg,"NO")</f>
        <v>NO</v>
      </c>
      <c r="AW151" s="23" t="str">
        <f>IFERROR(('Activity data'!AW93*(1/Constants!$H$99))*ttokg*FracLEACH*MSLeachEF*NtoN2O*kgtoGg,"NO")</f>
        <v>NO</v>
      </c>
      <c r="AX151" s="23" t="str">
        <f>IFERROR(('Activity data'!AX93*(1/Constants!$H$99))*ttokg*FracLEACH*MSLeachEF*NtoN2O*kgtoGg,"NO")</f>
        <v>NO</v>
      </c>
      <c r="AY151" s="23" t="str">
        <f>IFERROR(('Activity data'!AY93*(1/Constants!$H$99))*ttokg*FracLEACH*MSLeachEF*NtoN2O*kgtoGg,"NO")</f>
        <v>NO</v>
      </c>
      <c r="AZ151" s="23" t="str">
        <f>IFERROR(('Activity data'!AZ93*(1/Constants!$H$99))*ttokg*FracLEACH*MSLeachEF*NtoN2O*kgtoGg,"NO")</f>
        <v>NO</v>
      </c>
      <c r="BA151" s="23" t="str">
        <f>IFERROR(('Activity data'!BA93*(1/Constants!$H$99))*ttokg*FracLEACH*MSLeachEF*NtoN2O*kgtoGg,"NO")</f>
        <v>NO</v>
      </c>
      <c r="BB151" s="23" t="str">
        <f>IFERROR(('Activity data'!BB93*(1/Constants!$H$99))*ttokg*FracLEACH*MSLeachEF*NtoN2O*kgtoGg,"NO")</f>
        <v>NO</v>
      </c>
      <c r="BC151" s="23" t="str">
        <f>IFERROR(('Activity data'!BC93*(1/Constants!$H$99))*ttokg*FracLEACH*MSLeachEF*NtoN2O*kgtoGg,"NO")</f>
        <v>NO</v>
      </c>
      <c r="BD151" s="23" t="str">
        <f>IFERROR(('Activity data'!BD93*(1/Constants!$H$99))*ttokg*FracLEACH*MSLeachEF*NtoN2O*kgtoGg,"NO")</f>
        <v>NO</v>
      </c>
      <c r="BE151" s="23" t="str">
        <f>IFERROR(('Activity data'!BE93*(1/Constants!$H$99))*ttokg*FracLEACH*MSLeachEF*NtoN2O*kgtoGg,"NO")</f>
        <v>NO</v>
      </c>
      <c r="BF151" s="23" t="str">
        <f>IFERROR(('Activity data'!BF93*(1/Constants!$H$99))*ttokg*FracLEACH*MSLeachEF*NtoN2O*kgtoGg,"NO")</f>
        <v>NO</v>
      </c>
      <c r="BG151" s="23" t="str">
        <f>IFERROR(('Activity data'!BG93*(1/Constants!$H$99))*ttokg*FracLEACH*MSLeachEF*NtoN2O*kgtoGg,"NO")</f>
        <v>NO</v>
      </c>
      <c r="BH151" s="23" t="str">
        <f>IFERROR(('Activity data'!BH93*(1/Constants!$H$99))*ttokg*FracLEACH*MSLeachEF*NtoN2O*kgtoGg,"NO")</f>
        <v>NO</v>
      </c>
      <c r="BI151" s="23" t="str">
        <f>IFERROR(('Activity data'!BI93*(1/Constants!$H$99))*ttokg*FracLEACH*MSLeachEF*NtoN2O*kgtoGg,"NO")</f>
        <v>NO</v>
      </c>
      <c r="BJ151" s="23" t="str">
        <f>IFERROR(('Activity data'!BJ93*(1/Constants!$H$99))*ttokg*FracLEACH*MSLeachEF*NtoN2O*kgtoGg,"NO")</f>
        <v>NO</v>
      </c>
      <c r="BK151" s="23" t="str">
        <f>IFERROR(('Activity data'!BK93*(1/Constants!$H$99))*ttokg*FracLEACH*MSLeachEF*NtoN2O*kgtoGg,"NO")</f>
        <v>NO</v>
      </c>
      <c r="BL151" s="23" t="str">
        <f>IFERROR(('Activity data'!BL93*(1/Constants!$H$99))*ttokg*FracLEACH*MSLeachEF*NtoN2O*kgtoGg,"NO")</f>
        <v>NO</v>
      </c>
      <c r="BM151" s="23" t="str">
        <f>IFERROR(('Activity data'!BM93*(1/Constants!$H$99))*ttokg*FracLEACH*MSLeachEF*NtoN2O*kgtoGg,"NO")</f>
        <v>NO</v>
      </c>
      <c r="BN151" s="23" t="str">
        <f>IFERROR(('Activity data'!BN93*(1/Constants!$H$99))*ttokg*FracLEACH*MSLeachEF*NtoN2O*kgtoGg,"NO")</f>
        <v>NO</v>
      </c>
      <c r="BO151" s="23" t="str">
        <f>IFERROR(('Activity data'!BO93*(1/Constants!$H$99))*ttokg*FracLEACH*MSLeachEF*NtoN2O*kgtoGg,"NO")</f>
        <v>NO</v>
      </c>
      <c r="BP151" s="23" t="str">
        <f>IFERROR(('Activity data'!BP93*(1/Constants!$H$99))*ttokg*FracLEACH*MSLeachEF*NtoN2O*kgtoGg,"NO")</f>
        <v>NO</v>
      </c>
    </row>
    <row r="152" spans="1:68" x14ac:dyDescent="0.25">
      <c r="A152" t="str">
        <f t="shared" si="58"/>
        <v>3C Aggregated and non-CO2 emissions on land</v>
      </c>
      <c r="B152" t="str">
        <f t="shared" si="59"/>
        <v>3C5 Indirect N2O from managed soils (N2O)</v>
      </c>
      <c r="C152" t="str">
        <f t="shared" si="54"/>
        <v>Leaching/runoff</v>
      </c>
      <c r="D152" t="str">
        <f>" - FSOM - "&amp;'Activity data'!D94</f>
        <v xml:space="preserve"> - FSOM - Land converted to wetland</v>
      </c>
      <c r="E152" t="str">
        <f t="shared" si="60"/>
        <v>Leaching/runoff - FSOM - Land converted to wetland</v>
      </c>
      <c r="F152" t="str">
        <f t="shared" si="47"/>
        <v>N2O</v>
      </c>
      <c r="G152" t="str">
        <f t="shared" si="48"/>
        <v>Gg N2O</v>
      </c>
      <c r="H152" s="23" t="str">
        <f>IFERROR(('Activity data'!H94*(1/Constants!$H$99))*ttokg*FracLEACH*MSLeachEF*NtoN2O*kgtoGg,"NO")</f>
        <v>NO</v>
      </c>
      <c r="I152" s="23" t="str">
        <f>IFERROR(('Activity data'!I94*(1/Constants!$H$99))*ttokg*FracLEACH*MSLeachEF*NtoN2O*kgtoGg,"NO")</f>
        <v>NO</v>
      </c>
      <c r="J152" s="23" t="str">
        <f>IFERROR(('Activity data'!J94*(1/Constants!$H$99))*ttokg*FracLEACH*MSLeachEF*NtoN2O*kgtoGg,"NO")</f>
        <v>NO</v>
      </c>
      <c r="K152" s="23" t="str">
        <f>IFERROR(('Activity data'!K94*(1/Constants!$H$99))*ttokg*FracLEACH*MSLeachEF*NtoN2O*kgtoGg,"NO")</f>
        <v>NO</v>
      </c>
      <c r="L152" s="23" t="str">
        <f>IFERROR(('Activity data'!L94*(1/Constants!$H$99))*ttokg*FracLEACH*MSLeachEF*NtoN2O*kgtoGg,"NO")</f>
        <v>NO</v>
      </c>
      <c r="M152" s="23" t="str">
        <f>IFERROR(('Activity data'!M94*(1/Constants!$H$99))*ttokg*FracLEACH*MSLeachEF*NtoN2O*kgtoGg,"NO")</f>
        <v>NO</v>
      </c>
      <c r="N152" s="23" t="str">
        <f>IFERROR(('Activity data'!N94*(1/Constants!$H$99))*ttokg*FracLEACH*MSLeachEF*NtoN2O*kgtoGg,"NO")</f>
        <v>NO</v>
      </c>
      <c r="O152" s="23" t="str">
        <f>IFERROR(('Activity data'!O94*(1/Constants!$H$99))*ttokg*FracLEACH*MSLeachEF*NtoN2O*kgtoGg,"NO")</f>
        <v>NO</v>
      </c>
      <c r="P152" s="23" t="str">
        <f>IFERROR(('Activity data'!P94*(1/Constants!$H$99))*ttokg*FracLEACH*MSLeachEF*NtoN2O*kgtoGg,"NO")</f>
        <v>NO</v>
      </c>
      <c r="Q152" s="23" t="str">
        <f>IFERROR(('Activity data'!Q94*(1/Constants!$H$99))*ttokg*FracLEACH*MSLeachEF*NtoN2O*kgtoGg,"NO")</f>
        <v>NO</v>
      </c>
      <c r="R152" s="23" t="str">
        <f>IFERROR(('Activity data'!R94*(1/Constants!$H$99))*ttokg*FracLEACH*MSLeachEF*NtoN2O*kgtoGg,"NO")</f>
        <v>NO</v>
      </c>
      <c r="S152" s="23" t="str">
        <f>IFERROR(('Activity data'!S94*(1/Constants!$H$99))*ttokg*FracLEACH*MSLeachEF*NtoN2O*kgtoGg,"NO")</f>
        <v>NO</v>
      </c>
      <c r="T152" s="23" t="str">
        <f>IFERROR(('Activity data'!T94*(1/Constants!$H$99))*ttokg*FracLEACH*MSLeachEF*NtoN2O*kgtoGg,"NO")</f>
        <v>NO</v>
      </c>
      <c r="U152" s="23" t="str">
        <f>IFERROR(('Activity data'!U94*(1/Constants!$H$99))*ttokg*FracLEACH*MSLeachEF*NtoN2O*kgtoGg,"NO")</f>
        <v>NO</v>
      </c>
      <c r="V152" s="23" t="str">
        <f>IFERROR(('Activity data'!V94*(1/Constants!$H$99))*ttokg*FracLEACH*MSLeachEF*NtoN2O*kgtoGg,"NO")</f>
        <v>NO</v>
      </c>
      <c r="W152" s="23" t="str">
        <f>IFERROR(('Activity data'!W94*(1/Constants!$H$99))*ttokg*FracLEACH*MSLeachEF*NtoN2O*kgtoGg,"NO")</f>
        <v>NO</v>
      </c>
      <c r="X152" s="23" t="str">
        <f>IFERROR(('Activity data'!X94*(1/Constants!$H$99))*ttokg*FracLEACH*MSLeachEF*NtoN2O*kgtoGg,"NO")</f>
        <v>NO</v>
      </c>
      <c r="Y152" s="23" t="str">
        <f>IFERROR(('Activity data'!Y94*(1/Constants!$H$99))*ttokg*FracLEACH*MSLeachEF*NtoN2O*kgtoGg,"NO")</f>
        <v>NO</v>
      </c>
      <c r="Z152" s="23" t="str">
        <f>IFERROR(('Activity data'!Z94*(1/Constants!$H$99))*ttokg*FracLEACH*MSLeachEF*NtoN2O*kgtoGg,"NO")</f>
        <v>NO</v>
      </c>
      <c r="AA152" s="23" t="str">
        <f>IFERROR(('Activity data'!AA94*(1/Constants!$H$99))*ttokg*FracLEACH*MSLeachEF*NtoN2O*kgtoGg,"NO")</f>
        <v>NO</v>
      </c>
      <c r="AB152" s="23" t="str">
        <f>IFERROR(('Activity data'!AB94*(1/Constants!$H$99))*ttokg*FracLEACH*MSLeachEF*NtoN2O*kgtoGg,"NO")</f>
        <v>NO</v>
      </c>
      <c r="AC152" s="23" t="str">
        <f>IFERROR(('Activity data'!AC94*(1/Constants!$H$99))*ttokg*FracLEACH*MSLeachEF*NtoN2O*kgtoGg,"NO")</f>
        <v>NO</v>
      </c>
      <c r="AD152" s="23" t="str">
        <f>IFERROR(('Activity data'!AD94*(1/Constants!$H$99))*ttokg*FracLEACH*MSLeachEF*NtoN2O*kgtoGg,"NO")</f>
        <v>NO</v>
      </c>
      <c r="AE152" s="23" t="str">
        <f>IFERROR(('Activity data'!AE94*(1/Constants!$H$99))*ttokg*FracLEACH*MSLeachEF*NtoN2O*kgtoGg,"NO")</f>
        <v>NO</v>
      </c>
      <c r="AF152" s="23" t="str">
        <f>IFERROR(('Activity data'!AF94*(1/Constants!$H$99))*ttokg*FracLEACH*MSLeachEF*NtoN2O*kgtoGg,"NO")</f>
        <v>NO</v>
      </c>
      <c r="AG152" s="23" t="str">
        <f>IFERROR(('Activity data'!AG94*(1/Constants!$H$99))*ttokg*FracLEACH*MSLeachEF*NtoN2O*kgtoGg,"NO")</f>
        <v>NO</v>
      </c>
      <c r="AH152" s="23" t="str">
        <f>IFERROR(('Activity data'!AH94*(1/Constants!$H$99))*ttokg*FracLEACH*MSLeachEF*NtoN2O*kgtoGg,"NO")</f>
        <v>NO</v>
      </c>
      <c r="AI152" s="23" t="str">
        <f>IFERROR(('Activity data'!AI94*(1/Constants!$H$99))*ttokg*FracLEACH*MSLeachEF*NtoN2O*kgtoGg,"NO")</f>
        <v>NO</v>
      </c>
      <c r="AJ152" s="23" t="str">
        <f>IFERROR(('Activity data'!AJ94*(1/Constants!$H$99))*ttokg*FracLEACH*MSLeachEF*NtoN2O*kgtoGg,"NO")</f>
        <v>NO</v>
      </c>
      <c r="AK152" s="23" t="str">
        <f>IFERROR(('Activity data'!AK94*(1/Constants!$H$99))*ttokg*FracLEACH*MSLeachEF*NtoN2O*kgtoGg,"NO")</f>
        <v>NO</v>
      </c>
      <c r="AL152" s="23" t="str">
        <f>IFERROR(('Activity data'!AL94*(1/Constants!$H$99))*ttokg*FracLEACH*MSLeachEF*NtoN2O*kgtoGg,"NO")</f>
        <v>NO</v>
      </c>
      <c r="AM152" s="23" t="str">
        <f>IFERROR(('Activity data'!AM94*(1/Constants!$H$99))*ttokg*FracLEACH*MSLeachEF*NtoN2O*kgtoGg,"NO")</f>
        <v>NO</v>
      </c>
      <c r="AN152" s="23" t="str">
        <f>IFERROR(('Activity data'!AN94*(1/Constants!$H$99))*ttokg*FracLEACH*MSLeachEF*NtoN2O*kgtoGg,"NO")</f>
        <v>NO</v>
      </c>
      <c r="AO152" s="23" t="str">
        <f>IFERROR(('Activity data'!AO94*(1/Constants!$H$99))*ttokg*FracLEACH*MSLeachEF*NtoN2O*kgtoGg,"NO")</f>
        <v>NO</v>
      </c>
      <c r="AP152" s="23" t="str">
        <f>IFERROR(('Activity data'!AP94*(1/Constants!$H$99))*ttokg*FracLEACH*MSLeachEF*NtoN2O*kgtoGg,"NO")</f>
        <v>NO</v>
      </c>
      <c r="AQ152" s="23" t="str">
        <f>IFERROR(('Activity data'!AQ94*(1/Constants!$H$99))*ttokg*FracLEACH*MSLeachEF*NtoN2O*kgtoGg,"NO")</f>
        <v>NO</v>
      </c>
      <c r="AR152" s="23" t="str">
        <f>IFERROR(('Activity data'!AR94*(1/Constants!$H$99))*ttokg*FracLEACH*MSLeachEF*NtoN2O*kgtoGg,"NO")</f>
        <v>NO</v>
      </c>
      <c r="AS152" s="23" t="str">
        <f>IFERROR(('Activity data'!AS94*(1/Constants!$H$99))*ttokg*FracLEACH*MSLeachEF*NtoN2O*kgtoGg,"NO")</f>
        <v>NO</v>
      </c>
      <c r="AT152" s="23" t="str">
        <f>IFERROR(('Activity data'!AT94*(1/Constants!$H$99))*ttokg*FracLEACH*MSLeachEF*NtoN2O*kgtoGg,"NO")</f>
        <v>NO</v>
      </c>
      <c r="AU152" s="23" t="str">
        <f>IFERROR(('Activity data'!AU94*(1/Constants!$H$99))*ttokg*FracLEACH*MSLeachEF*NtoN2O*kgtoGg,"NO")</f>
        <v>NO</v>
      </c>
      <c r="AV152" s="23" t="str">
        <f>IFERROR(('Activity data'!AV94*(1/Constants!$H$99))*ttokg*FracLEACH*MSLeachEF*NtoN2O*kgtoGg,"NO")</f>
        <v>NO</v>
      </c>
      <c r="AW152" s="23" t="str">
        <f>IFERROR(('Activity data'!AW94*(1/Constants!$H$99))*ttokg*FracLEACH*MSLeachEF*NtoN2O*kgtoGg,"NO")</f>
        <v>NO</v>
      </c>
      <c r="AX152" s="23" t="str">
        <f>IFERROR(('Activity data'!AX94*(1/Constants!$H$99))*ttokg*FracLEACH*MSLeachEF*NtoN2O*kgtoGg,"NO")</f>
        <v>NO</v>
      </c>
      <c r="AY152" s="23" t="str">
        <f>IFERROR(('Activity data'!AY94*(1/Constants!$H$99))*ttokg*FracLEACH*MSLeachEF*NtoN2O*kgtoGg,"NO")</f>
        <v>NO</v>
      </c>
      <c r="AZ152" s="23" t="str">
        <f>IFERROR(('Activity data'!AZ94*(1/Constants!$H$99))*ttokg*FracLEACH*MSLeachEF*NtoN2O*kgtoGg,"NO")</f>
        <v>NO</v>
      </c>
      <c r="BA152" s="23" t="str">
        <f>IFERROR(('Activity data'!BA94*(1/Constants!$H$99))*ttokg*FracLEACH*MSLeachEF*NtoN2O*kgtoGg,"NO")</f>
        <v>NO</v>
      </c>
      <c r="BB152" s="23" t="str">
        <f>IFERROR(('Activity data'!BB94*(1/Constants!$H$99))*ttokg*FracLEACH*MSLeachEF*NtoN2O*kgtoGg,"NO")</f>
        <v>NO</v>
      </c>
      <c r="BC152" s="23" t="str">
        <f>IFERROR(('Activity data'!BC94*(1/Constants!$H$99))*ttokg*FracLEACH*MSLeachEF*NtoN2O*kgtoGg,"NO")</f>
        <v>NO</v>
      </c>
      <c r="BD152" s="23" t="str">
        <f>IFERROR(('Activity data'!BD94*(1/Constants!$H$99))*ttokg*FracLEACH*MSLeachEF*NtoN2O*kgtoGg,"NO")</f>
        <v>NO</v>
      </c>
      <c r="BE152" s="23" t="str">
        <f>IFERROR(('Activity data'!BE94*(1/Constants!$H$99))*ttokg*FracLEACH*MSLeachEF*NtoN2O*kgtoGg,"NO")</f>
        <v>NO</v>
      </c>
      <c r="BF152" s="23" t="str">
        <f>IFERROR(('Activity data'!BF94*(1/Constants!$H$99))*ttokg*FracLEACH*MSLeachEF*NtoN2O*kgtoGg,"NO")</f>
        <v>NO</v>
      </c>
      <c r="BG152" s="23" t="str">
        <f>IFERROR(('Activity data'!BG94*(1/Constants!$H$99))*ttokg*FracLEACH*MSLeachEF*NtoN2O*kgtoGg,"NO")</f>
        <v>NO</v>
      </c>
      <c r="BH152" s="23" t="str">
        <f>IFERROR(('Activity data'!BH94*(1/Constants!$H$99))*ttokg*FracLEACH*MSLeachEF*NtoN2O*kgtoGg,"NO")</f>
        <v>NO</v>
      </c>
      <c r="BI152" s="23" t="str">
        <f>IFERROR(('Activity data'!BI94*(1/Constants!$H$99))*ttokg*FracLEACH*MSLeachEF*NtoN2O*kgtoGg,"NO")</f>
        <v>NO</v>
      </c>
      <c r="BJ152" s="23" t="str">
        <f>IFERROR(('Activity data'!BJ94*(1/Constants!$H$99))*ttokg*FracLEACH*MSLeachEF*NtoN2O*kgtoGg,"NO")</f>
        <v>NO</v>
      </c>
      <c r="BK152" s="23" t="str">
        <f>IFERROR(('Activity data'!BK94*(1/Constants!$H$99))*ttokg*FracLEACH*MSLeachEF*NtoN2O*kgtoGg,"NO")</f>
        <v>NO</v>
      </c>
      <c r="BL152" s="23" t="str">
        <f>IFERROR(('Activity data'!BL94*(1/Constants!$H$99))*ttokg*FracLEACH*MSLeachEF*NtoN2O*kgtoGg,"NO")</f>
        <v>NO</v>
      </c>
      <c r="BM152" s="23" t="str">
        <f>IFERROR(('Activity data'!BM94*(1/Constants!$H$99))*ttokg*FracLEACH*MSLeachEF*NtoN2O*kgtoGg,"NO")</f>
        <v>NO</v>
      </c>
      <c r="BN152" s="23" t="str">
        <f>IFERROR(('Activity data'!BN94*(1/Constants!$H$99))*ttokg*FracLEACH*MSLeachEF*NtoN2O*kgtoGg,"NO")</f>
        <v>NO</v>
      </c>
      <c r="BO152" s="23" t="str">
        <f>IFERROR(('Activity data'!BO94*(1/Constants!$H$99))*ttokg*FracLEACH*MSLeachEF*NtoN2O*kgtoGg,"NO")</f>
        <v>NO</v>
      </c>
      <c r="BP152" s="23" t="str">
        <f>IFERROR(('Activity data'!BP94*(1/Constants!$H$99))*ttokg*FracLEACH*MSLeachEF*NtoN2O*kgtoGg,"NO")</f>
        <v>NO</v>
      </c>
    </row>
    <row r="153" spans="1:68" x14ac:dyDescent="0.25">
      <c r="A153" t="str">
        <f t="shared" si="58"/>
        <v>3C Aggregated and non-CO2 emissions on land</v>
      </c>
      <c r="B153" t="str">
        <f t="shared" si="59"/>
        <v>3C5 Indirect N2O from managed soils (N2O)</v>
      </c>
      <c r="C153" t="str">
        <f t="shared" si="54"/>
        <v>Leaching/runoff</v>
      </c>
      <c r="D153" t="str">
        <f>" - FSOM - "&amp;'Activity data'!D95</f>
        <v xml:space="preserve"> - FSOM - Settlements remaining settlements</v>
      </c>
      <c r="E153" t="str">
        <f t="shared" si="60"/>
        <v>Leaching/runoff - FSOM - Settlements remaining settlements</v>
      </c>
      <c r="F153" t="str">
        <f t="shared" si="47"/>
        <v>N2O</v>
      </c>
      <c r="G153" t="str">
        <f t="shared" si="48"/>
        <v>Gg N2O</v>
      </c>
      <c r="H153" s="23" t="str">
        <f>IFERROR(('Activity data'!H95*(1/Constants!$H$99))*ttokg*FracLEACH*MSLeachEF*NtoN2O*kgtoGg,"NO")</f>
        <v>NO</v>
      </c>
      <c r="I153" s="23">
        <f>IFERROR(('Activity data'!I95*(1/Constants!$H$99))*ttokg*FracLEACH*MSLeachEF*NtoN2O*kgtoGg,"NO")</f>
        <v>1.4734408870976798E-5</v>
      </c>
      <c r="J153" s="23">
        <f>IFERROR(('Activity data'!J95*(1/Constants!$H$99))*ttokg*FracLEACH*MSLeachEF*NtoN2O*kgtoGg,"NO")</f>
        <v>1.4734408870976798E-5</v>
      </c>
      <c r="K153" s="23">
        <f>IFERROR(('Activity data'!K95*(1/Constants!$H$99))*ttokg*FracLEACH*MSLeachEF*NtoN2O*kgtoGg,"NO")</f>
        <v>1.4734408870976798E-5</v>
      </c>
      <c r="L153" s="23">
        <f>IFERROR(('Activity data'!L95*(1/Constants!$H$99))*ttokg*FracLEACH*MSLeachEF*NtoN2O*kgtoGg,"NO")</f>
        <v>1.4734408870976798E-5</v>
      </c>
      <c r="M153" s="23">
        <f>IFERROR(('Activity data'!M95*(1/Constants!$H$99))*ttokg*FracLEACH*MSLeachEF*NtoN2O*kgtoGg,"NO")</f>
        <v>1.4734408870976798E-5</v>
      </c>
      <c r="N153" s="23">
        <f>IFERROR(('Activity data'!N95*(1/Constants!$H$99))*ttokg*FracLEACH*MSLeachEF*NtoN2O*kgtoGg,"NO")</f>
        <v>1.4734408870976798E-5</v>
      </c>
      <c r="O153" s="23">
        <f>IFERROR(('Activity data'!O95*(1/Constants!$H$99))*ttokg*FracLEACH*MSLeachEF*NtoN2O*kgtoGg,"NO")</f>
        <v>1.4734408870976798E-5</v>
      </c>
      <c r="P153" s="23">
        <f>IFERROR(('Activity data'!P95*(1/Constants!$H$99))*ttokg*FracLEACH*MSLeachEF*NtoN2O*kgtoGg,"NO")</f>
        <v>1.4734408870976798E-5</v>
      </c>
      <c r="Q153" s="23">
        <f>IFERROR(('Activity data'!Q95*(1/Constants!$H$99))*ttokg*FracLEACH*MSLeachEF*NtoN2O*kgtoGg,"NO")</f>
        <v>1.4734408870976798E-5</v>
      </c>
      <c r="R153" s="23">
        <f>IFERROR(('Activity data'!R95*(1/Constants!$H$99))*ttokg*FracLEACH*MSLeachEF*NtoN2O*kgtoGg,"NO")</f>
        <v>1.4734408870976798E-5</v>
      </c>
      <c r="S153" s="23">
        <f>IFERROR(('Activity data'!S95*(1/Constants!$H$99))*ttokg*FracLEACH*MSLeachEF*NtoN2O*kgtoGg,"NO")</f>
        <v>1.4734408870976798E-5</v>
      </c>
      <c r="T153" s="23">
        <f>IFERROR(('Activity data'!T95*(1/Constants!$H$99))*ttokg*FracLEACH*MSLeachEF*NtoN2O*kgtoGg,"NO")</f>
        <v>1.4734408870976798E-5</v>
      </c>
      <c r="U153" s="23">
        <f>IFERROR(('Activity data'!U95*(1/Constants!$H$99))*ttokg*FracLEACH*MSLeachEF*NtoN2O*kgtoGg,"NO")</f>
        <v>1.4734408870976798E-5</v>
      </c>
      <c r="V153" s="23">
        <f>IFERROR(('Activity data'!V95*(1/Constants!$H$99))*ttokg*FracLEACH*MSLeachEF*NtoN2O*kgtoGg,"NO")</f>
        <v>1.4734408870976798E-5</v>
      </c>
      <c r="W153" s="23">
        <f>IFERROR(('Activity data'!W95*(1/Constants!$H$99))*ttokg*FracLEACH*MSLeachEF*NtoN2O*kgtoGg,"NO")</f>
        <v>1.4734408870976798E-5</v>
      </c>
      <c r="X153" s="23">
        <f>IFERROR(('Activity data'!X95*(1/Constants!$H$99))*ttokg*FracLEACH*MSLeachEF*NtoN2O*kgtoGg,"NO")</f>
        <v>1.4734408870976798E-5</v>
      </c>
      <c r="Y153" s="23">
        <f>IFERROR(('Activity data'!Y95*(1/Constants!$H$99))*ttokg*FracLEACH*MSLeachEF*NtoN2O*kgtoGg,"NO")</f>
        <v>1.4734408870976798E-5</v>
      </c>
      <c r="Z153" s="23">
        <f>IFERROR(('Activity data'!Z95*(1/Constants!$H$99))*ttokg*FracLEACH*MSLeachEF*NtoN2O*kgtoGg,"NO")</f>
        <v>1.4734408870976798E-5</v>
      </c>
      <c r="AA153" s="23">
        <f>IFERROR(('Activity data'!AA95*(1/Constants!$H$99))*ttokg*FracLEACH*MSLeachEF*NtoN2O*kgtoGg,"NO")</f>
        <v>1.4734408870976798E-5</v>
      </c>
      <c r="AB153" s="23">
        <f>IFERROR(('Activity data'!AB95*(1/Constants!$H$99))*ttokg*FracLEACH*MSLeachEF*NtoN2O*kgtoGg,"NO")</f>
        <v>1.4734408870976798E-5</v>
      </c>
      <c r="AC153" s="23">
        <f>IFERROR(('Activity data'!AC95*(1/Constants!$H$99))*ttokg*FracLEACH*MSLeachEF*NtoN2O*kgtoGg,"NO")</f>
        <v>1.4734408870976798E-5</v>
      </c>
      <c r="AD153" s="23">
        <f>IFERROR(('Activity data'!AD95*(1/Constants!$H$99))*ttokg*FracLEACH*MSLeachEF*NtoN2O*kgtoGg,"NO")</f>
        <v>1.4734408870976798E-5</v>
      </c>
      <c r="AE153" s="23">
        <f>IFERROR(('Activity data'!AE95*(1/Constants!$H$99))*ttokg*FracLEACH*MSLeachEF*NtoN2O*kgtoGg,"NO")</f>
        <v>1.4734408870976798E-5</v>
      </c>
      <c r="AF153" s="23">
        <f>IFERROR(('Activity data'!AF95*(1/Constants!$H$99))*ttokg*FracLEACH*MSLeachEF*NtoN2O*kgtoGg,"NO")</f>
        <v>1.4734408870976798E-5</v>
      </c>
      <c r="AG153" s="23">
        <f>IFERROR(('Activity data'!AG95*(1/Constants!$H$99))*ttokg*FracLEACH*MSLeachEF*NtoN2O*kgtoGg,"NO")</f>
        <v>1.4734408870976798E-5</v>
      </c>
      <c r="AH153" s="23">
        <f>IFERROR(('Activity data'!AH95*(1/Constants!$H$99))*ttokg*FracLEACH*MSLeachEF*NtoN2O*kgtoGg,"NO")</f>
        <v>1.4734408870976798E-5</v>
      </c>
      <c r="AI153" s="23">
        <f>IFERROR(('Activity data'!AI95*(1/Constants!$H$99))*ttokg*FracLEACH*MSLeachEF*NtoN2O*kgtoGg,"NO")</f>
        <v>1.4734408870976798E-5</v>
      </c>
      <c r="AJ153" s="23">
        <f>IFERROR(('Activity data'!AJ95*(1/Constants!$H$99))*ttokg*FracLEACH*MSLeachEF*NtoN2O*kgtoGg,"NO")</f>
        <v>2.7260381750280425E-5</v>
      </c>
      <c r="AK153" s="23">
        <f>IFERROR(('Activity data'!AK95*(1/Constants!$H$99))*ttokg*FracLEACH*MSLeachEF*NtoN2O*kgtoGg,"NO")</f>
        <v>2.7260381750280425E-5</v>
      </c>
      <c r="AL153" s="23">
        <f>IFERROR(('Activity data'!AL95*(1/Constants!$H$99))*ttokg*FracLEACH*MSLeachEF*NtoN2O*kgtoGg,"NO")</f>
        <v>2.7260381750280425E-5</v>
      </c>
      <c r="AM153" s="23">
        <f>IFERROR(('Activity data'!AM95*(1/Constants!$H$99))*ttokg*FracLEACH*MSLeachEF*NtoN2O*kgtoGg,"NO")</f>
        <v>2.7260381750280425E-5</v>
      </c>
      <c r="AN153" s="23">
        <f>IFERROR(('Activity data'!AN95*(1/Constants!$H$99))*ttokg*FracLEACH*MSLeachEF*NtoN2O*kgtoGg,"NO")</f>
        <v>2.7260381750280425E-5</v>
      </c>
      <c r="AO153" s="23">
        <f>IFERROR(('Activity data'!AO95*(1/Constants!$H$99))*ttokg*FracLEACH*MSLeachEF*NtoN2O*kgtoGg,"NO")</f>
        <v>2.7260381750280425E-5</v>
      </c>
      <c r="AP153" s="23">
        <f>IFERROR(('Activity data'!AP95*(1/Constants!$H$99))*ttokg*FracLEACH*MSLeachEF*NtoN2O*kgtoGg,"NO")</f>
        <v>2.7260381750280425E-5</v>
      </c>
      <c r="AQ153" s="23">
        <f>IFERROR(('Activity data'!AQ95*(1/Constants!$H$99))*ttokg*FracLEACH*MSLeachEF*NtoN2O*kgtoGg,"NO")</f>
        <v>2.7260381750280425E-5</v>
      </c>
      <c r="AR153" s="23">
        <f>IFERROR(('Activity data'!AR95*(1/Constants!$H$99))*ttokg*FracLEACH*MSLeachEF*NtoN2O*kgtoGg,"NO")</f>
        <v>2.7260381750280425E-5</v>
      </c>
      <c r="AS153" s="23">
        <f>IFERROR(('Activity data'!AS95*(1/Constants!$H$99))*ttokg*FracLEACH*MSLeachEF*NtoN2O*kgtoGg,"NO")</f>
        <v>2.7260381750280425E-5</v>
      </c>
      <c r="AT153" s="23">
        <f>IFERROR(('Activity data'!AT95*(1/Constants!$H$99))*ttokg*FracLEACH*MSLeachEF*NtoN2O*kgtoGg,"NO")</f>
        <v>2.7260381750280425E-5</v>
      </c>
      <c r="AU153" s="23">
        <f>IFERROR(('Activity data'!AU95*(1/Constants!$H$99))*ttokg*FracLEACH*MSLeachEF*NtoN2O*kgtoGg,"NO")</f>
        <v>2.7260381750280425E-5</v>
      </c>
      <c r="AV153" s="23">
        <f>IFERROR(('Activity data'!AV95*(1/Constants!$H$99))*ttokg*FracLEACH*MSLeachEF*NtoN2O*kgtoGg,"NO")</f>
        <v>2.7260381750280425E-5</v>
      </c>
      <c r="AW153" s="23">
        <f>IFERROR(('Activity data'!AW95*(1/Constants!$H$99))*ttokg*FracLEACH*MSLeachEF*NtoN2O*kgtoGg,"NO")</f>
        <v>2.7260381750280425E-5</v>
      </c>
      <c r="AX153" s="23">
        <f>IFERROR(('Activity data'!AX95*(1/Constants!$H$99))*ttokg*FracLEACH*MSLeachEF*NtoN2O*kgtoGg,"NO")</f>
        <v>2.7260381750280425E-5</v>
      </c>
      <c r="AY153" s="23">
        <f>IFERROR(('Activity data'!AY95*(1/Constants!$H$99))*ttokg*FracLEACH*MSLeachEF*NtoN2O*kgtoGg,"NO")</f>
        <v>2.7260381750280425E-5</v>
      </c>
      <c r="AZ153" s="23">
        <f>IFERROR(('Activity data'!AZ95*(1/Constants!$H$99))*ttokg*FracLEACH*MSLeachEF*NtoN2O*kgtoGg,"NO")</f>
        <v>2.7260381750280425E-5</v>
      </c>
      <c r="BA153" s="23">
        <f>IFERROR(('Activity data'!BA95*(1/Constants!$H$99))*ttokg*FracLEACH*MSLeachEF*NtoN2O*kgtoGg,"NO")</f>
        <v>2.7260381750280425E-5</v>
      </c>
      <c r="BB153" s="23">
        <f>IFERROR(('Activity data'!BB95*(1/Constants!$H$99))*ttokg*FracLEACH*MSLeachEF*NtoN2O*kgtoGg,"NO")</f>
        <v>2.7260381750280425E-5</v>
      </c>
      <c r="BC153" s="23">
        <f>IFERROR(('Activity data'!BC95*(1/Constants!$H$99))*ttokg*FracLEACH*MSLeachEF*NtoN2O*kgtoGg,"NO")</f>
        <v>2.7260381750280425E-5</v>
      </c>
      <c r="BD153" s="23">
        <f>IFERROR(('Activity data'!BD95*(1/Constants!$H$99))*ttokg*FracLEACH*MSLeachEF*NtoN2O*kgtoGg,"NO")</f>
        <v>2.7260381750280425E-5</v>
      </c>
      <c r="BE153" s="23">
        <f>IFERROR(('Activity data'!BE95*(1/Constants!$H$99))*ttokg*FracLEACH*MSLeachEF*NtoN2O*kgtoGg,"NO")</f>
        <v>2.7260381750280425E-5</v>
      </c>
      <c r="BF153" s="23">
        <f>IFERROR(('Activity data'!BF95*(1/Constants!$H$99))*ttokg*FracLEACH*MSLeachEF*NtoN2O*kgtoGg,"NO")</f>
        <v>2.7260381750280425E-5</v>
      </c>
      <c r="BG153" s="23">
        <f>IFERROR(('Activity data'!BG95*(1/Constants!$H$99))*ttokg*FracLEACH*MSLeachEF*NtoN2O*kgtoGg,"NO")</f>
        <v>2.7260381750280425E-5</v>
      </c>
      <c r="BH153" s="23">
        <f>IFERROR(('Activity data'!BH95*(1/Constants!$H$99))*ttokg*FracLEACH*MSLeachEF*NtoN2O*kgtoGg,"NO")</f>
        <v>2.7260381750280425E-5</v>
      </c>
      <c r="BI153" s="23">
        <f>IFERROR(('Activity data'!BI95*(1/Constants!$H$99))*ttokg*FracLEACH*MSLeachEF*NtoN2O*kgtoGg,"NO")</f>
        <v>2.7260381750280425E-5</v>
      </c>
      <c r="BJ153" s="23">
        <f>IFERROR(('Activity data'!BJ95*(1/Constants!$H$99))*ttokg*FracLEACH*MSLeachEF*NtoN2O*kgtoGg,"NO")</f>
        <v>2.7260381750280425E-5</v>
      </c>
      <c r="BK153" s="23">
        <f>IFERROR(('Activity data'!BK95*(1/Constants!$H$99))*ttokg*FracLEACH*MSLeachEF*NtoN2O*kgtoGg,"NO")</f>
        <v>2.7260381750280425E-5</v>
      </c>
      <c r="BL153" s="23">
        <f>IFERROR(('Activity data'!BL95*(1/Constants!$H$99))*ttokg*FracLEACH*MSLeachEF*NtoN2O*kgtoGg,"NO")</f>
        <v>2.7260381750280425E-5</v>
      </c>
      <c r="BM153" s="23">
        <f>IFERROR(('Activity data'!BM95*(1/Constants!$H$99))*ttokg*FracLEACH*MSLeachEF*NtoN2O*kgtoGg,"NO")</f>
        <v>2.7260381750280425E-5</v>
      </c>
      <c r="BN153" s="23">
        <f>IFERROR(('Activity data'!BN95*(1/Constants!$H$99))*ttokg*FracLEACH*MSLeachEF*NtoN2O*kgtoGg,"NO")</f>
        <v>2.7260381750280425E-5</v>
      </c>
      <c r="BO153" s="23">
        <f>IFERROR(('Activity data'!BO95*(1/Constants!$H$99))*ttokg*FracLEACH*MSLeachEF*NtoN2O*kgtoGg,"NO")</f>
        <v>2.7260381750280425E-5</v>
      </c>
      <c r="BP153" s="23">
        <f>IFERROR(('Activity data'!BP95*(1/Constants!$H$99))*ttokg*FracLEACH*MSLeachEF*NtoN2O*kgtoGg,"NO")</f>
        <v>2.7260381750280425E-5</v>
      </c>
    </row>
    <row r="154" spans="1:68" x14ac:dyDescent="0.25">
      <c r="A154" t="str">
        <f t="shared" si="58"/>
        <v>3C Aggregated and non-CO2 emissions on land</v>
      </c>
      <c r="B154" t="str">
        <f t="shared" si="59"/>
        <v>3C5 Indirect N2O from managed soils (N2O)</v>
      </c>
      <c r="C154" t="str">
        <f t="shared" si="54"/>
        <v>Leaching/runoff</v>
      </c>
      <c r="D154" t="str">
        <f>" - FSOM - "&amp;'Activity data'!D96</f>
        <v xml:space="preserve"> - FSOM - Land converted to settlements</v>
      </c>
      <c r="E154" t="str">
        <f t="shared" si="60"/>
        <v>Leaching/runoff - FSOM - Land converted to settlements</v>
      </c>
      <c r="F154" t="str">
        <f t="shared" si="47"/>
        <v>N2O</v>
      </c>
      <c r="G154" t="str">
        <f t="shared" si="48"/>
        <v>Gg N2O</v>
      </c>
      <c r="H154" s="23">
        <f>IFERROR(('Activity data'!H96*(1/Constants!$H$99))*ttokg*FracLEACH*MSLeachEF*NtoN2O*kgtoGg,"NO")</f>
        <v>0</v>
      </c>
      <c r="I154" s="23">
        <f>IFERROR(('Activity data'!I96*(1/Constants!$H$99))*ttokg*FracLEACH*MSLeachEF*NtoN2O*kgtoGg,"NO")</f>
        <v>8.2952824923361885E-3</v>
      </c>
      <c r="J154" s="23">
        <f>IFERROR(('Activity data'!J96*(1/Constants!$H$99))*ttokg*FracLEACH*MSLeachEF*NtoN2O*kgtoGg,"NO")</f>
        <v>8.2952824923361885E-3</v>
      </c>
      <c r="K154" s="23">
        <f>IFERROR(('Activity data'!K96*(1/Constants!$H$99))*ttokg*FracLEACH*MSLeachEF*NtoN2O*kgtoGg,"NO")</f>
        <v>8.2952824923361885E-3</v>
      </c>
      <c r="L154" s="23">
        <f>IFERROR(('Activity data'!L96*(1/Constants!$H$99))*ttokg*FracLEACH*MSLeachEF*NtoN2O*kgtoGg,"NO")</f>
        <v>8.2952824923361885E-3</v>
      </c>
      <c r="M154" s="23">
        <f>IFERROR(('Activity data'!M96*(1/Constants!$H$99))*ttokg*FracLEACH*MSLeachEF*NtoN2O*kgtoGg,"NO")</f>
        <v>8.2952824923361885E-3</v>
      </c>
      <c r="N154" s="23">
        <f>IFERROR(('Activity data'!N96*(1/Constants!$H$99))*ttokg*FracLEACH*MSLeachEF*NtoN2O*kgtoGg,"NO")</f>
        <v>8.2952824923361885E-3</v>
      </c>
      <c r="O154" s="23">
        <f>IFERROR(('Activity data'!O96*(1/Constants!$H$99))*ttokg*FracLEACH*MSLeachEF*NtoN2O*kgtoGg,"NO")</f>
        <v>8.2952824923361885E-3</v>
      </c>
      <c r="P154" s="23">
        <f>IFERROR(('Activity data'!P96*(1/Constants!$H$99))*ttokg*FracLEACH*MSLeachEF*NtoN2O*kgtoGg,"NO")</f>
        <v>8.2952824923361885E-3</v>
      </c>
      <c r="Q154" s="23">
        <f>IFERROR(('Activity data'!Q96*(1/Constants!$H$99))*ttokg*FracLEACH*MSLeachEF*NtoN2O*kgtoGg,"NO")</f>
        <v>8.2952824923361885E-3</v>
      </c>
      <c r="R154" s="23">
        <f>IFERROR(('Activity data'!R96*(1/Constants!$H$99))*ttokg*FracLEACH*MSLeachEF*NtoN2O*kgtoGg,"NO")</f>
        <v>8.2952824923361885E-3</v>
      </c>
      <c r="S154" s="23">
        <f>IFERROR(('Activity data'!S96*(1/Constants!$H$99))*ttokg*FracLEACH*MSLeachEF*NtoN2O*kgtoGg,"NO")</f>
        <v>8.2952824923361885E-3</v>
      </c>
      <c r="T154" s="23">
        <f>IFERROR(('Activity data'!T96*(1/Constants!$H$99))*ttokg*FracLEACH*MSLeachEF*NtoN2O*kgtoGg,"NO")</f>
        <v>8.2952824923361885E-3</v>
      </c>
      <c r="U154" s="23">
        <f>IFERROR(('Activity data'!U96*(1/Constants!$H$99))*ttokg*FracLEACH*MSLeachEF*NtoN2O*kgtoGg,"NO")</f>
        <v>8.2952824923361885E-3</v>
      </c>
      <c r="V154" s="23">
        <f>IFERROR(('Activity data'!V96*(1/Constants!$H$99))*ttokg*FracLEACH*MSLeachEF*NtoN2O*kgtoGg,"NO")</f>
        <v>8.2952824923361885E-3</v>
      </c>
      <c r="W154" s="23">
        <f>IFERROR(('Activity data'!W96*(1/Constants!$H$99))*ttokg*FracLEACH*MSLeachEF*NtoN2O*kgtoGg,"NO")</f>
        <v>8.2952824923361885E-3</v>
      </c>
      <c r="X154" s="23">
        <f>IFERROR(('Activity data'!X96*(1/Constants!$H$99))*ttokg*FracLEACH*MSLeachEF*NtoN2O*kgtoGg,"NO")</f>
        <v>8.2952824923361885E-3</v>
      </c>
      <c r="Y154" s="23">
        <f>IFERROR(('Activity data'!Y96*(1/Constants!$H$99))*ttokg*FracLEACH*MSLeachEF*NtoN2O*kgtoGg,"NO")</f>
        <v>8.2952824923361885E-3</v>
      </c>
      <c r="Z154" s="23">
        <f>IFERROR(('Activity data'!Z96*(1/Constants!$H$99))*ttokg*FracLEACH*MSLeachEF*NtoN2O*kgtoGg,"NO")</f>
        <v>8.2952824923361885E-3</v>
      </c>
      <c r="AA154" s="23">
        <f>IFERROR(('Activity data'!AA96*(1/Constants!$H$99))*ttokg*FracLEACH*MSLeachEF*NtoN2O*kgtoGg,"NO")</f>
        <v>8.2952824923361885E-3</v>
      </c>
      <c r="AB154" s="23">
        <f>IFERROR(('Activity data'!AB96*(1/Constants!$H$99))*ttokg*FracLEACH*MSLeachEF*NtoN2O*kgtoGg,"NO")</f>
        <v>8.2952824923361885E-3</v>
      </c>
      <c r="AC154" s="23">
        <f>IFERROR(('Activity data'!AC96*(1/Constants!$H$99))*ttokg*FracLEACH*MSLeachEF*NtoN2O*kgtoGg,"NO")</f>
        <v>8.2952824923361885E-3</v>
      </c>
      <c r="AD154" s="23">
        <f>IFERROR(('Activity data'!AD96*(1/Constants!$H$99))*ttokg*FracLEACH*MSLeachEF*NtoN2O*kgtoGg,"NO")</f>
        <v>8.2952824923361885E-3</v>
      </c>
      <c r="AE154" s="23">
        <f>IFERROR(('Activity data'!AE96*(1/Constants!$H$99))*ttokg*FracLEACH*MSLeachEF*NtoN2O*kgtoGg,"NO")</f>
        <v>8.2952824923361885E-3</v>
      </c>
      <c r="AF154" s="23">
        <f>IFERROR(('Activity data'!AF96*(1/Constants!$H$99))*ttokg*FracLEACH*MSLeachEF*NtoN2O*kgtoGg,"NO")</f>
        <v>8.2952824923361885E-3</v>
      </c>
      <c r="AG154" s="23">
        <f>IFERROR(('Activity data'!AG96*(1/Constants!$H$99))*ttokg*FracLEACH*MSLeachEF*NtoN2O*kgtoGg,"NO")</f>
        <v>8.2952824923361885E-3</v>
      </c>
      <c r="AH154" s="23">
        <f>IFERROR(('Activity data'!AH96*(1/Constants!$H$99))*ttokg*FracLEACH*MSLeachEF*NtoN2O*kgtoGg,"NO")</f>
        <v>8.2952824923361885E-3</v>
      </c>
      <c r="AI154" s="23">
        <f>IFERROR(('Activity data'!AI96*(1/Constants!$H$99))*ttokg*FracLEACH*MSLeachEF*NtoN2O*kgtoGg,"NO")</f>
        <v>8.2952824923361885E-3</v>
      </c>
      <c r="AJ154" s="23">
        <f>IFERROR(('Activity data'!AJ96*(1/Constants!$H$99))*ttokg*FracLEACH*MSLeachEF*NtoN2O*kgtoGg,"NO")</f>
        <v>2.4770655550591862E-3</v>
      </c>
      <c r="AK154" s="23">
        <f>IFERROR(('Activity data'!AK96*(1/Constants!$H$99))*ttokg*FracLEACH*MSLeachEF*NtoN2O*kgtoGg,"NO")</f>
        <v>2.4770655550591862E-3</v>
      </c>
      <c r="AL154" s="23">
        <f>IFERROR(('Activity data'!AL96*(1/Constants!$H$99))*ttokg*FracLEACH*MSLeachEF*NtoN2O*kgtoGg,"NO")</f>
        <v>2.4770655550591862E-3</v>
      </c>
      <c r="AM154" s="23">
        <f>IFERROR(('Activity data'!AM96*(1/Constants!$H$99))*ttokg*FracLEACH*MSLeachEF*NtoN2O*kgtoGg,"NO")</f>
        <v>2.4770655550591862E-3</v>
      </c>
      <c r="AN154" s="23">
        <f>IFERROR(('Activity data'!AN96*(1/Constants!$H$99))*ttokg*FracLEACH*MSLeachEF*NtoN2O*kgtoGg,"NO")</f>
        <v>2.4770655550591862E-3</v>
      </c>
      <c r="AO154" s="23">
        <f>IFERROR(('Activity data'!AO96*(1/Constants!$H$99))*ttokg*FracLEACH*MSLeachEF*NtoN2O*kgtoGg,"NO")</f>
        <v>2.4770655550591862E-3</v>
      </c>
      <c r="AP154" s="23">
        <f>IFERROR(('Activity data'!AP96*(1/Constants!$H$99))*ttokg*FracLEACH*MSLeachEF*NtoN2O*kgtoGg,"NO")</f>
        <v>2.4770655550591862E-3</v>
      </c>
      <c r="AQ154" s="23">
        <f>IFERROR(('Activity data'!AQ96*(1/Constants!$H$99))*ttokg*FracLEACH*MSLeachEF*NtoN2O*kgtoGg,"NO")</f>
        <v>2.4770655550591862E-3</v>
      </c>
      <c r="AR154" s="23">
        <f>IFERROR(('Activity data'!AR96*(1/Constants!$H$99))*ttokg*FracLEACH*MSLeachEF*NtoN2O*kgtoGg,"NO")</f>
        <v>2.4770655550591862E-3</v>
      </c>
      <c r="AS154" s="23">
        <f>IFERROR(('Activity data'!AS96*(1/Constants!$H$99))*ttokg*FracLEACH*MSLeachEF*NtoN2O*kgtoGg,"NO")</f>
        <v>2.4770655550591862E-3</v>
      </c>
      <c r="AT154" s="23">
        <f>IFERROR(('Activity data'!AT96*(1/Constants!$H$99))*ttokg*FracLEACH*MSLeachEF*NtoN2O*kgtoGg,"NO")</f>
        <v>2.4770655550591862E-3</v>
      </c>
      <c r="AU154" s="23">
        <f>IFERROR(('Activity data'!AU96*(1/Constants!$H$99))*ttokg*FracLEACH*MSLeachEF*NtoN2O*kgtoGg,"NO")</f>
        <v>2.4770655550591862E-3</v>
      </c>
      <c r="AV154" s="23">
        <f>IFERROR(('Activity data'!AV96*(1/Constants!$H$99))*ttokg*FracLEACH*MSLeachEF*NtoN2O*kgtoGg,"NO")</f>
        <v>2.4770655550591862E-3</v>
      </c>
      <c r="AW154" s="23">
        <f>IFERROR(('Activity data'!AW96*(1/Constants!$H$99))*ttokg*FracLEACH*MSLeachEF*NtoN2O*kgtoGg,"NO")</f>
        <v>2.4770655550591862E-3</v>
      </c>
      <c r="AX154" s="23">
        <f>IFERROR(('Activity data'!AX96*(1/Constants!$H$99))*ttokg*FracLEACH*MSLeachEF*NtoN2O*kgtoGg,"NO")</f>
        <v>2.4770655550591862E-3</v>
      </c>
      <c r="AY154" s="23">
        <f>IFERROR(('Activity data'!AY96*(1/Constants!$H$99))*ttokg*FracLEACH*MSLeachEF*NtoN2O*kgtoGg,"NO")</f>
        <v>2.4770655550591862E-3</v>
      </c>
      <c r="AZ154" s="23">
        <f>IFERROR(('Activity data'!AZ96*(1/Constants!$H$99))*ttokg*FracLEACH*MSLeachEF*NtoN2O*kgtoGg,"NO")</f>
        <v>2.4770655550591862E-3</v>
      </c>
      <c r="BA154" s="23">
        <f>IFERROR(('Activity data'!BA96*(1/Constants!$H$99))*ttokg*FracLEACH*MSLeachEF*NtoN2O*kgtoGg,"NO")</f>
        <v>2.4770655550591862E-3</v>
      </c>
      <c r="BB154" s="23">
        <f>IFERROR(('Activity data'!BB96*(1/Constants!$H$99))*ttokg*FracLEACH*MSLeachEF*NtoN2O*kgtoGg,"NO")</f>
        <v>2.4770655550591862E-3</v>
      </c>
      <c r="BC154" s="23">
        <f>IFERROR(('Activity data'!BC96*(1/Constants!$H$99))*ttokg*FracLEACH*MSLeachEF*NtoN2O*kgtoGg,"NO")</f>
        <v>2.4770655550591862E-3</v>
      </c>
      <c r="BD154" s="23">
        <f>IFERROR(('Activity data'!BD96*(1/Constants!$H$99))*ttokg*FracLEACH*MSLeachEF*NtoN2O*kgtoGg,"NO")</f>
        <v>2.4770655550591862E-3</v>
      </c>
      <c r="BE154" s="23">
        <f>IFERROR(('Activity data'!BE96*(1/Constants!$H$99))*ttokg*FracLEACH*MSLeachEF*NtoN2O*kgtoGg,"NO")</f>
        <v>2.4770655550591862E-3</v>
      </c>
      <c r="BF154" s="23">
        <f>IFERROR(('Activity data'!BF96*(1/Constants!$H$99))*ttokg*FracLEACH*MSLeachEF*NtoN2O*kgtoGg,"NO")</f>
        <v>2.4770655550591862E-3</v>
      </c>
      <c r="BG154" s="23">
        <f>IFERROR(('Activity data'!BG96*(1/Constants!$H$99))*ttokg*FracLEACH*MSLeachEF*NtoN2O*kgtoGg,"NO")</f>
        <v>2.4770655550591862E-3</v>
      </c>
      <c r="BH154" s="23">
        <f>IFERROR(('Activity data'!BH96*(1/Constants!$H$99))*ttokg*FracLEACH*MSLeachEF*NtoN2O*kgtoGg,"NO")</f>
        <v>2.4770655550591862E-3</v>
      </c>
      <c r="BI154" s="23">
        <f>IFERROR(('Activity data'!BI96*(1/Constants!$H$99))*ttokg*FracLEACH*MSLeachEF*NtoN2O*kgtoGg,"NO")</f>
        <v>2.4770655550591862E-3</v>
      </c>
      <c r="BJ154" s="23">
        <f>IFERROR(('Activity data'!BJ96*(1/Constants!$H$99))*ttokg*FracLEACH*MSLeachEF*NtoN2O*kgtoGg,"NO")</f>
        <v>2.4770655550591862E-3</v>
      </c>
      <c r="BK154" s="23">
        <f>IFERROR(('Activity data'!BK96*(1/Constants!$H$99))*ttokg*FracLEACH*MSLeachEF*NtoN2O*kgtoGg,"NO")</f>
        <v>2.4770655550591862E-3</v>
      </c>
      <c r="BL154" s="23">
        <f>IFERROR(('Activity data'!BL96*(1/Constants!$H$99))*ttokg*FracLEACH*MSLeachEF*NtoN2O*kgtoGg,"NO")</f>
        <v>2.4770655550591862E-3</v>
      </c>
      <c r="BM154" s="23">
        <f>IFERROR(('Activity data'!BM96*(1/Constants!$H$99))*ttokg*FracLEACH*MSLeachEF*NtoN2O*kgtoGg,"NO")</f>
        <v>2.4770655550591862E-3</v>
      </c>
      <c r="BN154" s="23">
        <f>IFERROR(('Activity data'!BN96*(1/Constants!$H$99))*ttokg*FracLEACH*MSLeachEF*NtoN2O*kgtoGg,"NO")</f>
        <v>2.4770655550591862E-3</v>
      </c>
      <c r="BO154" s="23">
        <f>IFERROR(('Activity data'!BO96*(1/Constants!$H$99))*ttokg*FracLEACH*MSLeachEF*NtoN2O*kgtoGg,"NO")</f>
        <v>2.4770655550591862E-3</v>
      </c>
      <c r="BP154" s="23">
        <f>IFERROR(('Activity data'!BP96*(1/Constants!$H$99))*ttokg*FracLEACH*MSLeachEF*NtoN2O*kgtoGg,"NO")</f>
        <v>2.4770655550591862E-3</v>
      </c>
    </row>
    <row r="155" spans="1:68" x14ac:dyDescent="0.25">
      <c r="A155" t="str">
        <f t="shared" si="58"/>
        <v>3C Aggregated and non-CO2 emissions on land</v>
      </c>
      <c r="B155" t="str">
        <f t="shared" si="59"/>
        <v>3C5 Indirect N2O from managed soils (N2O)</v>
      </c>
      <c r="C155" t="str">
        <f t="shared" si="54"/>
        <v>Leaching/runoff</v>
      </c>
      <c r="D155" t="str">
        <f>" - FSOM - "&amp;'Activity data'!D97</f>
        <v xml:space="preserve"> - FSOM - Other land remaining other land</v>
      </c>
      <c r="E155" t="str">
        <f t="shared" si="60"/>
        <v>Leaching/runoff - FSOM - Other land remaining other land</v>
      </c>
      <c r="F155" t="str">
        <f t="shared" si="47"/>
        <v>N2O</v>
      </c>
      <c r="G155" t="str">
        <f t="shared" si="48"/>
        <v>Gg N2O</v>
      </c>
      <c r="H155" s="23" t="str">
        <f>IFERROR(('Activity data'!H97*(1/Constants!$H$99))*ttokg*FracLEACH*MSLeachEF*NtoN2O*kgtoGg,"NO")</f>
        <v>NO</v>
      </c>
      <c r="I155" s="23" t="str">
        <f>IFERROR(('Activity data'!I97*(1/Constants!$H$99))*ttokg*FracLEACH*MSLeachEF*NtoN2O*kgtoGg,"NO")</f>
        <v>NO</v>
      </c>
      <c r="J155" s="23" t="str">
        <f>IFERROR(('Activity data'!J97*(1/Constants!$H$99))*ttokg*FracLEACH*MSLeachEF*NtoN2O*kgtoGg,"NO")</f>
        <v>NO</v>
      </c>
      <c r="K155" s="23" t="str">
        <f>IFERROR(('Activity data'!K97*(1/Constants!$H$99))*ttokg*FracLEACH*MSLeachEF*NtoN2O*kgtoGg,"NO")</f>
        <v>NO</v>
      </c>
      <c r="L155" s="23" t="str">
        <f>IFERROR(('Activity data'!L97*(1/Constants!$H$99))*ttokg*FracLEACH*MSLeachEF*NtoN2O*kgtoGg,"NO")</f>
        <v>NO</v>
      </c>
      <c r="M155" s="23" t="str">
        <f>IFERROR(('Activity data'!M97*(1/Constants!$H$99))*ttokg*FracLEACH*MSLeachEF*NtoN2O*kgtoGg,"NO")</f>
        <v>NO</v>
      </c>
      <c r="N155" s="23" t="str">
        <f>IFERROR(('Activity data'!N97*(1/Constants!$H$99))*ttokg*FracLEACH*MSLeachEF*NtoN2O*kgtoGg,"NO")</f>
        <v>NO</v>
      </c>
      <c r="O155" s="23" t="str">
        <f>IFERROR(('Activity data'!O97*(1/Constants!$H$99))*ttokg*FracLEACH*MSLeachEF*NtoN2O*kgtoGg,"NO")</f>
        <v>NO</v>
      </c>
      <c r="P155" s="23" t="str">
        <f>IFERROR(('Activity data'!P97*(1/Constants!$H$99))*ttokg*FracLEACH*MSLeachEF*NtoN2O*kgtoGg,"NO")</f>
        <v>NO</v>
      </c>
      <c r="Q155" s="23" t="str">
        <f>IFERROR(('Activity data'!Q97*(1/Constants!$H$99))*ttokg*FracLEACH*MSLeachEF*NtoN2O*kgtoGg,"NO")</f>
        <v>NO</v>
      </c>
      <c r="R155" s="23" t="str">
        <f>IFERROR(('Activity data'!R97*(1/Constants!$H$99))*ttokg*FracLEACH*MSLeachEF*NtoN2O*kgtoGg,"NO")</f>
        <v>NO</v>
      </c>
      <c r="S155" s="23" t="str">
        <f>IFERROR(('Activity data'!S97*(1/Constants!$H$99))*ttokg*FracLEACH*MSLeachEF*NtoN2O*kgtoGg,"NO")</f>
        <v>NO</v>
      </c>
      <c r="T155" s="23" t="str">
        <f>IFERROR(('Activity data'!T97*(1/Constants!$H$99))*ttokg*FracLEACH*MSLeachEF*NtoN2O*kgtoGg,"NO")</f>
        <v>NO</v>
      </c>
      <c r="U155" s="23" t="str">
        <f>IFERROR(('Activity data'!U97*(1/Constants!$H$99))*ttokg*FracLEACH*MSLeachEF*NtoN2O*kgtoGg,"NO")</f>
        <v>NO</v>
      </c>
      <c r="V155" s="23" t="str">
        <f>IFERROR(('Activity data'!V97*(1/Constants!$H$99))*ttokg*FracLEACH*MSLeachEF*NtoN2O*kgtoGg,"NO")</f>
        <v>NO</v>
      </c>
      <c r="W155" s="23" t="str">
        <f>IFERROR(('Activity data'!W97*(1/Constants!$H$99))*ttokg*FracLEACH*MSLeachEF*NtoN2O*kgtoGg,"NO")</f>
        <v>NO</v>
      </c>
      <c r="X155" s="23" t="str">
        <f>IFERROR(('Activity data'!X97*(1/Constants!$H$99))*ttokg*FracLEACH*MSLeachEF*NtoN2O*kgtoGg,"NO")</f>
        <v>NO</v>
      </c>
      <c r="Y155" s="23" t="str">
        <f>IFERROR(('Activity data'!Y97*(1/Constants!$H$99))*ttokg*FracLEACH*MSLeachEF*NtoN2O*kgtoGg,"NO")</f>
        <v>NO</v>
      </c>
      <c r="Z155" s="23" t="str">
        <f>IFERROR(('Activity data'!Z97*(1/Constants!$H$99))*ttokg*FracLEACH*MSLeachEF*NtoN2O*kgtoGg,"NO")</f>
        <v>NO</v>
      </c>
      <c r="AA155" s="23" t="str">
        <f>IFERROR(('Activity data'!AA97*(1/Constants!$H$99))*ttokg*FracLEACH*MSLeachEF*NtoN2O*kgtoGg,"NO")</f>
        <v>NO</v>
      </c>
      <c r="AB155" s="23" t="str">
        <f>IFERROR(('Activity data'!AB97*(1/Constants!$H$99))*ttokg*FracLEACH*MSLeachEF*NtoN2O*kgtoGg,"NO")</f>
        <v>NO</v>
      </c>
      <c r="AC155" s="23" t="str">
        <f>IFERROR(('Activity data'!AC97*(1/Constants!$H$99))*ttokg*FracLEACH*MSLeachEF*NtoN2O*kgtoGg,"NO")</f>
        <v>NO</v>
      </c>
      <c r="AD155" s="23" t="str">
        <f>IFERROR(('Activity data'!AD97*(1/Constants!$H$99))*ttokg*FracLEACH*MSLeachEF*NtoN2O*kgtoGg,"NO")</f>
        <v>NO</v>
      </c>
      <c r="AE155" s="23" t="str">
        <f>IFERROR(('Activity data'!AE97*(1/Constants!$H$99))*ttokg*FracLEACH*MSLeachEF*NtoN2O*kgtoGg,"NO")</f>
        <v>NO</v>
      </c>
      <c r="AF155" s="23" t="str">
        <f>IFERROR(('Activity data'!AF97*(1/Constants!$H$99))*ttokg*FracLEACH*MSLeachEF*NtoN2O*kgtoGg,"NO")</f>
        <v>NO</v>
      </c>
      <c r="AG155" s="23" t="str">
        <f>IFERROR(('Activity data'!AG97*(1/Constants!$H$99))*ttokg*FracLEACH*MSLeachEF*NtoN2O*kgtoGg,"NO")</f>
        <v>NO</v>
      </c>
      <c r="AH155" s="23" t="str">
        <f>IFERROR(('Activity data'!AH97*(1/Constants!$H$99))*ttokg*FracLEACH*MSLeachEF*NtoN2O*kgtoGg,"NO")</f>
        <v>NO</v>
      </c>
      <c r="AI155" s="23" t="str">
        <f>IFERROR(('Activity data'!AI97*(1/Constants!$H$99))*ttokg*FracLEACH*MSLeachEF*NtoN2O*kgtoGg,"NO")</f>
        <v>NO</v>
      </c>
      <c r="AJ155" s="23" t="str">
        <f>IFERROR(('Activity data'!AJ97*(1/Constants!$H$99))*ttokg*FracLEACH*MSLeachEF*NtoN2O*kgtoGg,"NO")</f>
        <v>NO</v>
      </c>
      <c r="AK155" s="23" t="str">
        <f>IFERROR(('Activity data'!AK97*(1/Constants!$H$99))*ttokg*FracLEACH*MSLeachEF*NtoN2O*kgtoGg,"NO")</f>
        <v>NO</v>
      </c>
      <c r="AL155" s="23" t="str">
        <f>IFERROR(('Activity data'!AL97*(1/Constants!$H$99))*ttokg*FracLEACH*MSLeachEF*NtoN2O*kgtoGg,"NO")</f>
        <v>NO</v>
      </c>
      <c r="AM155" s="23" t="str">
        <f>IFERROR(('Activity data'!AM97*(1/Constants!$H$99))*ttokg*FracLEACH*MSLeachEF*NtoN2O*kgtoGg,"NO")</f>
        <v>NO</v>
      </c>
      <c r="AN155" s="23" t="str">
        <f>IFERROR(('Activity data'!AN97*(1/Constants!$H$99))*ttokg*FracLEACH*MSLeachEF*NtoN2O*kgtoGg,"NO")</f>
        <v>NO</v>
      </c>
      <c r="AO155" s="23" t="str">
        <f>IFERROR(('Activity data'!AO97*(1/Constants!$H$99))*ttokg*FracLEACH*MSLeachEF*NtoN2O*kgtoGg,"NO")</f>
        <v>NO</v>
      </c>
      <c r="AP155" s="23" t="str">
        <f>IFERROR(('Activity data'!AP97*(1/Constants!$H$99))*ttokg*FracLEACH*MSLeachEF*NtoN2O*kgtoGg,"NO")</f>
        <v>NO</v>
      </c>
      <c r="AQ155" s="23" t="str">
        <f>IFERROR(('Activity data'!AQ97*(1/Constants!$H$99))*ttokg*FracLEACH*MSLeachEF*NtoN2O*kgtoGg,"NO")</f>
        <v>NO</v>
      </c>
      <c r="AR155" s="23" t="str">
        <f>IFERROR(('Activity data'!AR97*(1/Constants!$H$99))*ttokg*FracLEACH*MSLeachEF*NtoN2O*kgtoGg,"NO")</f>
        <v>NO</v>
      </c>
      <c r="AS155" s="23" t="str">
        <f>IFERROR(('Activity data'!AS97*(1/Constants!$H$99))*ttokg*FracLEACH*MSLeachEF*NtoN2O*kgtoGg,"NO")</f>
        <v>NO</v>
      </c>
      <c r="AT155" s="23" t="str">
        <f>IFERROR(('Activity data'!AT97*(1/Constants!$H$99))*ttokg*FracLEACH*MSLeachEF*NtoN2O*kgtoGg,"NO")</f>
        <v>NO</v>
      </c>
      <c r="AU155" s="23" t="str">
        <f>IFERROR(('Activity data'!AU97*(1/Constants!$H$99))*ttokg*FracLEACH*MSLeachEF*NtoN2O*kgtoGg,"NO")</f>
        <v>NO</v>
      </c>
      <c r="AV155" s="23" t="str">
        <f>IFERROR(('Activity data'!AV97*(1/Constants!$H$99))*ttokg*FracLEACH*MSLeachEF*NtoN2O*kgtoGg,"NO")</f>
        <v>NO</v>
      </c>
      <c r="AW155" s="23" t="str">
        <f>IFERROR(('Activity data'!AW97*(1/Constants!$H$99))*ttokg*FracLEACH*MSLeachEF*NtoN2O*kgtoGg,"NO")</f>
        <v>NO</v>
      </c>
      <c r="AX155" s="23" t="str">
        <f>IFERROR(('Activity data'!AX97*(1/Constants!$H$99))*ttokg*FracLEACH*MSLeachEF*NtoN2O*kgtoGg,"NO")</f>
        <v>NO</v>
      </c>
      <c r="AY155" s="23" t="str">
        <f>IFERROR(('Activity data'!AY97*(1/Constants!$H$99))*ttokg*FracLEACH*MSLeachEF*NtoN2O*kgtoGg,"NO")</f>
        <v>NO</v>
      </c>
      <c r="AZ155" s="23" t="str">
        <f>IFERROR(('Activity data'!AZ97*(1/Constants!$H$99))*ttokg*FracLEACH*MSLeachEF*NtoN2O*kgtoGg,"NO")</f>
        <v>NO</v>
      </c>
      <c r="BA155" s="23" t="str">
        <f>IFERROR(('Activity data'!BA97*(1/Constants!$H$99))*ttokg*FracLEACH*MSLeachEF*NtoN2O*kgtoGg,"NO")</f>
        <v>NO</v>
      </c>
      <c r="BB155" s="23" t="str">
        <f>IFERROR(('Activity data'!BB97*(1/Constants!$H$99))*ttokg*FracLEACH*MSLeachEF*NtoN2O*kgtoGg,"NO")</f>
        <v>NO</v>
      </c>
      <c r="BC155" s="23" t="str">
        <f>IFERROR(('Activity data'!BC97*(1/Constants!$H$99))*ttokg*FracLEACH*MSLeachEF*NtoN2O*kgtoGg,"NO")</f>
        <v>NO</v>
      </c>
      <c r="BD155" s="23" t="str">
        <f>IFERROR(('Activity data'!BD97*(1/Constants!$H$99))*ttokg*FracLEACH*MSLeachEF*NtoN2O*kgtoGg,"NO")</f>
        <v>NO</v>
      </c>
      <c r="BE155" s="23" t="str">
        <f>IFERROR(('Activity data'!BE97*(1/Constants!$H$99))*ttokg*FracLEACH*MSLeachEF*NtoN2O*kgtoGg,"NO")</f>
        <v>NO</v>
      </c>
      <c r="BF155" s="23" t="str">
        <f>IFERROR(('Activity data'!BF97*(1/Constants!$H$99))*ttokg*FracLEACH*MSLeachEF*NtoN2O*kgtoGg,"NO")</f>
        <v>NO</v>
      </c>
      <c r="BG155" s="23" t="str">
        <f>IFERROR(('Activity data'!BG97*(1/Constants!$H$99))*ttokg*FracLEACH*MSLeachEF*NtoN2O*kgtoGg,"NO")</f>
        <v>NO</v>
      </c>
      <c r="BH155" s="23" t="str">
        <f>IFERROR(('Activity data'!BH97*(1/Constants!$H$99))*ttokg*FracLEACH*MSLeachEF*NtoN2O*kgtoGg,"NO")</f>
        <v>NO</v>
      </c>
      <c r="BI155" s="23" t="str">
        <f>IFERROR(('Activity data'!BI97*(1/Constants!$H$99))*ttokg*FracLEACH*MSLeachEF*NtoN2O*kgtoGg,"NO")</f>
        <v>NO</v>
      </c>
      <c r="BJ155" s="23" t="str">
        <f>IFERROR(('Activity data'!BJ97*(1/Constants!$H$99))*ttokg*FracLEACH*MSLeachEF*NtoN2O*kgtoGg,"NO")</f>
        <v>NO</v>
      </c>
      <c r="BK155" s="23" t="str">
        <f>IFERROR(('Activity data'!BK97*(1/Constants!$H$99))*ttokg*FracLEACH*MSLeachEF*NtoN2O*kgtoGg,"NO")</f>
        <v>NO</v>
      </c>
      <c r="BL155" s="23" t="str">
        <f>IFERROR(('Activity data'!BL97*(1/Constants!$H$99))*ttokg*FracLEACH*MSLeachEF*NtoN2O*kgtoGg,"NO")</f>
        <v>NO</v>
      </c>
      <c r="BM155" s="23" t="str">
        <f>IFERROR(('Activity data'!BM97*(1/Constants!$H$99))*ttokg*FracLEACH*MSLeachEF*NtoN2O*kgtoGg,"NO")</f>
        <v>NO</v>
      </c>
      <c r="BN155" s="23" t="str">
        <f>IFERROR(('Activity data'!BN97*(1/Constants!$H$99))*ttokg*FracLEACH*MSLeachEF*NtoN2O*kgtoGg,"NO")</f>
        <v>NO</v>
      </c>
      <c r="BO155" s="23" t="str">
        <f>IFERROR(('Activity data'!BO97*(1/Constants!$H$99))*ttokg*FracLEACH*MSLeachEF*NtoN2O*kgtoGg,"NO")</f>
        <v>NO</v>
      </c>
      <c r="BP155" s="23" t="str">
        <f>IFERROR(('Activity data'!BP97*(1/Constants!$H$99))*ttokg*FracLEACH*MSLeachEF*NtoN2O*kgtoGg,"NO")</f>
        <v>NO</v>
      </c>
    </row>
    <row r="156" spans="1:68" x14ac:dyDescent="0.25">
      <c r="A156" t="str">
        <f t="shared" si="58"/>
        <v>3C Aggregated and non-CO2 emissions on land</v>
      </c>
      <c r="B156" t="str">
        <f t="shared" si="59"/>
        <v>3C5 Indirect N2O from managed soils (N2O)</v>
      </c>
      <c r="C156" t="str">
        <f t="shared" si="54"/>
        <v>Leaching/runoff</v>
      </c>
      <c r="D156" t="str">
        <f>" - FSOM - "&amp;'Activity data'!D98</f>
        <v xml:space="preserve"> - FSOM - Land converted to other lands</v>
      </c>
      <c r="E156" t="str">
        <f t="shared" si="60"/>
        <v>Leaching/runoff - FSOM - Land converted to other lands</v>
      </c>
      <c r="F156" t="str">
        <f t="shared" si="47"/>
        <v>N2O</v>
      </c>
      <c r="G156" t="str">
        <f t="shared" si="48"/>
        <v>Gg N2O</v>
      </c>
      <c r="H156" s="23">
        <f>IFERROR(('Activity data'!H98*(1/Constants!$H$99))*ttokg*FracLEACH*MSLeachEF*NtoN2O*kgtoGg,"NO")</f>
        <v>0</v>
      </c>
      <c r="I156" s="23">
        <f>IFERROR(('Activity data'!I98*(1/Constants!$H$99))*ttokg*FracLEACH*MSLeachEF*NtoN2O*kgtoGg,"NO")</f>
        <v>0.13265106275649749</v>
      </c>
      <c r="J156" s="23">
        <f>IFERROR(('Activity data'!J98*(1/Constants!$H$99))*ttokg*FracLEACH*MSLeachEF*NtoN2O*kgtoGg,"NO")</f>
        <v>0.13265106275649749</v>
      </c>
      <c r="K156" s="23">
        <f>IFERROR(('Activity data'!K98*(1/Constants!$H$99))*ttokg*FracLEACH*MSLeachEF*NtoN2O*kgtoGg,"NO")</f>
        <v>0.13265106275649749</v>
      </c>
      <c r="L156" s="23">
        <f>IFERROR(('Activity data'!L98*(1/Constants!$H$99))*ttokg*FracLEACH*MSLeachEF*NtoN2O*kgtoGg,"NO")</f>
        <v>0.13265106275649749</v>
      </c>
      <c r="M156" s="23">
        <f>IFERROR(('Activity data'!M98*(1/Constants!$H$99))*ttokg*FracLEACH*MSLeachEF*NtoN2O*kgtoGg,"NO")</f>
        <v>0.13265106275649749</v>
      </c>
      <c r="N156" s="23">
        <f>IFERROR(('Activity data'!N98*(1/Constants!$H$99))*ttokg*FracLEACH*MSLeachEF*NtoN2O*kgtoGg,"NO")</f>
        <v>0.13265106275649749</v>
      </c>
      <c r="O156" s="23">
        <f>IFERROR(('Activity data'!O98*(1/Constants!$H$99))*ttokg*FracLEACH*MSLeachEF*NtoN2O*kgtoGg,"NO")</f>
        <v>0.13265106275649749</v>
      </c>
      <c r="P156" s="23">
        <f>IFERROR(('Activity data'!P98*(1/Constants!$H$99))*ttokg*FracLEACH*MSLeachEF*NtoN2O*kgtoGg,"NO")</f>
        <v>0.13265106275649749</v>
      </c>
      <c r="Q156" s="23">
        <f>IFERROR(('Activity data'!Q98*(1/Constants!$H$99))*ttokg*FracLEACH*MSLeachEF*NtoN2O*kgtoGg,"NO")</f>
        <v>0.13265106275649749</v>
      </c>
      <c r="R156" s="23">
        <f>IFERROR(('Activity data'!R98*(1/Constants!$H$99))*ttokg*FracLEACH*MSLeachEF*NtoN2O*kgtoGg,"NO")</f>
        <v>0.13265106275649749</v>
      </c>
      <c r="S156" s="23">
        <f>IFERROR(('Activity data'!S98*(1/Constants!$H$99))*ttokg*FracLEACH*MSLeachEF*NtoN2O*kgtoGg,"NO")</f>
        <v>0.13265106275649749</v>
      </c>
      <c r="T156" s="23">
        <f>IFERROR(('Activity data'!T98*(1/Constants!$H$99))*ttokg*FracLEACH*MSLeachEF*NtoN2O*kgtoGg,"NO")</f>
        <v>0.13265106275649749</v>
      </c>
      <c r="U156" s="23">
        <f>IFERROR(('Activity data'!U98*(1/Constants!$H$99))*ttokg*FracLEACH*MSLeachEF*NtoN2O*kgtoGg,"NO")</f>
        <v>0.13265106275649749</v>
      </c>
      <c r="V156" s="23">
        <f>IFERROR(('Activity data'!V98*(1/Constants!$H$99))*ttokg*FracLEACH*MSLeachEF*NtoN2O*kgtoGg,"NO")</f>
        <v>0.13265106275649749</v>
      </c>
      <c r="W156" s="23">
        <f>IFERROR(('Activity data'!W98*(1/Constants!$H$99))*ttokg*FracLEACH*MSLeachEF*NtoN2O*kgtoGg,"NO")</f>
        <v>0.13265106275649749</v>
      </c>
      <c r="X156" s="23">
        <f>IFERROR(('Activity data'!X98*(1/Constants!$H$99))*ttokg*FracLEACH*MSLeachEF*NtoN2O*kgtoGg,"NO")</f>
        <v>0.13265106275649749</v>
      </c>
      <c r="Y156" s="23">
        <f>IFERROR(('Activity data'!Y98*(1/Constants!$H$99))*ttokg*FracLEACH*MSLeachEF*NtoN2O*kgtoGg,"NO")</f>
        <v>0.13265106275649749</v>
      </c>
      <c r="Z156" s="23">
        <f>IFERROR(('Activity data'!Z98*(1/Constants!$H$99))*ttokg*FracLEACH*MSLeachEF*NtoN2O*kgtoGg,"NO")</f>
        <v>0.13265106275649749</v>
      </c>
      <c r="AA156" s="23">
        <f>IFERROR(('Activity data'!AA98*(1/Constants!$H$99))*ttokg*FracLEACH*MSLeachEF*NtoN2O*kgtoGg,"NO")</f>
        <v>0.13265106275649749</v>
      </c>
      <c r="AB156" s="23">
        <f>IFERROR(('Activity data'!AB98*(1/Constants!$H$99))*ttokg*FracLEACH*MSLeachEF*NtoN2O*kgtoGg,"NO")</f>
        <v>0.13265106275649749</v>
      </c>
      <c r="AC156" s="23">
        <f>IFERROR(('Activity data'!AC98*(1/Constants!$H$99))*ttokg*FracLEACH*MSLeachEF*NtoN2O*kgtoGg,"NO")</f>
        <v>0.13265106275649749</v>
      </c>
      <c r="AD156" s="23">
        <f>IFERROR(('Activity data'!AD98*(1/Constants!$H$99))*ttokg*FracLEACH*MSLeachEF*NtoN2O*kgtoGg,"NO")</f>
        <v>0.13265106275649749</v>
      </c>
      <c r="AE156" s="23">
        <f>IFERROR(('Activity data'!AE98*(1/Constants!$H$99))*ttokg*FracLEACH*MSLeachEF*NtoN2O*kgtoGg,"NO")</f>
        <v>0.13265106275649749</v>
      </c>
      <c r="AF156" s="23">
        <f>IFERROR(('Activity data'!AF98*(1/Constants!$H$99))*ttokg*FracLEACH*MSLeachEF*NtoN2O*kgtoGg,"NO")</f>
        <v>0.13265106275649749</v>
      </c>
      <c r="AG156" s="23">
        <f>IFERROR(('Activity data'!AG98*(1/Constants!$H$99))*ttokg*FracLEACH*MSLeachEF*NtoN2O*kgtoGg,"NO")</f>
        <v>0.13265106275649749</v>
      </c>
      <c r="AH156" s="23">
        <f>IFERROR(('Activity data'!AH98*(1/Constants!$H$99))*ttokg*FracLEACH*MSLeachEF*NtoN2O*kgtoGg,"NO")</f>
        <v>0.13265106275649749</v>
      </c>
      <c r="AI156" s="23">
        <f>IFERROR(('Activity data'!AI98*(1/Constants!$H$99))*ttokg*FracLEACH*MSLeachEF*NtoN2O*kgtoGg,"NO")</f>
        <v>0.13265106275649749</v>
      </c>
      <c r="AJ156" s="23">
        <f>IFERROR(('Activity data'!AJ98*(1/Constants!$H$99))*ttokg*FracLEACH*MSLeachEF*NtoN2O*kgtoGg,"NO")</f>
        <v>0.10585129679838597</v>
      </c>
      <c r="AK156" s="23">
        <f>IFERROR(('Activity data'!AK98*(1/Constants!$H$99))*ttokg*FracLEACH*MSLeachEF*NtoN2O*kgtoGg,"NO")</f>
        <v>0.10585129679838597</v>
      </c>
      <c r="AL156" s="23">
        <f>IFERROR(('Activity data'!AL98*(1/Constants!$H$99))*ttokg*FracLEACH*MSLeachEF*NtoN2O*kgtoGg,"NO")</f>
        <v>0.10585129679838597</v>
      </c>
      <c r="AM156" s="23">
        <f>IFERROR(('Activity data'!AM98*(1/Constants!$H$99))*ttokg*FracLEACH*MSLeachEF*NtoN2O*kgtoGg,"NO")</f>
        <v>0.10585129679838597</v>
      </c>
      <c r="AN156" s="23">
        <f>IFERROR(('Activity data'!AN98*(1/Constants!$H$99))*ttokg*FracLEACH*MSLeachEF*NtoN2O*kgtoGg,"NO")</f>
        <v>0.10585129679838597</v>
      </c>
      <c r="AO156" s="23">
        <f>IFERROR(('Activity data'!AO98*(1/Constants!$H$99))*ttokg*FracLEACH*MSLeachEF*NtoN2O*kgtoGg,"NO")</f>
        <v>0.10585129679838597</v>
      </c>
      <c r="AP156" s="23">
        <f>IFERROR(('Activity data'!AP98*(1/Constants!$H$99))*ttokg*FracLEACH*MSLeachEF*NtoN2O*kgtoGg,"NO")</f>
        <v>0.10585129679838597</v>
      </c>
      <c r="AQ156" s="23">
        <f>IFERROR(('Activity data'!AQ98*(1/Constants!$H$99))*ttokg*FracLEACH*MSLeachEF*NtoN2O*kgtoGg,"NO")</f>
        <v>0.10585129679838597</v>
      </c>
      <c r="AR156" s="23">
        <f>IFERROR(('Activity data'!AR98*(1/Constants!$H$99))*ttokg*FracLEACH*MSLeachEF*NtoN2O*kgtoGg,"NO")</f>
        <v>0.10585129679838597</v>
      </c>
      <c r="AS156" s="23">
        <f>IFERROR(('Activity data'!AS98*(1/Constants!$H$99))*ttokg*FracLEACH*MSLeachEF*NtoN2O*kgtoGg,"NO")</f>
        <v>0.10585129679838597</v>
      </c>
      <c r="AT156" s="23">
        <f>IFERROR(('Activity data'!AT98*(1/Constants!$H$99))*ttokg*FracLEACH*MSLeachEF*NtoN2O*kgtoGg,"NO")</f>
        <v>0.10585129679838597</v>
      </c>
      <c r="AU156" s="23">
        <f>IFERROR(('Activity data'!AU98*(1/Constants!$H$99))*ttokg*FracLEACH*MSLeachEF*NtoN2O*kgtoGg,"NO")</f>
        <v>0.10585129679838597</v>
      </c>
      <c r="AV156" s="23">
        <f>IFERROR(('Activity data'!AV98*(1/Constants!$H$99))*ttokg*FracLEACH*MSLeachEF*NtoN2O*kgtoGg,"NO")</f>
        <v>0.10585129679838597</v>
      </c>
      <c r="AW156" s="23">
        <f>IFERROR(('Activity data'!AW98*(1/Constants!$H$99))*ttokg*FracLEACH*MSLeachEF*NtoN2O*kgtoGg,"NO")</f>
        <v>0.10585129679838597</v>
      </c>
      <c r="AX156" s="23">
        <f>IFERROR(('Activity data'!AX98*(1/Constants!$H$99))*ttokg*FracLEACH*MSLeachEF*NtoN2O*kgtoGg,"NO")</f>
        <v>0.10585129679838597</v>
      </c>
      <c r="AY156" s="23">
        <f>IFERROR(('Activity data'!AY98*(1/Constants!$H$99))*ttokg*FracLEACH*MSLeachEF*NtoN2O*kgtoGg,"NO")</f>
        <v>0.10585129679838597</v>
      </c>
      <c r="AZ156" s="23">
        <f>IFERROR(('Activity data'!AZ98*(1/Constants!$H$99))*ttokg*FracLEACH*MSLeachEF*NtoN2O*kgtoGg,"NO")</f>
        <v>0.10585129679838597</v>
      </c>
      <c r="BA156" s="23">
        <f>IFERROR(('Activity data'!BA98*(1/Constants!$H$99))*ttokg*FracLEACH*MSLeachEF*NtoN2O*kgtoGg,"NO")</f>
        <v>0.10585129679838597</v>
      </c>
      <c r="BB156" s="23">
        <f>IFERROR(('Activity data'!BB98*(1/Constants!$H$99))*ttokg*FracLEACH*MSLeachEF*NtoN2O*kgtoGg,"NO")</f>
        <v>0.10585129679838597</v>
      </c>
      <c r="BC156" s="23">
        <f>IFERROR(('Activity data'!BC98*(1/Constants!$H$99))*ttokg*FracLEACH*MSLeachEF*NtoN2O*kgtoGg,"NO")</f>
        <v>0.10585129679838597</v>
      </c>
      <c r="BD156" s="23">
        <f>IFERROR(('Activity data'!BD98*(1/Constants!$H$99))*ttokg*FracLEACH*MSLeachEF*NtoN2O*kgtoGg,"NO")</f>
        <v>0.10585129679838597</v>
      </c>
      <c r="BE156" s="23">
        <f>IFERROR(('Activity data'!BE98*(1/Constants!$H$99))*ttokg*FracLEACH*MSLeachEF*NtoN2O*kgtoGg,"NO")</f>
        <v>0.10585129679838597</v>
      </c>
      <c r="BF156" s="23">
        <f>IFERROR(('Activity data'!BF98*(1/Constants!$H$99))*ttokg*FracLEACH*MSLeachEF*NtoN2O*kgtoGg,"NO")</f>
        <v>0.10585129679838597</v>
      </c>
      <c r="BG156" s="23">
        <f>IFERROR(('Activity data'!BG98*(1/Constants!$H$99))*ttokg*FracLEACH*MSLeachEF*NtoN2O*kgtoGg,"NO")</f>
        <v>0.10585129679838597</v>
      </c>
      <c r="BH156" s="23">
        <f>IFERROR(('Activity data'!BH98*(1/Constants!$H$99))*ttokg*FracLEACH*MSLeachEF*NtoN2O*kgtoGg,"NO")</f>
        <v>0.10585129679838597</v>
      </c>
      <c r="BI156" s="23">
        <f>IFERROR(('Activity data'!BI98*(1/Constants!$H$99))*ttokg*FracLEACH*MSLeachEF*NtoN2O*kgtoGg,"NO")</f>
        <v>0.10585129679838597</v>
      </c>
      <c r="BJ156" s="23">
        <f>IFERROR(('Activity data'!BJ98*(1/Constants!$H$99))*ttokg*FracLEACH*MSLeachEF*NtoN2O*kgtoGg,"NO")</f>
        <v>0.10585129679838597</v>
      </c>
      <c r="BK156" s="23">
        <f>IFERROR(('Activity data'!BK98*(1/Constants!$H$99))*ttokg*FracLEACH*MSLeachEF*NtoN2O*kgtoGg,"NO")</f>
        <v>0.10585129679838597</v>
      </c>
      <c r="BL156" s="23">
        <f>IFERROR(('Activity data'!BL98*(1/Constants!$H$99))*ttokg*FracLEACH*MSLeachEF*NtoN2O*kgtoGg,"NO")</f>
        <v>0.10585129679838597</v>
      </c>
      <c r="BM156" s="23">
        <f>IFERROR(('Activity data'!BM98*(1/Constants!$H$99))*ttokg*FracLEACH*MSLeachEF*NtoN2O*kgtoGg,"NO")</f>
        <v>0.10585129679838597</v>
      </c>
      <c r="BN156" s="23">
        <f>IFERROR(('Activity data'!BN98*(1/Constants!$H$99))*ttokg*FracLEACH*MSLeachEF*NtoN2O*kgtoGg,"NO")</f>
        <v>0.10585129679838597</v>
      </c>
      <c r="BO156" s="23">
        <f>IFERROR(('Activity data'!BO98*(1/Constants!$H$99))*ttokg*FracLEACH*MSLeachEF*NtoN2O*kgtoGg,"NO")</f>
        <v>0.10585129679838597</v>
      </c>
      <c r="BP156" s="23">
        <f>IFERROR(('Activity data'!BP98*(1/Constants!$H$99))*ttokg*FracLEACH*MSLeachEF*NtoN2O*kgtoGg,"NO")</f>
        <v>0.10585129679838597</v>
      </c>
    </row>
    <row r="157" spans="1:68" x14ac:dyDescent="0.25">
      <c r="A157" t="str">
        <f t="shared" si="58"/>
        <v>3C Aggregated and non-CO2 emissions on land</v>
      </c>
      <c r="B157" t="str">
        <f>'IPCC Categories'!B80</f>
        <v>3C6 Indirect N2O from manure management (N2O)</v>
      </c>
      <c r="C157" t="str">
        <f>'IPCC Categories'!C80</f>
        <v>Volatilisation</v>
      </c>
      <c r="D157" t="str">
        <f>'Activity data'!D66</f>
        <v xml:space="preserve"> - TMR</v>
      </c>
      <c r="E157" t="str">
        <f t="shared" ref="E157:E172" si="61">C157&amp;D157</f>
        <v>Volatilisation - TMR</v>
      </c>
      <c r="F157" t="str">
        <f t="shared" si="47"/>
        <v>N2O</v>
      </c>
      <c r="G157" t="str">
        <f t="shared" si="48"/>
        <v>Gg N2O</v>
      </c>
      <c r="H157" s="23">
        <f>Constants!$H27*'Activity data'!H5*Constants!$H45*EF!$H206*MMVolatEF*NtoN2O*kgtoGg</f>
        <v>0.32741583539331282</v>
      </c>
      <c r="I157" s="23">
        <f>Constants!$H27*'Activity data'!I5*Constants!$H45*EF!$H206*MMVolatEF*NtoN2O*kgtoGg</f>
        <v>0.3769406717199888</v>
      </c>
      <c r="J157" s="23">
        <f>Constants!$H27*'Activity data'!J5*Constants!$H45*EF!$H206*MMVolatEF*NtoN2O*kgtoGg</f>
        <v>0.32610245326188425</v>
      </c>
      <c r="K157" s="23">
        <f>Constants!$H27*'Activity data'!K5*Constants!$H45*EF!$H206*MMVolatEF*NtoN2O*kgtoGg</f>
        <v>0.3458622136437135</v>
      </c>
      <c r="L157" s="23">
        <f>Constants!$H27*'Activity data'!L5*Constants!$H45*EF!$H206*MMVolatEF*NtoN2O*kgtoGg</f>
        <v>0.32084892473617016</v>
      </c>
      <c r="M157" s="23">
        <f>Constants!$H27*'Activity data'!M5*Constants!$H45*EF!$H206*MMVolatEF*NtoN2O*kgtoGg</f>
        <v>0.34323544938085654</v>
      </c>
      <c r="N157" s="23">
        <f>Constants!$H27*'Activity data'!N5*Constants!$H45*EF!$H206*MMVolatEF*NtoN2O*kgtoGg</f>
        <v>0.34454883151228505</v>
      </c>
      <c r="O157" s="23">
        <f>Constants!$H27*'Activity data'!O5*Constants!$H45*EF!$H206*MMVolatEF*NtoN2O*kgtoGg</f>
        <v>0.33216762243061609</v>
      </c>
      <c r="P157" s="23">
        <f>Constants!$H27*'Activity data'!P5*Constants!$H45*EF!$H206*MMVolatEF*NtoN2O*kgtoGg</f>
        <v>0.32822747603633051</v>
      </c>
      <c r="Q157" s="23">
        <f>Constants!$H27*'Activity data'!Q5*Constants!$H45*EF!$H206*MMVolatEF*NtoN2O*kgtoGg</f>
        <v>0.32241317761180416</v>
      </c>
      <c r="R157" s="23">
        <f>Constants!$H27*'Activity data'!R5*Constants!$H45*EF!$H206*MMVolatEF*NtoN2O*kgtoGg</f>
        <v>0.41514681035221879</v>
      </c>
      <c r="S157" s="23">
        <f>Constants!$H27*'Activity data'!S5*Constants!$H45*EF!$H206*MMVolatEF*NtoN2O*kgtoGg</f>
        <v>0.41383342822079017</v>
      </c>
      <c r="T157" s="23">
        <f>Constants!$H27*'Activity data'!T5*Constants!$H45*EF!$H206*MMVolatEF*NtoN2O*kgtoGg</f>
        <v>0.36087018698823964</v>
      </c>
      <c r="U157" s="23">
        <f>Constants!$H27*'Activity data'!U5*Constants!$H45*EF!$H206*MMVolatEF*NtoN2O*kgtoGg</f>
        <v>0.32822747603633051</v>
      </c>
      <c r="V157" s="23">
        <f>Constants!$H27*'Activity data'!V5*Constants!$H45*EF!$H206*MMVolatEF*NtoN2O*kgtoGg</f>
        <v>0.31690877834188452</v>
      </c>
      <c r="W157" s="23">
        <f>Constants!$H27*'Activity data'!W5*Constants!$H45*EF!$H206*MMVolatEF*NtoN2O*kgtoGg</f>
        <v>0.33929530298657085</v>
      </c>
      <c r="X157" s="23">
        <f>Constants!$H27*'Activity data'!X5*Constants!$H45*EF!$H206*MMVolatEF*NtoN2O*kgtoGg</f>
        <v>0.33191675168641066</v>
      </c>
      <c r="Y157" s="23">
        <f>Constants!$H27*'Activity data'!Y5*Constants!$H45*EF!$H206*MMVolatEF*NtoN2O*kgtoGg</f>
        <v>0.32954085816775908</v>
      </c>
      <c r="Z157" s="23">
        <f>Constants!$H27*'Activity data'!Z5*Constants!$H45*EF!$H206*MMVolatEF*NtoN2O*kgtoGg</f>
        <v>0.40357724191356736</v>
      </c>
      <c r="AA157" s="23">
        <f>Constants!$H27*'Activity data'!AA5*Constants!$H45*EF!$H206*MMVolatEF*NtoN2O*kgtoGg</f>
        <v>0.41358255747658468</v>
      </c>
      <c r="AB157" s="23">
        <f>Constants!$H27*'Activity data'!AB5*Constants!$H45*EF!$H206*MMVolatEF*NtoN2O*kgtoGg</f>
        <v>0.41358255747658468</v>
      </c>
      <c r="AC157" s="23">
        <f>Constants!$H27*'Activity data'!AC5*Constants!$H45*EF!$H206*MMVolatEF*NtoN2O*kgtoGg</f>
        <v>0.39857458413205865</v>
      </c>
      <c r="AD157" s="23">
        <f>Constants!$H27*'Activity data'!AD5*Constants!$H45*EF!$H206*MMVolatEF*NtoN2O*kgtoGg</f>
        <v>0.38381748153173811</v>
      </c>
      <c r="AE157" s="23">
        <f>Constants!$H27*'Activity data'!AE5*Constants!$H45*EF!$H206*MMVolatEF*NtoN2O*kgtoGg</f>
        <v>0.41383342822079017</v>
      </c>
      <c r="AF157" s="23">
        <f>Constants!$H27*'Activity data'!AF5*Constants!$H45*EF!$H206*MMVolatEF*NtoN2O*kgtoGg</f>
        <v>0.39119603283189835</v>
      </c>
      <c r="AG157" s="23">
        <f>Constants!$H27*'Activity data'!AG5*Constants!$H45*EF!$H206*MMVolatEF*NtoN2O*kgtoGg</f>
        <v>0.39594781986920163</v>
      </c>
      <c r="AH157" s="23">
        <f>Constants!$H27*'Activity data'!AH5*Constants!$H45*EF!$H206*MMVolatEF*NtoN2O*kgtoGg</f>
        <v>0.41070492246952228</v>
      </c>
      <c r="AI157" s="23">
        <f>Constants!$H27*'Activity data'!AI5*Constants!$H45*EF!$H206*MMVolatEF*NtoN2O*kgtoGg</f>
        <v>0.44178338054579741</v>
      </c>
      <c r="AJ157" s="23">
        <f>Constants!$H27*'Activity data'!AJ5*Constants!$H45*EF!$H206*MMVolatEF*NtoN2O*kgtoGg</f>
        <v>0.40325813057029997</v>
      </c>
      <c r="AK157" s="23">
        <f>Constants!$H27*'Activity data'!AK5*Constants!$H45*EF!$H206*MMVolatEF*NtoN2O*kgtoGg</f>
        <v>0.4046869321727003</v>
      </c>
      <c r="AL157" s="23">
        <f>Constants!$H27*'Activity data'!AL5*Constants!$H45*EF!$H206*MMVolatEF*NtoN2O*kgtoGg</f>
        <v>0.40388654261868961</v>
      </c>
      <c r="AM157" s="23">
        <f>Constants!$H27*'Activity data'!AM5*Constants!$H45*EF!$H206*MMVolatEF*NtoN2O*kgtoGg</f>
        <v>0.40566393893623698</v>
      </c>
      <c r="AN157" s="23">
        <f>Constants!$H27*'Activity data'!AN5*Constants!$H45*EF!$H206*MMVolatEF*NtoN2O*kgtoGg</f>
        <v>0.40741867495177592</v>
      </c>
      <c r="AO157" s="23">
        <f>Constants!$H27*'Activity data'!AO5*Constants!$H45*EF!$H206*MMVolatEF*NtoN2O*kgtoGg</f>
        <v>0.40917849758007574</v>
      </c>
      <c r="AP157" s="23">
        <f>Constants!$H27*'Activity data'!AP5*Constants!$H45*EF!$H206*MMVolatEF*NtoN2O*kgtoGg</f>
        <v>0.41091881286658682</v>
      </c>
      <c r="AQ157" s="23">
        <f>Constants!$H27*'Activity data'!AQ5*Constants!$H45*EF!$H206*MMVolatEF*NtoN2O*kgtoGg</f>
        <v>0.4126817546829073</v>
      </c>
      <c r="AR157" s="23">
        <f>Constants!$H27*'Activity data'!AR5*Constants!$H45*EF!$H206*MMVolatEF*NtoN2O*kgtoGg</f>
        <v>0.41464912851620206</v>
      </c>
      <c r="AS157" s="23">
        <f>Constants!$H27*'Activity data'!AS5*Constants!$H45*EF!$H206*MMVolatEF*NtoN2O*kgtoGg</f>
        <v>0.41661050302140562</v>
      </c>
      <c r="AT157" s="23">
        <f>Constants!$H27*'Activity data'!AT5*Constants!$H45*EF!$H206*MMVolatEF*NtoN2O*kgtoGg</f>
        <v>0.41860250458144938</v>
      </c>
      <c r="AU157" s="23">
        <f>Constants!$H27*'Activity data'!AU5*Constants!$H45*EF!$H206*MMVolatEF*NtoN2O*kgtoGg</f>
        <v>0.42061724782081367</v>
      </c>
      <c r="AV157" s="23">
        <f>Constants!$H27*'Activity data'!AV5*Constants!$H45*EF!$H206*MMVolatEF*NtoN2O*kgtoGg</f>
        <v>0.42265680843081432</v>
      </c>
      <c r="AW157" s="23">
        <f>Constants!$H27*'Activity data'!AW5*Constants!$H45*EF!$H206*MMVolatEF*NtoN2O*kgtoGg</f>
        <v>0.42479757744125068</v>
      </c>
      <c r="AX157" s="23">
        <f>Constants!$H27*'Activity data'!AX5*Constants!$H45*EF!$H206*MMVolatEF*NtoN2O*kgtoGg</f>
        <v>0.42689754614897724</v>
      </c>
      <c r="AY157" s="23">
        <f>Constants!$H27*'Activity data'!AY5*Constants!$H45*EF!$H206*MMVolatEF*NtoN2O*kgtoGg</f>
        <v>0.42908953979190678</v>
      </c>
      <c r="AZ157" s="23">
        <f>Constants!$H27*'Activity data'!AZ5*Constants!$H45*EF!$H206*MMVolatEF*NtoN2O*kgtoGg</f>
        <v>0.43134586685396631</v>
      </c>
      <c r="BA157" s="23">
        <f>Constants!$H27*'Activity data'!BA5*Constants!$H45*EF!$H206*MMVolatEF*NtoN2O*kgtoGg</f>
        <v>0.43367000935782951</v>
      </c>
      <c r="BB157" s="23">
        <f>Constants!$H27*'Activity data'!BB5*Constants!$H45*EF!$H206*MMVolatEF*NtoN2O*kgtoGg</f>
        <v>0.43607513315651003</v>
      </c>
      <c r="BC157" s="23">
        <f>Constants!$H27*'Activity data'!BC5*Constants!$H45*EF!$H206*MMVolatEF*NtoN2O*kgtoGg</f>
        <v>0.43852690242386361</v>
      </c>
      <c r="BD157" s="23">
        <f>Constants!$H27*'Activity data'!BD5*Constants!$H45*EF!$H206*MMVolatEF*NtoN2O*kgtoGg</f>
        <v>0.44099600027083774</v>
      </c>
      <c r="BE157" s="23">
        <f>Constants!$H27*'Activity data'!BE5*Constants!$H45*EF!$H206*MMVolatEF*NtoN2O*kgtoGg</f>
        <v>0.44351218351337457</v>
      </c>
      <c r="BF157" s="23">
        <f>Constants!$H27*'Activity data'!BF5*Constants!$H45*EF!$H206*MMVolatEF*NtoN2O*kgtoGg</f>
        <v>0.44610180050612358</v>
      </c>
      <c r="BG157" s="23">
        <f>Constants!$H27*'Activity data'!BG5*Constants!$H45*EF!$H206*MMVolatEF*NtoN2O*kgtoGg</f>
        <v>0.44893033806493993</v>
      </c>
      <c r="BH157" s="23">
        <f>Constants!$H27*'Activity data'!BH5*Constants!$H45*EF!$H206*MMVolatEF*NtoN2O*kgtoGg</f>
        <v>0.45181524832938474</v>
      </c>
      <c r="BI157" s="23">
        <f>Constants!$H27*'Activity data'!BI5*Constants!$H45*EF!$H206*MMVolatEF*NtoN2O*kgtoGg</f>
        <v>0.45475331778951222</v>
      </c>
      <c r="BJ157" s="23">
        <f>Constants!$H27*'Activity data'!BJ5*Constants!$H45*EF!$H206*MMVolatEF*NtoN2O*kgtoGg</f>
        <v>0.45775247856000134</v>
      </c>
      <c r="BK157" s="23">
        <f>Constants!$H27*'Activity data'!BK5*Constants!$H45*EF!$H206*MMVolatEF*NtoN2O*kgtoGg</f>
        <v>0.4608441794858707</v>
      </c>
      <c r="BL157" s="23">
        <f>Constants!$H27*'Activity data'!BL5*Constants!$H45*EF!$H206*MMVolatEF*NtoN2O*kgtoGg</f>
        <v>0.46396129381558388</v>
      </c>
      <c r="BM157" s="23">
        <f>Constants!$H27*'Activity data'!BM5*Constants!$H45*EF!$H206*MMVolatEF*NtoN2O*kgtoGg</f>
        <v>0.46715819886252963</v>
      </c>
      <c r="BN157" s="23">
        <f>Constants!$H27*'Activity data'!BN5*Constants!$H45*EF!$H206*MMVolatEF*NtoN2O*kgtoGg</f>
        <v>0.47037511266087551</v>
      </c>
      <c r="BO157" s="23">
        <f>Constants!$H27*'Activity data'!BO5*Constants!$H45*EF!$H206*MMVolatEF*NtoN2O*kgtoGg</f>
        <v>0.47367904873448913</v>
      </c>
      <c r="BP157" s="23">
        <f>Constants!$H27*'Activity data'!BP5*Constants!$H45*EF!$H206*MMVolatEF*NtoN2O*kgtoGg</f>
        <v>0.47707726899448455</v>
      </c>
    </row>
    <row r="158" spans="1:68" x14ac:dyDescent="0.25">
      <c r="A158" t="str">
        <f t="shared" si="58"/>
        <v>3C Aggregated and non-CO2 emissions on land</v>
      </c>
      <c r="B158" t="str">
        <f>B157</f>
        <v>3C6 Indirect N2O from manure management (N2O)</v>
      </c>
      <c r="C158" t="str">
        <f>C157</f>
        <v>Volatilisation</v>
      </c>
      <c r="D158" t="str">
        <f>'Activity data'!D67</f>
        <v xml:space="preserve"> - Pasture</v>
      </c>
      <c r="E158" t="str">
        <f t="shared" si="61"/>
        <v>Volatilisation - Pasture</v>
      </c>
      <c r="F158" t="str">
        <f t="shared" si="47"/>
        <v>N2O</v>
      </c>
      <c r="G158" t="str">
        <f t="shared" si="48"/>
        <v>Gg N2O</v>
      </c>
      <c r="H158" s="23">
        <f>Constants!$H28*'Activity data'!H6*Constants!$H46*EF!$H207*MMVolatEF*NtoN2O*kgtoGg</f>
        <v>2.5550081296947576E-2</v>
      </c>
      <c r="I158" s="23">
        <f>Constants!$H28*'Activity data'!I6*Constants!$H46*EF!$H207*MMVolatEF*NtoN2O*kgtoGg</f>
        <v>2.9414780122050389E-2</v>
      </c>
      <c r="J158" s="23">
        <f>Constants!$H28*'Activity data'!J6*Constants!$H46*EF!$H207*MMVolatEF*NtoN2O*kgtoGg</f>
        <v>2.5447590773874224E-2</v>
      </c>
      <c r="K158" s="23">
        <f>Constants!$H28*'Activity data'!K6*Constants!$H46*EF!$H207*MMVolatEF*NtoN2O*kgtoGg</f>
        <v>2.6989554935618165E-2</v>
      </c>
      <c r="L158" s="23">
        <f>Constants!$H28*'Activity data'!L6*Constants!$H46*EF!$H207*MMVolatEF*NtoN2O*kgtoGg</f>
        <v>2.5037628681580843E-2</v>
      </c>
      <c r="M158" s="23">
        <f>Constants!$H28*'Activity data'!M6*Constants!$H46*EF!$H207*MMVolatEF*NtoN2O*kgtoGg</f>
        <v>2.6784573889471471E-2</v>
      </c>
      <c r="N158" s="23">
        <f>Constants!$H28*'Activity data'!N6*Constants!$H46*EF!$H207*MMVolatEF*NtoN2O*kgtoGg</f>
        <v>2.6887064412544823E-2</v>
      </c>
      <c r="O158" s="23">
        <f>Constants!$H28*'Activity data'!O6*Constants!$H46*EF!$H207*MMVolatEF*NtoN2O*kgtoGg</f>
        <v>2.5920889706269115E-2</v>
      </c>
      <c r="P158" s="23">
        <f>Constants!$H28*'Activity data'!P6*Constants!$H46*EF!$H207*MMVolatEF*NtoN2O*kgtoGg</f>
        <v>2.5613418137049079E-2</v>
      </c>
      <c r="Q158" s="23">
        <f>Constants!$H28*'Activity data'!Q6*Constants!$H46*EF!$H207*MMVolatEF*NtoN2O*kgtoGg</f>
        <v>2.5159696046140104E-2</v>
      </c>
      <c r="R158" s="23">
        <f>Constants!$H28*'Activity data'!R6*Constants!$H46*EF!$H207*MMVolatEF*NtoN2O*kgtoGg</f>
        <v>3.2396217922464922E-2</v>
      </c>
      <c r="S158" s="23">
        <f>Constants!$H28*'Activity data'!S6*Constants!$H46*EF!$H207*MMVolatEF*NtoN2O*kgtoGg</f>
        <v>3.2293727399391577E-2</v>
      </c>
      <c r="T158" s="23">
        <f>Constants!$H28*'Activity data'!T6*Constants!$H46*EF!$H207*MMVolatEF*NtoN2O*kgtoGg</f>
        <v>2.8160710688040554E-2</v>
      </c>
      <c r="U158" s="23">
        <f>Constants!$H28*'Activity data'!U6*Constants!$H46*EF!$H207*MMVolatEF*NtoN2O*kgtoGg</f>
        <v>2.5613418137049079E-2</v>
      </c>
      <c r="V158" s="23">
        <f>Constants!$H28*'Activity data'!V6*Constants!$H46*EF!$H207*MMVolatEF*NtoN2O*kgtoGg</f>
        <v>2.47301571123608E-2</v>
      </c>
      <c r="W158" s="23">
        <f>Constants!$H28*'Activity data'!W6*Constants!$H46*EF!$H207*MMVolatEF*NtoN2O*kgtoGg</f>
        <v>2.6477102320251435E-2</v>
      </c>
      <c r="X158" s="23">
        <f>Constants!$H28*'Activity data'!X6*Constants!$H46*EF!$H207*MMVolatEF*NtoN2O*kgtoGg</f>
        <v>2.5901312864783189E-2</v>
      </c>
      <c r="Y158" s="23">
        <f>Constants!$H28*'Activity data'!Y6*Constants!$H46*EF!$H207*MMVolatEF*NtoN2O*kgtoGg</f>
        <v>2.5715908660122428E-2</v>
      </c>
      <c r="Z158" s="23">
        <f>Constants!$H28*'Activity data'!Z6*Constants!$H46*EF!$H207*MMVolatEF*NtoN2O*kgtoGg</f>
        <v>3.1493380056290717E-2</v>
      </c>
      <c r="AA158" s="23">
        <f>Constants!$H28*'Activity data'!AA6*Constants!$H46*EF!$H207*MMVolatEF*NtoN2O*kgtoGg</f>
        <v>3.2274150557905647E-2</v>
      </c>
      <c r="AB158" s="23">
        <f>Constants!$H28*'Activity data'!AB6*Constants!$H46*EF!$H207*MMVolatEF*NtoN2O*kgtoGg</f>
        <v>3.2274150557905647E-2</v>
      </c>
      <c r="AC158" s="23">
        <f>Constants!$H28*'Activity data'!AC6*Constants!$H46*EF!$H207*MMVolatEF*NtoN2O*kgtoGg</f>
        <v>3.1102994805483251E-2</v>
      </c>
      <c r="AD158" s="23">
        <f>Constants!$H28*'Activity data'!AD6*Constants!$H46*EF!$H207*MMVolatEF*NtoN2O*kgtoGg</f>
        <v>2.9951415894546779E-2</v>
      </c>
      <c r="AE158" s="23">
        <f>Constants!$H28*'Activity data'!AE6*Constants!$H46*EF!$H207*MMVolatEF*NtoN2O*kgtoGg</f>
        <v>3.2293727399391577E-2</v>
      </c>
      <c r="AF158" s="23">
        <f>Constants!$H28*'Activity data'!AF6*Constants!$H46*EF!$H207*MMVolatEF*NtoN2O*kgtoGg</f>
        <v>3.0527205350015019E-2</v>
      </c>
      <c r="AG158" s="23">
        <f>Constants!$H28*'Activity data'!AG6*Constants!$H46*EF!$H207*MMVolatEF*NtoN2O*kgtoGg</f>
        <v>3.0898013759336561E-2</v>
      </c>
      <c r="AH158" s="23">
        <f>Constants!$H28*'Activity data'!AH6*Constants!$H46*EF!$H207*MMVolatEF*NtoN2O*kgtoGg</f>
        <v>3.204959267027304E-2</v>
      </c>
      <c r="AI158" s="23">
        <f>Constants!$H28*'Activity data'!AI6*Constants!$H46*EF!$H207*MMVolatEF*NtoN2O*kgtoGg</f>
        <v>3.447481785670526E-2</v>
      </c>
      <c r="AJ158" s="23">
        <f>Constants!$H28*'Activity data'!AJ6*Constants!$H46*EF!$H207*MMVolatEF*NtoN2O*kgtoGg</f>
        <v>3.1415825798760129E-2</v>
      </c>
      <c r="AK158" s="23">
        <f>Constants!$H28*'Activity data'!AK6*Constants!$H46*EF!$H207*MMVolatEF*NtoN2O*kgtoGg</f>
        <v>3.1527136591622547E-2</v>
      </c>
      <c r="AL158" s="23">
        <f>Constants!$H28*'Activity data'!AL6*Constants!$H46*EF!$H207*MMVolatEF*NtoN2O*kgtoGg</f>
        <v>3.1464782241161268E-2</v>
      </c>
      <c r="AM158" s="23">
        <f>Constants!$H28*'Activity data'!AM6*Constants!$H46*EF!$H207*MMVolatEF*NtoN2O*kgtoGg</f>
        <v>3.1603250306289826E-2</v>
      </c>
      <c r="AN158" s="23">
        <f>Constants!$H28*'Activity data'!AN6*Constants!$H46*EF!$H207*MMVolatEF*NtoN2O*kgtoGg</f>
        <v>3.1739953020526526E-2</v>
      </c>
      <c r="AO158" s="23">
        <f>Constants!$H28*'Activity data'!AO6*Constants!$H46*EF!$H207*MMVolatEF*NtoN2O*kgtoGg</f>
        <v>3.1877052007344704E-2</v>
      </c>
      <c r="AP158" s="23">
        <f>Constants!$H28*'Activity data'!AP6*Constants!$H46*EF!$H207*MMVolatEF*NtoN2O*kgtoGg</f>
        <v>3.2012631274645847E-2</v>
      </c>
      <c r="AQ158" s="23">
        <f>Constants!$H28*'Activity data'!AQ6*Constants!$H46*EF!$H207*MMVolatEF*NtoN2O*kgtoGg</f>
        <v>3.2149973261815588E-2</v>
      </c>
      <c r="AR158" s="23">
        <f>Constants!$H28*'Activity data'!AR6*Constants!$H46*EF!$H207*MMVolatEF*NtoN2O*kgtoGg</f>
        <v>3.2303241525843941E-2</v>
      </c>
      <c r="AS158" s="23">
        <f>Constants!$H28*'Activity data'!AS6*Constants!$H46*EF!$H207*MMVolatEF*NtoN2O*kgtoGg</f>
        <v>3.2456042412200438E-2</v>
      </c>
      <c r="AT158" s="23">
        <f>Constants!$H28*'Activity data'!AT6*Constants!$H46*EF!$H207*MMVolatEF*NtoN2O*kgtoGg</f>
        <v>3.2611229299350571E-2</v>
      </c>
      <c r="AU158" s="23">
        <f>Constants!$H28*'Activity data'!AU6*Constants!$H46*EF!$H207*MMVolatEF*NtoN2O*kgtoGg</f>
        <v>3.2768187877092299E-2</v>
      </c>
      <c r="AV158" s="23">
        <f>Constants!$H28*'Activity data'!AV6*Constants!$H46*EF!$H207*MMVolatEF*NtoN2O*kgtoGg</f>
        <v>3.29270798521634E-2</v>
      </c>
      <c r="AW158" s="23">
        <f>Constants!$H28*'Activity data'!AW6*Constants!$H46*EF!$H207*MMVolatEF*NtoN2O*kgtoGg</f>
        <v>3.3093856467955714E-2</v>
      </c>
      <c r="AX158" s="23">
        <f>Constants!$H28*'Activity data'!AX6*Constants!$H46*EF!$H207*MMVolatEF*NtoN2O*kgtoGg</f>
        <v>3.3257454536050418E-2</v>
      </c>
      <c r="AY158" s="23">
        <f>Constants!$H28*'Activity data'!AY6*Constants!$H46*EF!$H207*MMVolatEF*NtoN2O*kgtoGg</f>
        <v>3.3428221806981503E-2</v>
      </c>
      <c r="AZ158" s="23">
        <f>Constants!$H28*'Activity data'!AZ6*Constants!$H46*EF!$H207*MMVolatEF*NtoN2O*kgtoGg</f>
        <v>3.3604000973111281E-2</v>
      </c>
      <c r="BA158" s="23">
        <f>Constants!$H28*'Activity data'!BA6*Constants!$H46*EF!$H207*MMVolatEF*NtoN2O*kgtoGg</f>
        <v>3.3785063301425874E-2</v>
      </c>
      <c r="BB158" s="23">
        <f>Constants!$H28*'Activity data'!BB6*Constants!$H46*EF!$H207*MMVolatEF*NtoN2O*kgtoGg</f>
        <v>3.3972434477741516E-2</v>
      </c>
      <c r="BC158" s="23">
        <f>Constants!$H28*'Activity data'!BC6*Constants!$H46*EF!$H207*MMVolatEF*NtoN2O*kgtoGg</f>
        <v>3.4163439569425608E-2</v>
      </c>
      <c r="BD158" s="23">
        <f>Constants!$H28*'Activity data'!BD6*Constants!$H46*EF!$H207*MMVolatEF*NtoN2O*kgtoGg</f>
        <v>3.4355794644153871E-2</v>
      </c>
      <c r="BE158" s="23">
        <f>Constants!$H28*'Activity data'!BE6*Constants!$H46*EF!$H207*MMVolatEF*NtoN2O*kgtoGg</f>
        <v>3.4551817906756183E-2</v>
      </c>
      <c r="BF158" s="23">
        <f>Constants!$H28*'Activity data'!BF6*Constants!$H46*EF!$H207*MMVolatEF*NtoN2O*kgtoGg</f>
        <v>3.4753562025875755E-2</v>
      </c>
      <c r="BG158" s="23">
        <f>Constants!$H28*'Activity data'!BG6*Constants!$H46*EF!$H207*MMVolatEF*NtoN2O*kgtoGg</f>
        <v>3.4973919252368264E-2</v>
      </c>
      <c r="BH158" s="23">
        <f>Constants!$H28*'Activity data'!BH6*Constants!$H46*EF!$H207*MMVolatEF*NtoN2O*kgtoGg</f>
        <v>3.5198668194651658E-2</v>
      </c>
      <c r="BI158" s="23">
        <f>Constants!$H28*'Activity data'!BI6*Constants!$H46*EF!$H207*MMVolatEF*NtoN2O*kgtoGg</f>
        <v>3.5427558504224549E-2</v>
      </c>
      <c r="BJ158" s="23">
        <f>Constants!$H28*'Activity data'!BJ6*Constants!$H46*EF!$H207*MMVolatEF*NtoN2O*kgtoGg</f>
        <v>3.5661208132503369E-2</v>
      </c>
      <c r="BK158" s="23">
        <f>Constants!$H28*'Activity data'!BK6*Constants!$H46*EF!$H207*MMVolatEF*NtoN2O*kgtoGg</f>
        <v>3.5902067101847929E-2</v>
      </c>
      <c r="BL158" s="23">
        <f>Constants!$H28*'Activity data'!BL6*Constants!$H46*EF!$H207*MMVolatEF*NtoN2O*kgtoGg</f>
        <v>3.614490590249058E-2</v>
      </c>
      <c r="BM158" s="23">
        <f>Constants!$H28*'Activity data'!BM6*Constants!$H46*EF!$H207*MMVolatEF*NtoN2O*kgtoGg</f>
        <v>3.6393960799184145E-2</v>
      </c>
      <c r="BN158" s="23">
        <f>Constants!$H28*'Activity data'!BN6*Constants!$H46*EF!$H207*MMVolatEF*NtoN2O*kgtoGg</f>
        <v>3.6644574477711939E-2</v>
      </c>
      <c r="BO158" s="23">
        <f>Constants!$H28*'Activity data'!BO6*Constants!$H46*EF!$H207*MMVolatEF*NtoN2O*kgtoGg</f>
        <v>3.6901967626839748E-2</v>
      </c>
      <c r="BP158" s="23">
        <f>Constants!$H28*'Activity data'!BP6*Constants!$H46*EF!$H207*MMVolatEF*NtoN2O*kgtoGg</f>
        <v>3.7166705985773388E-2</v>
      </c>
    </row>
    <row r="159" spans="1:68" x14ac:dyDescent="0.25">
      <c r="A159" t="str">
        <f t="shared" si="58"/>
        <v>3C Aggregated and non-CO2 emissions on land</v>
      </c>
      <c r="B159" t="str">
        <f t="shared" ref="B159:B172" si="62">B158</f>
        <v>3C6 Indirect N2O from manure management (N2O)</v>
      </c>
      <c r="C159" t="str">
        <f t="shared" ref="C159:C172" si="63">C158</f>
        <v>Volatilisation</v>
      </c>
      <c r="D159" t="str">
        <f>'Activity data'!D68</f>
        <v xml:space="preserve"> - Non-lactating</v>
      </c>
      <c r="E159" t="str">
        <f t="shared" si="61"/>
        <v>Volatilisation - Non-lactating</v>
      </c>
      <c r="F159" t="str">
        <f t="shared" si="47"/>
        <v>N2O</v>
      </c>
      <c r="G159" t="str">
        <f t="shared" si="48"/>
        <v>Gg N2O</v>
      </c>
      <c r="H159" s="23">
        <f>Constants!$H29*'Activity data'!H7*Constants!$H47*EF!$H208*MMVolatEF*NtoN2O*kgtoGg</f>
        <v>2.7959029796178987E-4</v>
      </c>
      <c r="I159" s="23">
        <f>Constants!$H29*'Activity data'!I7*Constants!$H47*EF!$H208*MMVolatEF*NtoN2O*kgtoGg</f>
        <v>3.1779900416957193E-4</v>
      </c>
      <c r="J159" s="23">
        <f>Constants!$H29*'Activity data'!J7*Constants!$H47*EF!$H208*MMVolatEF*NtoN2O*kgtoGg</f>
        <v>2.7489696617153677E-4</v>
      </c>
      <c r="K159" s="23">
        <f>Constants!$H29*'Activity data'!K7*Constants!$H47*EF!$H208*MMVolatEF*NtoN2O*kgtoGg</f>
        <v>2.8768837256461081E-4</v>
      </c>
      <c r="L159" s="23">
        <f>Constants!$H29*'Activity data'!L7*Constants!$H47*EF!$H208*MMVolatEF*NtoN2O*kgtoGg</f>
        <v>2.5612363901052502E-4</v>
      </c>
      <c r="M159" s="23">
        <f>Constants!$H29*'Activity data'!M7*Constants!$H47*EF!$H208*MMVolatEF*NtoN2O*kgtoGg</f>
        <v>2.7830170898410472E-4</v>
      </c>
      <c r="N159" s="23">
        <f>Constants!$H29*'Activity data'!N7*Constants!$H47*EF!$H208*MMVolatEF*NtoN2O*kgtoGg</f>
        <v>2.8299504077435766E-4</v>
      </c>
      <c r="O159" s="23">
        <f>Constants!$H29*'Activity data'!O7*Constants!$H47*EF!$H208*MMVolatEF*NtoN2O*kgtoGg</f>
        <v>2.7344286422241221E-4</v>
      </c>
      <c r="P159" s="23">
        <f>Constants!$H29*'Activity data'!P7*Constants!$H47*EF!$H208*MMVolatEF*NtoN2O*kgtoGg</f>
        <v>2.5936286885165324E-4</v>
      </c>
      <c r="Q159" s="23">
        <f>Constants!$H29*'Activity data'!Q7*Constants!$H47*EF!$H208*MMVolatEF*NtoN2O*kgtoGg</f>
        <v>2.7327735125097269E-4</v>
      </c>
      <c r="R159" s="23">
        <f>Constants!$H29*'Activity data'!R7*Constants!$H47*EF!$H208*MMVolatEF*NtoN2O*kgtoGg</f>
        <v>3.3868848516546658E-4</v>
      </c>
      <c r="S159" s="23">
        <f>Constants!$H29*'Activity data'!S7*Constants!$H47*EF!$H208*MMVolatEF*NtoN2O*kgtoGg</f>
        <v>3.3399515337521364E-4</v>
      </c>
      <c r="T159" s="23">
        <f>Constants!$H29*'Activity data'!T7*Constants!$H47*EF!$H208*MMVolatEF*NtoN2O*kgtoGg</f>
        <v>3.0662721269706218E-4</v>
      </c>
      <c r="U159" s="23">
        <f>Constants!$H29*'Activity data'!U7*Constants!$H47*EF!$H208*MMVolatEF*NtoN2O*kgtoGg</f>
        <v>2.5936286885165324E-4</v>
      </c>
      <c r="V159" s="23">
        <f>Constants!$H29*'Activity data'!V7*Constants!$H47*EF!$H208*MMVolatEF*NtoN2O*kgtoGg</f>
        <v>2.4204364363976597E-4</v>
      </c>
      <c r="W159" s="23">
        <f>Constants!$H29*'Activity data'!W7*Constants!$H47*EF!$H208*MMVolatEF*NtoN2O*kgtoGg</f>
        <v>2.6422171361334585E-4</v>
      </c>
      <c r="X159" s="23">
        <f>Constants!$H29*'Activity data'!X7*Constants!$H47*EF!$H208*MMVolatEF*NtoN2O*kgtoGg</f>
        <v>2.6098248377221742E-4</v>
      </c>
      <c r="Y159" s="23">
        <f>Constants!$H29*'Activity data'!Y7*Constants!$H47*EF!$H208*MMVolatEF*NtoN2O*kgtoGg</f>
        <v>2.6405620064190628E-4</v>
      </c>
      <c r="Z159" s="23">
        <f>Constants!$H29*'Activity data'!Z7*Constants!$H47*EF!$H208*MMVolatEF*NtoN2O*kgtoGg</f>
        <v>3.0890887950338466E-4</v>
      </c>
      <c r="AA159" s="23">
        <f>Constants!$H29*'Activity data'!AA7*Constants!$H47*EF!$H208*MMVolatEF*NtoN2O*kgtoGg</f>
        <v>3.2153477292501886E-4</v>
      </c>
      <c r="AB159" s="23">
        <f>Constants!$H29*'Activity data'!AB7*Constants!$H47*EF!$H208*MMVolatEF*NtoN2O*kgtoGg</f>
        <v>3.2153477292501886E-4</v>
      </c>
      <c r="AC159" s="23">
        <f>Constants!$H29*'Activity data'!AC7*Constants!$H47*EF!$H208*MMVolatEF*NtoN2O*kgtoGg</f>
        <v>3.0259593279256748E-4</v>
      </c>
      <c r="AD159" s="23">
        <f>Constants!$H29*'Activity data'!AD7*Constants!$H47*EF!$H208*MMVolatEF*NtoN2O*kgtoGg</f>
        <v>2.9611747311031068E-4</v>
      </c>
      <c r="AE159" s="23">
        <f>Constants!$H29*'Activity data'!AE7*Constants!$H47*EF!$H208*MMVolatEF*NtoN2O*kgtoGg</f>
        <v>3.3399515337521364E-4</v>
      </c>
      <c r="AF159" s="23">
        <f>Constants!$H29*'Activity data'!AF7*Constants!$H47*EF!$H208*MMVolatEF*NtoN2O*kgtoGg</f>
        <v>2.9935670295143905E-4</v>
      </c>
      <c r="AG159" s="23">
        <f>Constants!$H29*'Activity data'!AG7*Constants!$H47*EF!$H208*MMVolatEF*NtoN2O*kgtoGg</f>
        <v>2.9320926921206139E-4</v>
      </c>
      <c r="AH159" s="23">
        <f>Constants!$H29*'Activity data'!AH7*Constants!$H47*EF!$H208*MMVolatEF*NtoN2O*kgtoGg</f>
        <v>2.9968772889431815E-4</v>
      </c>
      <c r="AI159" s="23">
        <f>Constants!$H29*'Activity data'!AI7*Constants!$H47*EF!$H208*MMVolatEF*NtoN2O*kgtoGg</f>
        <v>3.2979836049927926E-4</v>
      </c>
      <c r="AJ159" s="23">
        <f>Constants!$H29*'Activity data'!AJ7*Constants!$H47*EF!$H208*MMVolatEF*NtoN2O*kgtoGg</f>
        <v>3.1429784771947573E-4</v>
      </c>
      <c r="AK159" s="23">
        <f>Constants!$H29*'Activity data'!AK7*Constants!$H47*EF!$H208*MMVolatEF*NtoN2O*kgtoGg</f>
        <v>3.152004115386253E-4</v>
      </c>
      <c r="AL159" s="23">
        <f>Constants!$H29*'Activity data'!AL7*Constants!$H47*EF!$H208*MMVolatEF*NtoN2O*kgtoGg</f>
        <v>3.1469481114493759E-4</v>
      </c>
      <c r="AM159" s="23">
        <f>Constants!$H29*'Activity data'!AM7*Constants!$H47*EF!$H208*MMVolatEF*NtoN2O*kgtoGg</f>
        <v>3.1581757976852613E-4</v>
      </c>
      <c r="AN159" s="23">
        <f>Constants!$H29*'Activity data'!AN7*Constants!$H47*EF!$H208*MMVolatEF*NtoN2O*kgtoGg</f>
        <v>3.1692603404036019E-4</v>
      </c>
      <c r="AO159" s="23">
        <f>Constants!$H29*'Activity data'!AO7*Constants!$H47*EF!$H208*MMVolatEF*NtoN2O*kgtoGg</f>
        <v>3.1803770148932986E-4</v>
      </c>
      <c r="AP159" s="23">
        <f>Constants!$H29*'Activity data'!AP7*Constants!$H47*EF!$H208*MMVolatEF*NtoN2O*kgtoGg</f>
        <v>3.1913704628911121E-4</v>
      </c>
      <c r="AQ159" s="23">
        <f>Constants!$H29*'Activity data'!AQ7*Constants!$H47*EF!$H208*MMVolatEF*NtoN2O*kgtoGg</f>
        <v>3.2025068410698851E-4</v>
      </c>
      <c r="AR159" s="23">
        <f>Constants!$H29*'Activity data'!AR7*Constants!$H47*EF!$H208*MMVolatEF*NtoN2O*kgtoGg</f>
        <v>3.2149346017729146E-4</v>
      </c>
      <c r="AS159" s="23">
        <f>Constants!$H29*'Activity data'!AS7*Constants!$H47*EF!$H208*MMVolatEF*NtoN2O*kgtoGg</f>
        <v>3.2273244651467034E-4</v>
      </c>
      <c r="AT159" s="23">
        <f>Constants!$H29*'Activity data'!AT7*Constants!$H47*EF!$H208*MMVolatEF*NtoN2O*kgtoGg</f>
        <v>3.2399077974495558E-4</v>
      </c>
      <c r="AU159" s="23">
        <f>Constants!$H29*'Activity data'!AU7*Constants!$H47*EF!$H208*MMVolatEF*NtoN2O*kgtoGg</f>
        <v>3.2526347873246481E-4</v>
      </c>
      <c r="AV159" s="23">
        <f>Constants!$H29*'Activity data'!AV7*Constants!$H47*EF!$H208*MMVolatEF*NtoN2O*kgtoGg</f>
        <v>3.2655185467665249E-4</v>
      </c>
      <c r="AW159" s="23">
        <f>Constants!$H29*'Activity data'!AW7*Constants!$H47*EF!$H208*MMVolatEF*NtoN2O*kgtoGg</f>
        <v>3.2790416324820674E-4</v>
      </c>
      <c r="AX159" s="23">
        <f>Constants!$H29*'Activity data'!AX7*Constants!$H47*EF!$H208*MMVolatEF*NtoN2O*kgtoGg</f>
        <v>3.2923069855846695E-4</v>
      </c>
      <c r="AY159" s="23">
        <f>Constants!$H29*'Activity data'!AY7*Constants!$H47*EF!$H208*MMVolatEF*NtoN2O*kgtoGg</f>
        <v>3.3061536536636404E-4</v>
      </c>
      <c r="AZ159" s="23">
        <f>Constants!$H29*'Activity data'!AZ7*Constants!$H47*EF!$H208*MMVolatEF*NtoN2O*kgtoGg</f>
        <v>3.320406711379715E-4</v>
      </c>
      <c r="BA159" s="23">
        <f>Constants!$H29*'Activity data'!BA7*Constants!$H47*EF!$H208*MMVolatEF*NtoN2O*kgtoGg</f>
        <v>3.3350881544226861E-4</v>
      </c>
      <c r="BB159" s="23">
        <f>Constants!$H29*'Activity data'!BB7*Constants!$H47*EF!$H208*MMVolatEF*NtoN2O*kgtoGg</f>
        <v>3.3502811505504759E-4</v>
      </c>
      <c r="BC159" s="23">
        <f>Constants!$H29*'Activity data'!BC7*Constants!$H47*EF!$H208*MMVolatEF*NtoN2O*kgtoGg</f>
        <v>3.3657688027892386E-4</v>
      </c>
      <c r="BD159" s="23">
        <f>Constants!$H29*'Activity data'!BD7*Constants!$H47*EF!$H208*MMVolatEF*NtoN2O*kgtoGg</f>
        <v>3.3813659184340925E-4</v>
      </c>
      <c r="BE159" s="23">
        <f>Constants!$H29*'Activity data'!BE7*Constants!$H47*EF!$H208*MMVolatEF*NtoN2O*kgtoGg</f>
        <v>3.3972604691768192E-4</v>
      </c>
      <c r="BF159" s="23">
        <f>Constants!$H29*'Activity data'!BF7*Constants!$H47*EF!$H208*MMVolatEF*NtoN2O*kgtoGg</f>
        <v>3.4136188957014242E-4</v>
      </c>
      <c r="BG159" s="23">
        <f>Constants!$H29*'Activity data'!BG7*Constants!$H47*EF!$H208*MMVolatEF*NtoN2O*kgtoGg</f>
        <v>3.4314865664641426E-4</v>
      </c>
      <c r="BH159" s="23">
        <f>Constants!$H29*'Activity data'!BH7*Constants!$H47*EF!$H208*MMVolatEF*NtoN2O*kgtoGg</f>
        <v>3.4497103396024636E-4</v>
      </c>
      <c r="BI159" s="23">
        <f>Constants!$H29*'Activity data'!BI7*Constants!$H47*EF!$H208*MMVolatEF*NtoN2O*kgtoGg</f>
        <v>3.4682699156024104E-4</v>
      </c>
      <c r="BJ159" s="23">
        <f>Constants!$H29*'Activity data'!BJ7*Constants!$H47*EF!$H208*MMVolatEF*NtoN2O*kgtoGg</f>
        <v>3.4872154010687532E-4</v>
      </c>
      <c r="BK159" s="23">
        <f>Constants!$H29*'Activity data'!BK7*Constants!$H47*EF!$H208*MMVolatEF*NtoN2O*kgtoGg</f>
        <v>3.5067454561207146E-4</v>
      </c>
      <c r="BL159" s="23">
        <f>Constants!$H29*'Activity data'!BL7*Constants!$H47*EF!$H208*MMVolatEF*NtoN2O*kgtoGg</f>
        <v>3.5264360458388781E-4</v>
      </c>
      <c r="BM159" s="23">
        <f>Constants!$H29*'Activity data'!BM7*Constants!$H47*EF!$H208*MMVolatEF*NtoN2O*kgtoGg</f>
        <v>3.5466306678478578E-4</v>
      </c>
      <c r="BN159" s="23">
        <f>Constants!$H29*'Activity data'!BN7*Constants!$H47*EF!$H208*MMVolatEF*NtoN2O*kgtoGg</f>
        <v>3.5669516837176084E-4</v>
      </c>
      <c r="BO159" s="23">
        <f>Constants!$H29*'Activity data'!BO7*Constants!$H47*EF!$H208*MMVolatEF*NtoN2O*kgtoGg</f>
        <v>3.5878224131164084E-4</v>
      </c>
      <c r="BP159" s="23">
        <f>Constants!$H29*'Activity data'!BP7*Constants!$H47*EF!$H208*MMVolatEF*NtoN2O*kgtoGg</f>
        <v>3.6092887290207327E-4</v>
      </c>
    </row>
    <row r="160" spans="1:68" x14ac:dyDescent="0.25">
      <c r="A160" t="str">
        <f t="shared" si="58"/>
        <v>3C Aggregated and non-CO2 emissions on land</v>
      </c>
      <c r="B160" t="str">
        <f t="shared" si="62"/>
        <v>3C6 Indirect N2O from manure management (N2O)</v>
      </c>
      <c r="C160" t="str">
        <f t="shared" si="63"/>
        <v>Volatilisation</v>
      </c>
      <c r="D160" t="str">
        <f>'Activity data'!D69</f>
        <v xml:space="preserve"> - Commercial cattle</v>
      </c>
      <c r="E160" t="str">
        <f t="shared" si="61"/>
        <v>Volatilisation - Commercial cattle</v>
      </c>
      <c r="F160" t="str">
        <f t="shared" si="47"/>
        <v>N2O</v>
      </c>
      <c r="G160" t="str">
        <f t="shared" si="48"/>
        <v>Gg N2O</v>
      </c>
      <c r="H160" s="23">
        <f>Constants!$H30*'Activity data'!H8*Constants!$H48*EF!$H209*MMVolatEF*NtoN2O*kgtoGg</f>
        <v>3.7003362848044533E-3</v>
      </c>
      <c r="I160" s="23">
        <f>Constants!$H30*'Activity data'!I8*Constants!$H48*EF!$H209*MMVolatEF*NtoN2O*kgtoGg</f>
        <v>3.5406221910635866E-3</v>
      </c>
      <c r="J160" s="23">
        <f>Constants!$H30*'Activity data'!J8*Constants!$H48*EF!$H209*MMVolatEF*NtoN2O*kgtoGg</f>
        <v>3.5393357500556814E-3</v>
      </c>
      <c r="K160" s="23">
        <f>Constants!$H30*'Activity data'!K8*Constants!$H48*EF!$H209*MMVolatEF*NtoN2O*kgtoGg</f>
        <v>3.3111743098604807E-3</v>
      </c>
      <c r="L160" s="23">
        <f>Constants!$H30*'Activity data'!L8*Constants!$H48*EF!$H209*MMVolatEF*NtoN2O*kgtoGg</f>
        <v>3.4109956184485233E-3</v>
      </c>
      <c r="M160" s="23">
        <f>Constants!$H30*'Activity data'!M8*Constants!$H48*EF!$H209*MMVolatEF*NtoN2O*kgtoGg</f>
        <v>3.4885511843596667E-3</v>
      </c>
      <c r="N160" s="23">
        <f>Constants!$H30*'Activity data'!N8*Constants!$H48*EF!$H209*MMVolatEF*NtoN2O*kgtoGg</f>
        <v>3.6332676557172408E-3</v>
      </c>
      <c r="O160" s="23">
        <f>Constants!$H30*'Activity data'!O8*Constants!$H48*EF!$H209*MMVolatEF*NtoN2O*kgtoGg</f>
        <v>3.7709005594996426E-3</v>
      </c>
      <c r="P160" s="23">
        <f>Constants!$H30*'Activity data'!P8*Constants!$H48*EF!$H209*MMVolatEF*NtoN2O*kgtoGg</f>
        <v>3.8035609626412554E-3</v>
      </c>
      <c r="Q160" s="23">
        <f>Constants!$H30*'Activity data'!Q8*Constants!$H48*EF!$H209*MMVolatEF*NtoN2O*kgtoGg</f>
        <v>3.742012631043659E-3</v>
      </c>
      <c r="R160" s="23">
        <f>Constants!$H30*'Activity data'!R8*Constants!$H48*EF!$H209*MMVolatEF*NtoN2O*kgtoGg</f>
        <v>3.4878129734859328E-3</v>
      </c>
      <c r="S160" s="23">
        <f>Constants!$H30*'Activity data'!S8*Constants!$H48*EF!$H209*MMVolatEF*NtoN2O*kgtoGg</f>
        <v>3.5059371360403354E-3</v>
      </c>
      <c r="T160" s="23">
        <f>Constants!$H30*'Activity data'!T8*Constants!$H48*EF!$H209*MMVolatEF*NtoN2O*kgtoGg</f>
        <v>3.267565588098854E-3</v>
      </c>
      <c r="U160" s="23">
        <f>Constants!$H30*'Activity data'!U8*Constants!$H48*EF!$H209*MMVolatEF*NtoN2O*kgtoGg</f>
        <v>3.3530352088181202E-3</v>
      </c>
      <c r="V160" s="23">
        <f>Constants!$H30*'Activity data'!V8*Constants!$H48*EF!$H209*MMVolatEF*NtoN2O*kgtoGg</f>
        <v>3.3839477891557434E-3</v>
      </c>
      <c r="W160" s="23">
        <f>Constants!$H30*'Activity data'!W8*Constants!$H48*EF!$H209*MMVolatEF*NtoN2O*kgtoGg</f>
        <v>3.4126511648932944E-3</v>
      </c>
      <c r="X160" s="23">
        <f>Constants!$H30*'Activity data'!X8*Constants!$H48*EF!$H209*MMVolatEF*NtoN2O*kgtoGg</f>
        <v>3.3349110462637175E-3</v>
      </c>
      <c r="Y160" s="23">
        <f>Constants!$H30*'Activity data'!Y8*Constants!$H48*EF!$H209*MMVolatEF*NtoN2O*kgtoGg</f>
        <v>3.4326154266109024E-3</v>
      </c>
      <c r="Z160" s="23">
        <f>Constants!$H30*'Activity data'!Z8*Constants!$H48*EF!$H209*MMVolatEF*NtoN2O*kgtoGg</f>
        <v>3.3372300325911516E-3</v>
      </c>
      <c r="AA160" s="23">
        <f>Constants!$H30*'Activity data'!AA8*Constants!$H48*EF!$H209*MMVolatEF*NtoN2O*kgtoGg</f>
        <v>3.281195665791852E-3</v>
      </c>
      <c r="AB160" s="23">
        <f>Constants!$H30*'Activity data'!AB8*Constants!$H48*EF!$H209*MMVolatEF*NtoN2O*kgtoGg</f>
        <v>3.2708808424712636E-3</v>
      </c>
      <c r="AC160" s="23">
        <f>Constants!$H30*'Activity data'!AC8*Constants!$H48*EF!$H209*MMVolatEF*NtoN2O*kgtoGg</f>
        <v>3.2591357808163246E-3</v>
      </c>
      <c r="AD160" s="23">
        <f>Constants!$H30*'Activity data'!AD8*Constants!$H48*EF!$H209*MMVolatEF*NtoN2O*kgtoGg</f>
        <v>3.8568078596560576E-3</v>
      </c>
      <c r="AE160" s="23">
        <f>Constants!$H30*'Activity data'!AE8*Constants!$H48*EF!$H209*MMVolatEF*NtoN2O*kgtoGg</f>
        <v>3.200530069940536E-3</v>
      </c>
      <c r="AF160" s="23">
        <f>Constants!$H30*'Activity data'!AF8*Constants!$H48*EF!$H209*MMVolatEF*NtoN2O*kgtoGg</f>
        <v>3.2740927835081587E-3</v>
      </c>
      <c r="AG160" s="23">
        <f>Constants!$H30*'Activity data'!AG8*Constants!$H48*EF!$H209*MMVolatEF*NtoN2O*kgtoGg</f>
        <v>3.1989825411162594E-3</v>
      </c>
      <c r="AH160" s="23">
        <f>Constants!$H30*'Activity data'!AH8*Constants!$H48*EF!$H209*MMVolatEF*NtoN2O*kgtoGg</f>
        <v>3.0457516758135416E-3</v>
      </c>
      <c r="AI160" s="23">
        <f>Constants!$H30*'Activity data'!AI8*Constants!$H48*EF!$H209*MMVolatEF*NtoN2O*kgtoGg</f>
        <v>2.8336577209664357E-3</v>
      </c>
      <c r="AJ160" s="23">
        <f>Constants!$H30*'Activity data'!AJ8*Constants!$H48*EF!$H209*MMVolatEF*NtoN2O*kgtoGg</f>
        <v>3.17498264469101E-3</v>
      </c>
      <c r="AK160" s="23">
        <f>Constants!$H30*'Activity data'!AK8*Constants!$H48*EF!$H209*MMVolatEF*NtoN2O*kgtoGg</f>
        <v>3.1653409755625795E-3</v>
      </c>
      <c r="AL160" s="23">
        <f>Constants!$H30*'Activity data'!AL8*Constants!$H48*EF!$H209*MMVolatEF*NtoN2O*kgtoGg</f>
        <v>3.1697029029385303E-3</v>
      </c>
      <c r="AM160" s="23">
        <f>Constants!$H30*'Activity data'!AM8*Constants!$H48*EF!$H209*MMVolatEF*NtoN2O*kgtoGg</f>
        <v>3.1578623267217E-3</v>
      </c>
      <c r="AN160" s="23">
        <f>Constants!$H30*'Activity data'!AN8*Constants!$H48*EF!$H209*MMVolatEF*NtoN2O*kgtoGg</f>
        <v>3.1461641006810151E-3</v>
      </c>
      <c r="AO160" s="23">
        <f>Constants!$H30*'Activity data'!AO8*Constants!$H48*EF!$H209*MMVolatEF*NtoN2O*kgtoGg</f>
        <v>3.134433920955033E-3</v>
      </c>
      <c r="AP160" s="23">
        <f>Constants!$H30*'Activity data'!AP8*Constants!$H48*EF!$H209*MMVolatEF*NtoN2O*kgtoGg</f>
        <v>3.1228262847545346E-3</v>
      </c>
      <c r="AQ160" s="23">
        <f>Constants!$H30*'Activity data'!AQ8*Constants!$H48*EF!$H209*MMVolatEF*NtoN2O*kgtoGg</f>
        <v>3.1110765105320831E-3</v>
      </c>
      <c r="AR160" s="23">
        <f>Constants!$H30*'Activity data'!AR8*Constants!$H48*EF!$H209*MMVolatEF*NtoN2O*kgtoGg</f>
        <v>3.0979862111880883E-3</v>
      </c>
      <c r="AS160" s="23">
        <f>Constants!$H30*'Activity data'!AS8*Constants!$H48*EF!$H209*MMVolatEF*NtoN2O*kgtoGg</f>
        <v>3.0849335991324392E-3</v>
      </c>
      <c r="AT160" s="23">
        <f>Constants!$H30*'Activity data'!AT8*Constants!$H48*EF!$H209*MMVolatEF*NtoN2O*kgtoGg</f>
        <v>3.0716885904234713E-3</v>
      </c>
      <c r="AU160" s="23">
        <f>Constants!$H30*'Activity data'!AU8*Constants!$H48*EF!$H209*MMVolatEF*NtoN2O*kgtoGg</f>
        <v>3.0583007203452022E-3</v>
      </c>
      <c r="AV160" s="23">
        <f>Constants!$H30*'Activity data'!AV8*Constants!$H48*EF!$H209*MMVolatEF*NtoN2O*kgtoGg</f>
        <v>3.0447569495745726E-3</v>
      </c>
      <c r="AW160" s="23">
        <f>Constants!$H30*'Activity data'!AW8*Constants!$H48*EF!$H209*MMVolatEF*NtoN2O*kgtoGg</f>
        <v>3.0306022276463639E-3</v>
      </c>
      <c r="AX160" s="23">
        <f>Constants!$H30*'Activity data'!AX8*Constants!$H48*EF!$H209*MMVolatEF*NtoN2O*kgtoGg</f>
        <v>3.0167038098949141E-3</v>
      </c>
      <c r="AY160" s="23">
        <f>Constants!$H30*'Activity data'!AY8*Constants!$H48*EF!$H209*MMVolatEF*NtoN2O*kgtoGg</f>
        <v>3.0022272990153833E-3</v>
      </c>
      <c r="AZ160" s="23">
        <f>Constants!$H30*'Activity data'!AZ8*Constants!$H48*EF!$H209*MMVolatEF*NtoN2O*kgtoGg</f>
        <v>2.9873466508715885E-3</v>
      </c>
      <c r="BA160" s="23">
        <f>Constants!$H30*'Activity data'!BA8*Constants!$H48*EF!$H209*MMVolatEF*NtoN2O*kgtoGg</f>
        <v>2.972039991669458E-3</v>
      </c>
      <c r="BB160" s="23">
        <f>Constants!$H30*'Activity data'!BB8*Constants!$H48*EF!$H209*MMVolatEF*NtoN2O*kgtoGg</f>
        <v>2.9561968353799708E-3</v>
      </c>
      <c r="BC160" s="23">
        <f>Constants!$H30*'Activity data'!BC8*Constants!$H48*EF!$H209*MMVolatEF*NtoN2O*kgtoGg</f>
        <v>2.9400606560717204E-3</v>
      </c>
      <c r="BD160" s="23">
        <f>Constants!$H30*'Activity data'!BD8*Constants!$H48*EF!$H209*MMVolatEF*NtoN2O*kgtoGg</f>
        <v>2.9238156200561728E-3</v>
      </c>
      <c r="BE160" s="23">
        <f>Constants!$H30*'Activity data'!BE8*Constants!$H48*EF!$H209*MMVolatEF*NtoN2O*kgtoGg</f>
        <v>2.9072747974246624E-3</v>
      </c>
      <c r="BF160" s="23">
        <f>Constants!$H30*'Activity data'!BF8*Constants!$H48*EF!$H209*MMVolatEF*NtoN2O*kgtoGg</f>
        <v>2.8902726699809493E-3</v>
      </c>
      <c r="BG160" s="23">
        <f>Constants!$H30*'Activity data'!BG8*Constants!$H48*EF!$H209*MMVolatEF*NtoN2O*kgtoGg</f>
        <v>2.8716657295717548E-3</v>
      </c>
      <c r="BH160" s="23">
        <f>Constants!$H30*'Activity data'!BH8*Constants!$H48*EF!$H209*MMVolatEF*NtoN2O*kgtoGg</f>
        <v>2.8527046604493607E-3</v>
      </c>
      <c r="BI160" s="23">
        <f>Constants!$H30*'Activity data'!BI8*Constants!$H48*EF!$H209*MMVolatEF*NtoN2O*kgtoGg</f>
        <v>2.8334096495954649E-3</v>
      </c>
      <c r="BJ160" s="23">
        <f>Constants!$H30*'Activity data'!BJ8*Constants!$H48*EF!$H209*MMVolatEF*NtoN2O*kgtoGg</f>
        <v>2.8137308681269371E-3</v>
      </c>
      <c r="BK160" s="23">
        <f>Constants!$H30*'Activity data'!BK8*Constants!$H48*EF!$H209*MMVolatEF*NtoN2O*kgtoGg</f>
        <v>2.7934707569717784E-3</v>
      </c>
      <c r="BL160" s="23">
        <f>Constants!$H30*'Activity data'!BL8*Constants!$H48*EF!$H209*MMVolatEF*NtoN2O*kgtoGg</f>
        <v>2.7730805879401118E-3</v>
      </c>
      <c r="BM160" s="23">
        <f>Constants!$H30*'Activity data'!BM8*Constants!$H48*EF!$H209*MMVolatEF*NtoN2O*kgtoGg</f>
        <v>2.7521891801493958E-3</v>
      </c>
      <c r="BN160" s="23">
        <f>Constants!$H30*'Activity data'!BN8*Constants!$H48*EF!$H209*MMVolatEF*NtoN2O*kgtoGg</f>
        <v>2.73117207900657E-3</v>
      </c>
      <c r="BO160" s="23">
        <f>Constants!$H30*'Activity data'!BO8*Constants!$H48*EF!$H209*MMVolatEF*NtoN2O*kgtoGg</f>
        <v>2.7096083110610975E-3</v>
      </c>
      <c r="BP160" s="23">
        <f>Constants!$H30*'Activity data'!BP8*Constants!$H48*EF!$H209*MMVolatEF*NtoN2O*kgtoGg</f>
        <v>2.6874522575688988E-3</v>
      </c>
    </row>
    <row r="161" spans="1:68" x14ac:dyDescent="0.25">
      <c r="A161" t="str">
        <f t="shared" si="58"/>
        <v>3C Aggregated and non-CO2 emissions on land</v>
      </c>
      <c r="B161" t="str">
        <f t="shared" si="62"/>
        <v>3C6 Indirect N2O from manure management (N2O)</v>
      </c>
      <c r="C161" t="str">
        <f t="shared" si="63"/>
        <v>Volatilisation</v>
      </c>
      <c r="D161" t="str">
        <f>'Activity data'!D70</f>
        <v xml:space="preserve"> - Subsistence cattle</v>
      </c>
      <c r="E161" t="str">
        <f t="shared" si="61"/>
        <v>Volatilisation - Subsistence cattle</v>
      </c>
      <c r="F161" t="str">
        <f t="shared" si="47"/>
        <v>N2O</v>
      </c>
      <c r="G161" t="str">
        <f t="shared" si="48"/>
        <v>Gg N2O</v>
      </c>
      <c r="H161" s="23">
        <f>Constants!$H31*'Activity data'!H9*Constants!$H49*EF!$H210*MMVolatEF*NtoN2O*kgtoGg</f>
        <v>1.733753129120371E-2</v>
      </c>
      <c r="I161" s="23">
        <f>Constants!$H31*'Activity data'!I9*Constants!$H49*EF!$H210*MMVolatEF*NtoN2O*kgtoGg</f>
        <v>1.8678219123915422E-2</v>
      </c>
      <c r="J161" s="23">
        <f>Constants!$H31*'Activity data'!J9*Constants!$H49*EF!$H210*MMVolatEF*NtoN2O*kgtoGg</f>
        <v>1.8861040192012478E-2</v>
      </c>
      <c r="K161" s="23">
        <f>Constants!$H31*'Activity data'!K9*Constants!$H49*EF!$H210*MMVolatEF*NtoN2O*kgtoGg</f>
        <v>1.8861040192012474E-2</v>
      </c>
      <c r="L161" s="23">
        <f>Constants!$H31*'Activity data'!L9*Constants!$H49*EF!$H210*MMVolatEF*NtoN2O*kgtoGg</f>
        <v>1.657577684079933E-2</v>
      </c>
      <c r="M161" s="23">
        <f>Constants!$H31*'Activity data'!M9*Constants!$H49*EF!$H210*MMVolatEF*NtoN2O*kgtoGg</f>
        <v>1.6362485594686102E-2</v>
      </c>
      <c r="N161" s="23">
        <f>Constants!$H31*'Activity data'!N9*Constants!$H49*EF!$H210*MMVolatEF*NtoN2O*kgtoGg</f>
        <v>1.6758597908896382E-2</v>
      </c>
      <c r="O161" s="23">
        <f>Constants!$H31*'Activity data'!O9*Constants!$H49*EF!$H210*MMVolatEF*NtoN2O*kgtoGg</f>
        <v>1.7246120757155189E-2</v>
      </c>
      <c r="P161" s="23">
        <f>Constants!$H31*'Activity data'!P9*Constants!$H49*EF!$H210*MMVolatEF*NtoN2O*kgtoGg</f>
        <v>1.8007875207559577E-2</v>
      </c>
      <c r="Q161" s="23">
        <f>Constants!$H31*'Activity data'!Q9*Constants!$H49*EF!$H210*MMVolatEF*NtoN2O*kgtoGg</f>
        <v>1.864774894589925E-2</v>
      </c>
      <c r="R161" s="23">
        <f>Constants!$H31*'Activity data'!R9*Constants!$H49*EF!$H210*MMVolatEF*NtoN2O*kgtoGg</f>
        <v>1.916574197217423E-2</v>
      </c>
      <c r="S161" s="23">
        <f>Constants!$H31*'Activity data'!S9*Constants!$H49*EF!$H210*MMVolatEF*NtoN2O*kgtoGg</f>
        <v>1.8769629657963954E-2</v>
      </c>
      <c r="T161" s="23">
        <f>Constants!$H31*'Activity data'!T9*Constants!$H49*EF!$H210*MMVolatEF*NtoN2O*kgtoGg</f>
        <v>2.0262668380756535E-2</v>
      </c>
      <c r="U161" s="23">
        <f>Constants!$H31*'Activity data'!U9*Constants!$H49*EF!$H210*MMVolatEF*NtoN2O*kgtoGg</f>
        <v>2.0232198202740366E-2</v>
      </c>
      <c r="V161" s="23">
        <f>Constants!$H31*'Activity data'!V9*Constants!$H49*EF!$H210*MMVolatEF*NtoN2O*kgtoGg</f>
        <v>1.9805615710513914E-2</v>
      </c>
      <c r="W161" s="23">
        <f>Constants!$H31*'Activity data'!W9*Constants!$H49*EF!$H210*MMVolatEF*NtoN2O*kgtoGg</f>
        <v>1.9561854286384503E-2</v>
      </c>
      <c r="X161" s="23">
        <f>Constants!$H31*'Activity data'!X9*Constants!$H49*EF!$H210*MMVolatEF*NtoN2O*kgtoGg</f>
        <v>2.0018906956627135E-2</v>
      </c>
      <c r="Y161" s="23">
        <f>Constants!$H31*'Activity data'!Y9*Constants!$H49*EF!$H210*MMVolatEF*NtoN2O*kgtoGg</f>
        <v>2.0689250872982987E-2</v>
      </c>
      <c r="Z161" s="23">
        <f>Constants!$H31*'Activity data'!Z9*Constants!$H49*EF!$H210*MMVolatEF*NtoN2O*kgtoGg</f>
        <v>2.1085363187193274E-2</v>
      </c>
      <c r="AA161" s="23">
        <f>Constants!$H31*'Activity data'!AA9*Constants!$H49*EF!$H210*MMVolatEF*NtoN2O*kgtoGg</f>
        <v>2.1024422831160922E-2</v>
      </c>
      <c r="AB161" s="23">
        <f>Constants!$H31*'Activity data'!AB9*Constants!$H49*EF!$H210*MMVolatEF*NtoN2O*kgtoGg</f>
        <v>2.0780661407031522E-2</v>
      </c>
      <c r="AC161" s="23">
        <f>Constants!$H31*'Activity data'!AC9*Constants!$H49*EF!$H210*MMVolatEF*NtoN2O*kgtoGg</f>
        <v>2.0719721050999167E-2</v>
      </c>
      <c r="AD161" s="23">
        <f>Constants!$H31*'Activity data'!AD9*Constants!$H49*EF!$H210*MMVolatEF*NtoN2O*kgtoGg</f>
        <v>1.7946934851527218E-2</v>
      </c>
      <c r="AE161" s="23">
        <f>Constants!$H31*'Activity data'!AE9*Constants!$H49*EF!$H210*MMVolatEF*NtoN2O*kgtoGg</f>
        <v>2.1451005323387375E-2</v>
      </c>
      <c r="AF161" s="23">
        <f>Constants!$H31*'Activity data'!AF9*Constants!$H49*EF!$H210*MMVolatEF*NtoN2O*kgtoGg</f>
        <v>2.1085363187193271E-2</v>
      </c>
      <c r="AG161" s="23">
        <f>Constants!$H31*'Activity data'!AG9*Constants!$H49*EF!$H210*MMVolatEF*NtoN2O*kgtoGg</f>
        <v>2.0841601763063867E-2</v>
      </c>
      <c r="AH161" s="23">
        <f>Constants!$H31*'Activity data'!AH9*Constants!$H49*EF!$H210*MMVolatEF*NtoN2O*kgtoGg</f>
        <v>2.0658780694966818E-2</v>
      </c>
      <c r="AI161" s="23">
        <f>Constants!$H31*'Activity data'!AI9*Constants!$H49*EF!$H210*MMVolatEF*NtoN2O*kgtoGg</f>
        <v>2.044548944885359E-2</v>
      </c>
      <c r="AJ161" s="23">
        <f>Constants!$H31*'Activity data'!AJ9*Constants!$H49*EF!$H210*MMVolatEF*NtoN2O*kgtoGg</f>
        <v>2.1234216194174493E-2</v>
      </c>
      <c r="AK161" s="23">
        <f>Constants!$H31*'Activity data'!AK9*Constants!$H49*EF!$H210*MMVolatEF*NtoN2O*kgtoGg</f>
        <v>2.3331538752272184E-2</v>
      </c>
      <c r="AL161" s="23">
        <f>Constants!$H31*'Activity data'!AL9*Constants!$H49*EF!$H210*MMVolatEF*NtoN2O*kgtoGg</f>
        <v>2.3494234442974792E-2</v>
      </c>
      <c r="AM161" s="23">
        <f>Constants!$H31*'Activity data'!AM9*Constants!$H49*EF!$H210*MMVolatEF*NtoN2O*kgtoGg</f>
        <v>2.3659144080595829E-2</v>
      </c>
      <c r="AN161" s="23">
        <f>Constants!$H31*'Activity data'!AN9*Constants!$H49*EF!$H210*MMVolatEF*NtoN2O*kgtoGg</f>
        <v>2.3824053715172894E-2</v>
      </c>
      <c r="AO161" s="23">
        <f>Constants!$H31*'Activity data'!AO9*Constants!$H49*EF!$H210*MMVolatEF*NtoN2O*kgtoGg</f>
        <v>2.398896334974996E-2</v>
      </c>
      <c r="AP161" s="23">
        <f>Constants!$H31*'Activity data'!AP9*Constants!$H49*EF!$H210*MMVolatEF*NtoN2O*kgtoGg</f>
        <v>2.4153872984327026E-2</v>
      </c>
      <c r="AQ161" s="23">
        <f>Constants!$H31*'Activity data'!AQ9*Constants!$H49*EF!$H210*MMVolatEF*NtoN2O*kgtoGg</f>
        <v>2.431878262194806E-2</v>
      </c>
      <c r="AR161" s="23">
        <f>Constants!$H31*'Activity data'!AR9*Constants!$H49*EF!$H210*MMVolatEF*NtoN2O*kgtoGg</f>
        <v>2.4497444520810208E-2</v>
      </c>
      <c r="AS161" s="23">
        <f>Constants!$H31*'Activity data'!AS9*Constants!$H49*EF!$H210*MMVolatEF*NtoN2O*kgtoGg</f>
        <v>2.4676106419672349E-2</v>
      </c>
      <c r="AT161" s="23">
        <f>Constants!$H31*'Activity data'!AT9*Constants!$H49*EF!$H210*MMVolatEF*NtoN2O*kgtoGg</f>
        <v>2.4854768318534493E-2</v>
      </c>
      <c r="AU161" s="23">
        <f>Constants!$H31*'Activity data'!AU9*Constants!$H49*EF!$H210*MMVolatEF*NtoN2O*kgtoGg</f>
        <v>2.5033430217396631E-2</v>
      </c>
      <c r="AV161" s="23">
        <f>Constants!$H31*'Activity data'!AV9*Constants!$H49*EF!$H210*MMVolatEF*NtoN2O*kgtoGg</f>
        <v>2.5212092116258779E-2</v>
      </c>
      <c r="AW161" s="23">
        <f>Constants!$H31*'Activity data'!AW9*Constants!$H49*EF!$H210*MMVolatEF*NtoN2O*kgtoGg</f>
        <v>2.5384688419342816E-2</v>
      </c>
      <c r="AX161" s="23">
        <f>Constants!$H31*'Activity data'!AX9*Constants!$H49*EF!$H210*MMVolatEF*NtoN2O*kgtoGg</f>
        <v>2.5557284719382876E-2</v>
      </c>
      <c r="AY161" s="23">
        <f>Constants!$H31*'Activity data'!AY9*Constants!$H49*EF!$H210*MMVolatEF*NtoN2O*kgtoGg</f>
        <v>2.5729881022466913E-2</v>
      </c>
      <c r="AZ161" s="23">
        <f>Constants!$H31*'Activity data'!AZ9*Constants!$H49*EF!$H210*MMVolatEF*NtoN2O*kgtoGg</f>
        <v>2.5902477322506983E-2</v>
      </c>
      <c r="BA161" s="23">
        <f>Constants!$H31*'Activity data'!BA9*Constants!$H49*EF!$H210*MMVolatEF*NtoN2O*kgtoGg</f>
        <v>2.6075073622547046E-2</v>
      </c>
      <c r="BB161" s="23">
        <f>Constants!$H31*'Activity data'!BB9*Constants!$H49*EF!$H210*MMVolatEF*NtoN2O*kgtoGg</f>
        <v>2.6254455493554856E-2</v>
      </c>
      <c r="BC161" s="23">
        <f>Constants!$H31*'Activity data'!BC9*Constants!$H49*EF!$H210*MMVolatEF*NtoN2O*kgtoGg</f>
        <v>2.6433837364562673E-2</v>
      </c>
      <c r="BD161" s="23">
        <f>Constants!$H31*'Activity data'!BD9*Constants!$H49*EF!$H210*MMVolatEF*NtoN2O*kgtoGg</f>
        <v>2.6613219232526512E-2</v>
      </c>
      <c r="BE161" s="23">
        <f>Constants!$H31*'Activity data'!BE9*Constants!$H49*EF!$H210*MMVolatEF*NtoN2O*kgtoGg</f>
        <v>2.6792601103534323E-2</v>
      </c>
      <c r="BF161" s="23">
        <f>Constants!$H31*'Activity data'!BF9*Constants!$H49*EF!$H210*MMVolatEF*NtoN2O*kgtoGg</f>
        <v>2.6971982974542147E-2</v>
      </c>
      <c r="BG161" s="23">
        <f>Constants!$H31*'Activity data'!BG9*Constants!$H49*EF!$H210*MMVolatEF*NtoN2O*kgtoGg</f>
        <v>2.7176752465946311E-2</v>
      </c>
      <c r="BH161" s="23">
        <f>Constants!$H31*'Activity data'!BH9*Constants!$H49*EF!$H210*MMVolatEF*NtoN2O*kgtoGg</f>
        <v>2.7381521954306497E-2</v>
      </c>
      <c r="BI161" s="23">
        <f>Constants!$H31*'Activity data'!BI9*Constants!$H49*EF!$H210*MMVolatEF*NtoN2O*kgtoGg</f>
        <v>2.7586291445710665E-2</v>
      </c>
      <c r="BJ161" s="23">
        <f>Constants!$H31*'Activity data'!BJ9*Constants!$H49*EF!$H210*MMVolatEF*NtoN2O*kgtoGg</f>
        <v>2.7791060937114823E-2</v>
      </c>
      <c r="BK161" s="23">
        <f>Constants!$H31*'Activity data'!BK9*Constants!$H49*EF!$H210*MMVolatEF*NtoN2O*kgtoGg</f>
        <v>2.7995830428518984E-2</v>
      </c>
      <c r="BL161" s="23">
        <f>Constants!$H31*'Activity data'!BL9*Constants!$H49*EF!$H210*MMVolatEF*NtoN2O*kgtoGg</f>
        <v>2.8193372754025857E-2</v>
      </c>
      <c r="BM161" s="23">
        <f>Constants!$H31*'Activity data'!BM9*Constants!$H49*EF!$H210*MMVolatEF*NtoN2O*kgtoGg</f>
        <v>2.8390915079532706E-2</v>
      </c>
      <c r="BN161" s="23">
        <f>Constants!$H31*'Activity data'!BN9*Constants!$H49*EF!$H210*MMVolatEF*NtoN2O*kgtoGg</f>
        <v>2.8588457408083547E-2</v>
      </c>
      <c r="BO161" s="23">
        <f>Constants!$H31*'Activity data'!BO9*Constants!$H49*EF!$H210*MMVolatEF*NtoN2O*kgtoGg</f>
        <v>2.878599973359041E-2</v>
      </c>
      <c r="BP161" s="23">
        <f>Constants!$H31*'Activity data'!BP9*Constants!$H49*EF!$H210*MMVolatEF*NtoN2O*kgtoGg</f>
        <v>2.8983542059097273E-2</v>
      </c>
    </row>
    <row r="162" spans="1:68" x14ac:dyDescent="0.25">
      <c r="A162" t="str">
        <f t="shared" si="58"/>
        <v>3C Aggregated and non-CO2 emissions on land</v>
      </c>
      <c r="B162" t="str">
        <f t="shared" si="62"/>
        <v>3C6 Indirect N2O from manure management (N2O)</v>
      </c>
      <c r="C162" t="str">
        <f t="shared" si="63"/>
        <v>Volatilisation</v>
      </c>
      <c r="D162" t="str">
        <f>'Activity data'!D71</f>
        <v xml:space="preserve"> - Feedlot</v>
      </c>
      <c r="E162" t="str">
        <f t="shared" si="61"/>
        <v>Volatilisation - Feedlot</v>
      </c>
      <c r="F162" t="str">
        <f t="shared" si="47"/>
        <v>N2O</v>
      </c>
      <c r="G162" t="str">
        <f t="shared" si="48"/>
        <v>Gg N2O</v>
      </c>
      <c r="H162" s="23">
        <f>Constants!$H32*'Activity data'!H10*Constants!$H50*EF!$H211*MMVolatEF*NtoN2O*kgtoGg</f>
        <v>0.12283717445999996</v>
      </c>
      <c r="I162" s="23">
        <f>Constants!$H32*'Activity data'!I10*Constants!$H50*EF!$H211*MMVolatEF*NtoN2O*kgtoGg</f>
        <v>0.12283717445999996</v>
      </c>
      <c r="J162" s="23">
        <f>Constants!$H32*'Activity data'!J10*Constants!$H50*EF!$H211*MMVolatEF*NtoN2O*kgtoGg</f>
        <v>0.12283717445999996</v>
      </c>
      <c r="K162" s="23">
        <f>Constants!$H32*'Activity data'!K10*Constants!$H50*EF!$H211*MMVolatEF*NtoN2O*kgtoGg</f>
        <v>0.12283717445999996</v>
      </c>
      <c r="L162" s="23">
        <f>Constants!$H32*'Activity data'!L10*Constants!$H50*EF!$H211*MMVolatEF*NtoN2O*kgtoGg</f>
        <v>0.12283717445999996</v>
      </c>
      <c r="M162" s="23">
        <f>Constants!$H32*'Activity data'!M10*Constants!$H50*EF!$H211*MMVolatEF*NtoN2O*kgtoGg</f>
        <v>0.12283717445999996</v>
      </c>
      <c r="N162" s="23">
        <f>Constants!$H32*'Activity data'!N10*Constants!$H50*EF!$H211*MMVolatEF*NtoN2O*kgtoGg</f>
        <v>0.12283717445999996</v>
      </c>
      <c r="O162" s="23">
        <f>Constants!$H32*'Activity data'!O10*Constants!$H50*EF!$H211*MMVolatEF*NtoN2O*kgtoGg</f>
        <v>0.12283717445999996</v>
      </c>
      <c r="P162" s="23">
        <f>Constants!$H32*'Activity data'!P10*Constants!$H50*EF!$H211*MMVolatEF*NtoN2O*kgtoGg</f>
        <v>0.12283717445999996</v>
      </c>
      <c r="Q162" s="23">
        <f>Constants!$H32*'Activity data'!Q10*Constants!$H50*EF!$H211*MMVolatEF*NtoN2O*kgtoGg</f>
        <v>0.12283717445999996</v>
      </c>
      <c r="R162" s="23">
        <f>Constants!$H32*'Activity data'!R10*Constants!$H50*EF!$H211*MMVolatEF*NtoN2O*kgtoGg</f>
        <v>0.12283717445999996</v>
      </c>
      <c r="S162" s="23">
        <f>Constants!$H32*'Activity data'!S10*Constants!$H50*EF!$H211*MMVolatEF*NtoN2O*kgtoGg</f>
        <v>0.12283717445999996</v>
      </c>
      <c r="T162" s="23">
        <f>Constants!$H32*'Activity data'!T10*Constants!$H50*EF!$H211*MMVolatEF*NtoN2O*kgtoGg</f>
        <v>0.12283717445999996</v>
      </c>
      <c r="U162" s="23">
        <f>Constants!$H32*'Activity data'!U10*Constants!$H50*EF!$H211*MMVolatEF*NtoN2O*kgtoGg</f>
        <v>0.12283717445999996</v>
      </c>
      <c r="V162" s="23">
        <f>Constants!$H32*'Activity data'!V10*Constants!$H50*EF!$H211*MMVolatEF*NtoN2O*kgtoGg</f>
        <v>0.12283717445999996</v>
      </c>
      <c r="W162" s="23">
        <f>Constants!$H32*'Activity data'!W10*Constants!$H50*EF!$H211*MMVolatEF*NtoN2O*kgtoGg</f>
        <v>0.12283717445999996</v>
      </c>
      <c r="X162" s="23">
        <f>Constants!$H32*'Activity data'!X10*Constants!$H50*EF!$H211*MMVolatEF*NtoN2O*kgtoGg</f>
        <v>0.12283717445999996</v>
      </c>
      <c r="Y162" s="23">
        <f>Constants!$H32*'Activity data'!Y10*Constants!$H50*EF!$H211*MMVolatEF*NtoN2O*kgtoGg</f>
        <v>0.12283717445999996</v>
      </c>
      <c r="Z162" s="23">
        <f>Constants!$H32*'Activity data'!Z10*Constants!$H50*EF!$H211*MMVolatEF*NtoN2O*kgtoGg</f>
        <v>0.11439877239615821</v>
      </c>
      <c r="AA162" s="23">
        <f>Constants!$H32*'Activity data'!AA10*Constants!$H50*EF!$H211*MMVolatEF*NtoN2O*kgtoGg</f>
        <v>0.11722743955247324</v>
      </c>
      <c r="AB162" s="23">
        <f>Constants!$H32*'Activity data'!AB10*Constants!$H50*EF!$H211*MMVolatEF*NtoN2O*kgtoGg</f>
        <v>0.116935823125407</v>
      </c>
      <c r="AC162" s="23">
        <f>Constants!$H32*'Activity data'!AC10*Constants!$H50*EF!$H211*MMVolatEF*NtoN2O*kgtoGg</f>
        <v>0.13506244675831047</v>
      </c>
      <c r="AD162" s="23">
        <f>Constants!$H32*'Activity data'!AD10*Constants!$H50*EF!$H211*MMVolatEF*NtoN2O*kgtoGg</f>
        <v>0.14163525923504094</v>
      </c>
      <c r="AE162" s="23">
        <f>Constants!$H32*'Activity data'!AE10*Constants!$H50*EF!$H211*MMVolatEF*NtoN2O*kgtoGg</f>
        <v>0.14700948310748696</v>
      </c>
      <c r="AF162" s="23">
        <f>Constants!$H32*'Activity data'!AF10*Constants!$H50*EF!$H211*MMVolatEF*NtoN2O*kgtoGg</f>
        <v>0.15238390195957499</v>
      </c>
      <c r="AG162" s="23">
        <f>Constants!$H32*'Activity data'!AG10*Constants!$H50*EF!$H211*MMVolatEF*NtoN2O*kgtoGg</f>
        <v>0.15775802834219996</v>
      </c>
      <c r="AH162" s="23">
        <f>Constants!$H32*'Activity data'!AH10*Constants!$H50*EF!$H211*MMVolatEF*NtoN2O*kgtoGg</f>
        <v>0.16616243083096796</v>
      </c>
      <c r="AI162" s="23">
        <f>Constants!$H32*'Activity data'!AI10*Constants!$H50*EF!$H211*MMVolatEF*NtoN2O*kgtoGg</f>
        <v>0.17302054726885496</v>
      </c>
      <c r="AJ162" s="23">
        <f>Constants!$H32*'Activity data'!AJ10*Constants!$H50*EF!$H211*MMVolatEF*NtoN2O*kgtoGg</f>
        <v>0.15425839981392089</v>
      </c>
      <c r="AK162" s="23">
        <f>Constants!$H32*'Activity data'!AK10*Constants!$H50*EF!$H211*MMVolatEF*NtoN2O*kgtoGg</f>
        <v>0.15602382431435247</v>
      </c>
      <c r="AL162" s="23">
        <f>Constants!$H32*'Activity data'!AL10*Constants!$H50*EF!$H211*MMVolatEF*NtoN2O*kgtoGg</f>
        <v>0.15522513963060833</v>
      </c>
      <c r="AM162" s="23">
        <f>Constants!$H32*'Activity data'!AM10*Constants!$H50*EF!$H211*MMVolatEF*NtoN2O*kgtoGg</f>
        <v>0.1573931919744479</v>
      </c>
      <c r="AN162" s="23">
        <f>Constants!$H32*'Activity data'!AN10*Constants!$H50*EF!$H211*MMVolatEF*NtoN2O*kgtoGg</f>
        <v>0.15953517948602053</v>
      </c>
      <c r="AO162" s="23">
        <f>Constants!$H32*'Activity data'!AO10*Constants!$H50*EF!$H211*MMVolatEF*NtoN2O*kgtoGg</f>
        <v>0.16168301783297756</v>
      </c>
      <c r="AP162" s="23">
        <f>Constants!$H32*'Activity data'!AP10*Constants!$H50*EF!$H211*MMVolatEF*NtoN2O*kgtoGg</f>
        <v>0.16380841801706317</v>
      </c>
      <c r="AQ162" s="23">
        <f>Constants!$H32*'Activity data'!AQ10*Constants!$H50*EF!$H211*MMVolatEF*NtoN2O*kgtoGg</f>
        <v>0.16595984418721552</v>
      </c>
      <c r="AR162" s="23">
        <f>Constants!$H32*'Activity data'!AR10*Constants!$H50*EF!$H211*MMVolatEF*NtoN2O*kgtoGg</f>
        <v>0.16835672535706694</v>
      </c>
      <c r="AS162" s="23">
        <f>Constants!$H32*'Activity data'!AS10*Constants!$H50*EF!$H211*MMVolatEF*NtoN2O*kgtoGg</f>
        <v>0.17074670584807186</v>
      </c>
      <c r="AT162" s="23">
        <f>Constants!$H32*'Activity data'!AT10*Constants!$H50*EF!$H211*MMVolatEF*NtoN2O*kgtoGg</f>
        <v>0.17317191486237954</v>
      </c>
      <c r="AU162" s="23">
        <f>Constants!$H32*'Activity data'!AU10*Constants!$H50*EF!$H211*MMVolatEF*NtoN2O*kgtoGg</f>
        <v>0.17562328231027063</v>
      </c>
      <c r="AV162" s="23">
        <f>Constants!$H32*'Activity data'!AV10*Constants!$H50*EF!$H211*MMVolatEF*NtoN2O*kgtoGg</f>
        <v>0.17810319573897304</v>
      </c>
      <c r="AW162" s="23">
        <f>Constants!$H32*'Activity data'!AW10*Constants!$H50*EF!$H211*MMVolatEF*NtoN2O*kgtoGg</f>
        <v>0.18069497653501504</v>
      </c>
      <c r="AX162" s="23">
        <f>Constants!$H32*'Activity data'!AX10*Constants!$H50*EF!$H211*MMVolatEF*NtoN2O*kgtoGg</f>
        <v>0.18323982710899847</v>
      </c>
      <c r="AY162" s="23">
        <f>Constants!$H32*'Activity data'!AY10*Constants!$H50*EF!$H211*MMVolatEF*NtoN2O*kgtoGg</f>
        <v>0.18589052862624189</v>
      </c>
      <c r="AZ162" s="23">
        <f>Constants!$H32*'Activity data'!AZ10*Constants!$H50*EF!$H211*MMVolatEF*NtoN2O*kgtoGg</f>
        <v>0.18861522913871762</v>
      </c>
      <c r="BA162" s="23">
        <f>Constants!$H32*'Activity data'!BA10*Constants!$H50*EF!$H211*MMVolatEF*NtoN2O*kgtoGg</f>
        <v>0.19141793381725897</v>
      </c>
      <c r="BB162" s="23">
        <f>Constants!$H32*'Activity data'!BB10*Constants!$H50*EF!$H211*MMVolatEF*NtoN2O*kgtoGg</f>
        <v>0.1943188730535115</v>
      </c>
      <c r="BC162" s="23">
        <f>Constants!$H32*'Activity data'!BC10*Constants!$H50*EF!$H211*MMVolatEF*NtoN2O*kgtoGg</f>
        <v>0.19727346586464028</v>
      </c>
      <c r="BD162" s="23">
        <f>Constants!$H32*'Activity data'!BD10*Constants!$H50*EF!$H211*MMVolatEF*NtoN2O*kgtoGg</f>
        <v>0.20024799073271271</v>
      </c>
      <c r="BE162" s="23">
        <f>Constants!$H32*'Activity data'!BE10*Constants!$H50*EF!$H211*MMVolatEF*NtoN2O*kgtoGg</f>
        <v>0.20327667520030715</v>
      </c>
      <c r="BF162" s="23">
        <f>Constants!$H32*'Activity data'!BF10*Constants!$H50*EF!$H211*MMVolatEF*NtoN2O*kgtoGg</f>
        <v>0.2063898262479909</v>
      </c>
      <c r="BG162" s="23">
        <f>Constants!$H32*'Activity data'!BG10*Constants!$H50*EF!$H211*MMVolatEF*NtoN2O*kgtoGg</f>
        <v>0.20979682435577712</v>
      </c>
      <c r="BH162" s="23">
        <f>Constants!$H32*'Activity data'!BH10*Constants!$H50*EF!$H211*MMVolatEF*NtoN2O*kgtoGg</f>
        <v>0.21326866471216799</v>
      </c>
      <c r="BI162" s="23">
        <f>Constants!$H32*'Activity data'!BI10*Constants!$H50*EF!$H211*MMVolatEF*NtoN2O*kgtoGg</f>
        <v>0.21680165100777918</v>
      </c>
      <c r="BJ162" s="23">
        <f>Constants!$H32*'Activity data'!BJ10*Constants!$H50*EF!$H211*MMVolatEF*NtoN2O*kgtoGg</f>
        <v>0.22040490709138982</v>
      </c>
      <c r="BK162" s="23">
        <f>Constants!$H32*'Activity data'!BK10*Constants!$H50*EF!$H211*MMVolatEF*NtoN2O*kgtoGg</f>
        <v>0.22411460674384093</v>
      </c>
      <c r="BL162" s="23">
        <f>Constants!$H32*'Activity data'!BL10*Constants!$H50*EF!$H211*MMVolatEF*NtoN2O*kgtoGg</f>
        <v>0.22784812046402272</v>
      </c>
      <c r="BM162" s="23">
        <f>Constants!$H32*'Activity data'!BM10*Constants!$H50*EF!$H211*MMVolatEF*NtoN2O*kgtoGg</f>
        <v>0.23167341281443982</v>
      </c>
      <c r="BN162" s="23">
        <f>Constants!$H32*'Activity data'!BN10*Constants!$H50*EF!$H211*MMVolatEF*NtoN2O*kgtoGg</f>
        <v>0.23552172007237973</v>
      </c>
      <c r="BO162" s="23">
        <f>Constants!$H32*'Activity data'!BO10*Constants!$H50*EF!$H211*MMVolatEF*NtoN2O*kgtoGg</f>
        <v>0.23947012399969395</v>
      </c>
      <c r="BP162" s="23">
        <f>Constants!$H32*'Activity data'!BP10*Constants!$H50*EF!$H211*MMVolatEF*NtoN2O*kgtoGg</f>
        <v>0.24352697755346953</v>
      </c>
    </row>
    <row r="163" spans="1:68" x14ac:dyDescent="0.25">
      <c r="A163" t="str">
        <f t="shared" si="58"/>
        <v>3C Aggregated and non-CO2 emissions on land</v>
      </c>
      <c r="B163" t="str">
        <f t="shared" si="62"/>
        <v>3C6 Indirect N2O from manure management (N2O)</v>
      </c>
      <c r="C163" t="str">
        <f t="shared" si="63"/>
        <v>Volatilisation</v>
      </c>
      <c r="D163" t="str">
        <f>'Activity data'!D72</f>
        <v xml:space="preserve"> - Commercial sheep</v>
      </c>
      <c r="E163" t="str">
        <f t="shared" si="61"/>
        <v>Volatilisation - Commercial sheep</v>
      </c>
      <c r="F163" t="str">
        <f t="shared" si="47"/>
        <v>N2O</v>
      </c>
      <c r="G163" t="str">
        <f t="shared" si="48"/>
        <v>Gg N2O</v>
      </c>
      <c r="H163" s="23">
        <f>Constants!$H33*'Activity data'!H11*Constants!$H51*EF!$H212*MMVolatEF*NtoN2O*kgtoGg</f>
        <v>1.8472261121735457E-4</v>
      </c>
      <c r="I163" s="23">
        <f>Constants!$H33*'Activity data'!I11*Constants!$H51*EF!$H212*MMVolatEF*NtoN2O*kgtoGg</f>
        <v>1.7641659434150834E-4</v>
      </c>
      <c r="J163" s="23">
        <f>Constants!$H33*'Activity data'!J11*Constants!$H51*EF!$H212*MMVolatEF*NtoN2O*kgtoGg</f>
        <v>1.6912726350758691E-4</v>
      </c>
      <c r="K163" s="23">
        <f>Constants!$H33*'Activity data'!K11*Constants!$H51*EF!$H212*MMVolatEF*NtoN2O*kgtoGg</f>
        <v>1.5817170118914879E-4</v>
      </c>
      <c r="L163" s="23">
        <f>Constants!$H33*'Activity data'!L11*Constants!$H51*EF!$H212*MMVolatEF*NtoN2O*kgtoGg</f>
        <v>1.5928697496847238E-4</v>
      </c>
      <c r="M163" s="23">
        <f>Constants!$H33*'Activity data'!M11*Constants!$H51*EF!$H212*MMVolatEF*NtoN2O*kgtoGg</f>
        <v>1.5700713354112583E-4</v>
      </c>
      <c r="N163" s="23">
        <f>Constants!$H33*'Activity data'!N11*Constants!$H51*EF!$H212*MMVolatEF*NtoN2O*kgtoGg</f>
        <v>1.575308808960568E-4</v>
      </c>
      <c r="O163" s="23">
        <f>Constants!$H33*'Activity data'!O11*Constants!$H51*EF!$H212*MMVolatEF*NtoN2O*kgtoGg</f>
        <v>1.541049570214496E-4</v>
      </c>
      <c r="P163" s="23">
        <f>Constants!$H33*'Activity data'!P11*Constants!$H51*EF!$H212*MMVolatEF*NtoN2O*kgtoGg</f>
        <v>1.5453011663898181E-4</v>
      </c>
      <c r="Q163" s="23">
        <f>Constants!$H33*'Activity data'!Q11*Constants!$H51*EF!$H212*MMVolatEF*NtoN2O*kgtoGg</f>
        <v>1.5073448874912916E-4</v>
      </c>
      <c r="R163" s="23">
        <f>Constants!$H33*'Activity data'!R11*Constants!$H51*EF!$H212*MMVolatEF*NtoN2O*kgtoGg</f>
        <v>1.4533064839295922E-4</v>
      </c>
      <c r="S163" s="23">
        <f>Constants!$H33*'Activity data'!S11*Constants!$H51*EF!$H212*MMVolatEF*NtoN2O*kgtoGg</f>
        <v>1.4170754904355447E-4</v>
      </c>
      <c r="T163" s="23">
        <f>Constants!$H33*'Activity data'!T11*Constants!$H51*EF!$H212*MMVolatEF*NtoN2O*kgtoGg</f>
        <v>1.3934144334598408E-4</v>
      </c>
      <c r="U163" s="23">
        <f>Constants!$H33*'Activity data'!U11*Constants!$H51*EF!$H212*MMVolatEF*NtoN2O*kgtoGg</f>
        <v>1.3982822029939045E-4</v>
      </c>
      <c r="V163" s="23">
        <f>Constants!$H33*'Activity data'!V11*Constants!$H51*EF!$H212*MMVolatEF*NtoN2O*kgtoGg</f>
        <v>1.3733887993007157E-4</v>
      </c>
      <c r="W163" s="23">
        <f>Constants!$H33*'Activity data'!W11*Constants!$H51*EF!$H212*MMVolatEF*NtoN2O*kgtoGg</f>
        <v>1.3701230804993817E-4</v>
      </c>
      <c r="X163" s="23">
        <f>Constants!$H33*'Activity data'!X11*Constants!$H51*EF!$H212*MMVolatEF*NtoN2O*kgtoGg</f>
        <v>1.3521924357599806E-4</v>
      </c>
      <c r="Y163" s="23">
        <f>Constants!$H33*'Activity data'!Y11*Constants!$H51*EF!$H212*MMVolatEF*NtoN2O*kgtoGg</f>
        <v>1.3508984717066217E-4</v>
      </c>
      <c r="Z163" s="23">
        <f>Constants!$H33*'Activity data'!Z11*Constants!$H51*EF!$H212*MMVolatEF*NtoN2O*kgtoGg</f>
        <v>1.3552733025536923E-4</v>
      </c>
      <c r="AA163" s="23">
        <f>Constants!$H33*'Activity data'!AA11*Constants!$H51*EF!$H212*MMVolatEF*NtoN2O*kgtoGg</f>
        <v>1.3504671503555021E-4</v>
      </c>
      <c r="AB163" s="23">
        <f>Constants!$H33*'Activity data'!AB11*Constants!$H51*EF!$H212*MMVolatEF*NtoN2O*kgtoGg</f>
        <v>1.3243413999448287E-4</v>
      </c>
      <c r="AC163" s="23">
        <f>Constants!$H33*'Activity data'!AC11*Constants!$H51*EF!$H212*MMVolatEF*NtoN2O*kgtoGg</f>
        <v>1.3139896875179576E-4</v>
      </c>
      <c r="AD163" s="23">
        <f>Constants!$H33*'Activity data'!AD11*Constants!$H51*EF!$H212*MMVolatEF*NtoN2O*kgtoGg</f>
        <v>1.3202746557771294E-4</v>
      </c>
      <c r="AE163" s="23">
        <f>Constants!$H33*'Activity data'!AE11*Constants!$H51*EF!$H212*MMVolatEF*NtoN2O*kgtoGg</f>
        <v>1.3302566641887545E-4</v>
      </c>
      <c r="AF163" s="23">
        <f>Constants!$H33*'Activity data'!AF11*Constants!$H51*EF!$H212*MMVolatEF*NtoN2O*kgtoGg</f>
        <v>1.3064107552054275E-4</v>
      </c>
      <c r="AG163" s="23">
        <f>Constants!$H33*'Activity data'!AG11*Constants!$H51*EF!$H212*MMVolatEF*NtoN2O*kgtoGg</f>
        <v>1.2959974254426828E-4</v>
      </c>
      <c r="AH163" s="23">
        <f>Constants!$H33*'Activity data'!AH11*Constants!$H51*EF!$H212*MMVolatEF*NtoN2O*kgtoGg</f>
        <v>1.2593351105975157E-4</v>
      </c>
      <c r="AI163" s="23">
        <f>Constants!$H33*'Activity data'!AI11*Constants!$H51*EF!$H212*MMVolatEF*NtoN2O*kgtoGg</f>
        <v>1.2287729120038978E-4</v>
      </c>
      <c r="AJ163" s="23">
        <f>Constants!$H33*'Activity data'!AJ11*Constants!$H51*EF!$H212*MMVolatEF*NtoN2O*kgtoGg</f>
        <v>1.3067670911585E-4</v>
      </c>
      <c r="AK163" s="23">
        <f>Constants!$H33*'Activity data'!AK11*Constants!$H51*EF!$H212*MMVolatEF*NtoN2O*kgtoGg</f>
        <v>1.302682433630694E-4</v>
      </c>
      <c r="AL163" s="23">
        <f>Constants!$H33*'Activity data'!AL11*Constants!$H51*EF!$H212*MMVolatEF*NtoN2O*kgtoGg</f>
        <v>1.2891165358432596E-4</v>
      </c>
      <c r="AM163" s="23">
        <f>Constants!$H33*'Activity data'!AM11*Constants!$H51*EF!$H212*MMVolatEF*NtoN2O*kgtoGg</f>
        <v>1.2863762493710399E-4</v>
      </c>
      <c r="AN163" s="23">
        <f>Constants!$H33*'Activity data'!AN11*Constants!$H51*EF!$H212*MMVolatEF*NtoN2O*kgtoGg</f>
        <v>1.2835395838407631E-4</v>
      </c>
      <c r="AO163" s="23">
        <f>Constants!$H33*'Activity data'!AO11*Constants!$H51*EF!$H212*MMVolatEF*NtoN2O*kgtoGg</f>
        <v>1.2807245527932698E-4</v>
      </c>
      <c r="AP163" s="23">
        <f>Constants!$H33*'Activity data'!AP11*Constants!$H51*EF!$H212*MMVolatEF*NtoN2O*kgtoGg</f>
        <v>1.2778265527308523E-4</v>
      </c>
      <c r="AQ163" s="23">
        <f>Constants!$H33*'Activity data'!AQ11*Constants!$H51*EF!$H212*MMVolatEF*NtoN2O*kgtoGg</f>
        <v>1.2750247880859017E-4</v>
      </c>
      <c r="AR163" s="23">
        <f>Constants!$H33*'Activity data'!AR11*Constants!$H51*EF!$H212*MMVolatEF*NtoN2O*kgtoGg</f>
        <v>1.2722335775557772E-4</v>
      </c>
      <c r="AS163" s="23">
        <f>Constants!$H33*'Activity data'!AS11*Constants!$H51*EF!$H212*MMVolatEF*NtoN2O*kgtoGg</f>
        <v>1.2694168505638341E-4</v>
      </c>
      <c r="AT163" s="23">
        <f>Constants!$H33*'Activity data'!AT11*Constants!$H51*EF!$H212*MMVolatEF*NtoN2O*kgtoGg</f>
        <v>1.2667303871720086E-4</v>
      </c>
      <c r="AU163" s="23">
        <f>Constants!$H33*'Activity data'!AU11*Constants!$H51*EF!$H212*MMVolatEF*NtoN2O*kgtoGg</f>
        <v>1.2641406491439665E-4</v>
      </c>
      <c r="AV163" s="23">
        <f>Constants!$H33*'Activity data'!AV11*Constants!$H51*EF!$H212*MMVolatEF*NtoN2O*kgtoGg</f>
        <v>1.261656464851385E-4</v>
      </c>
      <c r="AW163" s="23">
        <f>Constants!$H33*'Activity data'!AW11*Constants!$H51*EF!$H212*MMVolatEF*NtoN2O*kgtoGg</f>
        <v>1.2599815877796256E-4</v>
      </c>
      <c r="AX163" s="23">
        <f>Constants!$H33*'Activity data'!AX11*Constants!$H51*EF!$H212*MMVolatEF*NtoN2O*kgtoGg</f>
        <v>1.2581331782372538E-4</v>
      </c>
      <c r="AY163" s="23">
        <f>Constants!$H33*'Activity data'!AY11*Constants!$H51*EF!$H212*MMVolatEF*NtoN2O*kgtoGg</f>
        <v>1.2566761707934451E-4</v>
      </c>
      <c r="AZ163" s="23">
        <f>Constants!$H33*'Activity data'!AZ11*Constants!$H51*EF!$H212*MMVolatEF*NtoN2O*kgtoGg</f>
        <v>1.2554927877203231E-4</v>
      </c>
      <c r="BA163" s="23">
        <f>Constants!$H33*'Activity data'!BA11*Constants!$H51*EF!$H212*MMVolatEF*NtoN2O*kgtoGg</f>
        <v>1.2545978386360057E-4</v>
      </c>
      <c r="BB163" s="23">
        <f>Constants!$H33*'Activity data'!BB11*Constants!$H51*EF!$H212*MMVolatEF*NtoN2O*kgtoGg</f>
        <v>1.2536235068862165E-4</v>
      </c>
      <c r="BC163" s="23">
        <f>Constants!$H33*'Activity data'!BC11*Constants!$H51*EF!$H212*MMVolatEF*NtoN2O*kgtoGg</f>
        <v>1.2528475685735441E-4</v>
      </c>
      <c r="BD163" s="23">
        <f>Constants!$H33*'Activity data'!BD11*Constants!$H51*EF!$H212*MMVolatEF*NtoN2O*kgtoGg</f>
        <v>1.2521453327112353E-4</v>
      </c>
      <c r="BE163" s="23">
        <f>Constants!$H33*'Activity data'!BE11*Constants!$H51*EF!$H212*MMVolatEF*NtoN2O*kgtoGg</f>
        <v>1.2516433612017397E-4</v>
      </c>
      <c r="BF163" s="23">
        <f>Constants!$H33*'Activity data'!BF11*Constants!$H51*EF!$H212*MMVolatEF*NtoN2O*kgtoGg</f>
        <v>1.2514537195823587E-4</v>
      </c>
      <c r="BG163" s="23">
        <f>Constants!$H33*'Activity data'!BG11*Constants!$H51*EF!$H212*MMVolatEF*NtoN2O*kgtoGg</f>
        <v>1.2506945969462593E-4</v>
      </c>
      <c r="BH163" s="23">
        <f>Constants!$H33*'Activity data'!BH11*Constants!$H51*EF!$H212*MMVolatEF*NtoN2O*kgtoGg</f>
        <v>1.2501752400155032E-4</v>
      </c>
      <c r="BI163" s="23">
        <f>Constants!$H33*'Activity data'!BI11*Constants!$H51*EF!$H212*MMVolatEF*NtoN2O*kgtoGg</f>
        <v>1.2498819806452962E-4</v>
      </c>
      <c r="BJ163" s="23">
        <f>Constants!$H33*'Activity data'!BJ11*Constants!$H51*EF!$H212*MMVolatEF*NtoN2O*kgtoGg</f>
        <v>1.2498485560540168E-4</v>
      </c>
      <c r="BK163" s="23">
        <f>Constants!$H33*'Activity data'!BK11*Constants!$H51*EF!$H212*MMVolatEF*NtoN2O*kgtoGg</f>
        <v>1.2502087250961514E-4</v>
      </c>
      <c r="BL163" s="23">
        <f>Constants!$H33*'Activity data'!BL11*Constants!$H51*EF!$H212*MMVolatEF*NtoN2O*kgtoGg</f>
        <v>1.2511283780405037E-4</v>
      </c>
      <c r="BM163" s="23">
        <f>Constants!$H33*'Activity data'!BM11*Constants!$H51*EF!$H212*MMVolatEF*NtoN2O*kgtoGg</f>
        <v>1.2523873984538134E-4</v>
      </c>
      <c r="BN163" s="23">
        <f>Constants!$H33*'Activity data'!BN11*Constants!$H51*EF!$H212*MMVolatEF*NtoN2O*kgtoGg</f>
        <v>1.2537315202972797E-4</v>
      </c>
      <c r="BO163" s="23">
        <f>Constants!$H33*'Activity data'!BO11*Constants!$H51*EF!$H212*MMVolatEF*NtoN2O*kgtoGg</f>
        <v>1.2554457672066008E-4</v>
      </c>
      <c r="BP163" s="23">
        <f>Constants!$H33*'Activity data'!BP11*Constants!$H51*EF!$H212*MMVolatEF*NtoN2O*kgtoGg</f>
        <v>1.2575610254967522E-4</v>
      </c>
    </row>
    <row r="164" spans="1:68" x14ac:dyDescent="0.25">
      <c r="A164" t="str">
        <f t="shared" si="58"/>
        <v>3C Aggregated and non-CO2 emissions on land</v>
      </c>
      <c r="B164" t="str">
        <f t="shared" si="62"/>
        <v>3C6 Indirect N2O from manure management (N2O)</v>
      </c>
      <c r="C164" t="str">
        <f t="shared" si="63"/>
        <v>Volatilisation</v>
      </c>
      <c r="D164" t="str">
        <f>'Activity data'!D73</f>
        <v xml:space="preserve"> - Subsistence sheep</v>
      </c>
      <c r="E164" t="str">
        <f t="shared" si="61"/>
        <v>Volatilisation - Subsistence sheep</v>
      </c>
      <c r="F164" t="str">
        <f t="shared" si="47"/>
        <v>N2O</v>
      </c>
      <c r="G164" t="str">
        <f t="shared" si="48"/>
        <v>Gg N2O</v>
      </c>
      <c r="H164" s="23">
        <f>Constants!$H34*'Activity data'!H12*Constants!$H52*EF!$H213*MMVolatEF*NtoN2O*kgtoGg</f>
        <v>1.1839669160909449E-3</v>
      </c>
      <c r="I164" s="23">
        <f>Constants!$H34*'Activity data'!I12*Constants!$H52*EF!$H213*MMVolatEF*NtoN2O*kgtoGg</f>
        <v>1.1307300702024701E-3</v>
      </c>
      <c r="J164" s="23">
        <f>Constants!$H34*'Activity data'!J12*Constants!$H52*EF!$H213*MMVolatEF*NtoN2O*kgtoGg</f>
        <v>1.0840096038181478E-3</v>
      </c>
      <c r="K164" s="23">
        <f>Constants!$H34*'Activity data'!K12*Constants!$H52*EF!$H213*MMVolatEF*NtoN2O*kgtoGg</f>
        <v>1.0137906780097589E-3</v>
      </c>
      <c r="L164" s="23">
        <f>Constants!$H34*'Activity data'!L12*Constants!$H52*EF!$H213*MMVolatEF*NtoN2O*kgtoGg</f>
        <v>1.0209389488597691E-3</v>
      </c>
      <c r="M164" s="23">
        <f>Constants!$H34*'Activity data'!M12*Constants!$H52*EF!$H213*MMVolatEF*NtoN2O*kgtoGg</f>
        <v>1.0063264614868198E-3</v>
      </c>
      <c r="N164" s="23">
        <f>Constants!$H34*'Activity data'!N12*Constants!$H52*EF!$H213*MMVolatEF*NtoN2O*kgtoGg</f>
        <v>1.0096833842616864E-3</v>
      </c>
      <c r="O164" s="23">
        <f>Constants!$H34*'Activity data'!O12*Constants!$H52*EF!$H213*MMVolatEF*NtoN2O*kgtoGg</f>
        <v>9.877251599931464E-4</v>
      </c>
      <c r="P164" s="23">
        <f>Constants!$H34*'Activity data'!P12*Constants!$H52*EF!$H213*MMVolatEF*NtoN2O*kgtoGg</f>
        <v>9.9045019142215908E-4</v>
      </c>
      <c r="Q164" s="23">
        <f>Constants!$H34*'Activity data'!Q12*Constants!$H52*EF!$H213*MMVolatEF*NtoN2O*kgtoGg</f>
        <v>9.66122374606654E-4</v>
      </c>
      <c r="R164" s="23">
        <f>Constants!$H34*'Activity data'!R12*Constants!$H52*EF!$H213*MMVolatEF*NtoN2O*kgtoGg</f>
        <v>9.3148683021185221E-4</v>
      </c>
      <c r="S164" s="23">
        <f>Constants!$H34*'Activity data'!S12*Constants!$H52*EF!$H213*MMVolatEF*NtoN2O*kgtoGg</f>
        <v>9.0826482325159742E-4</v>
      </c>
      <c r="T164" s="23">
        <f>Constants!$H34*'Activity data'!T12*Constants!$H52*EF!$H213*MMVolatEF*NtoN2O*kgtoGg</f>
        <v>8.9309943095102287E-4</v>
      </c>
      <c r="U164" s="23">
        <f>Constants!$H34*'Activity data'!U12*Constants!$H52*EF!$H213*MMVolatEF*NtoN2O*kgtoGg</f>
        <v>8.962193944711932E-4</v>
      </c>
      <c r="V164" s="23">
        <f>Constants!$H34*'Activity data'!V12*Constants!$H52*EF!$H213*MMVolatEF*NtoN2O*kgtoGg</f>
        <v>8.8026413798829686E-4</v>
      </c>
      <c r="W164" s="23">
        <f>Constants!$H34*'Activity data'!W12*Constants!$H52*EF!$H213*MMVolatEF*NtoN2O*kgtoGg</f>
        <v>8.7817099790514486E-4</v>
      </c>
      <c r="X164" s="23">
        <f>Constants!$H34*'Activity data'!X12*Constants!$H52*EF!$H213*MMVolatEF*NtoN2O*kgtoGg</f>
        <v>8.6667847405236557E-4</v>
      </c>
      <c r="Y164" s="23">
        <f>Constants!$H34*'Activity data'!Y12*Constants!$H52*EF!$H213*MMVolatEF*NtoN2O*kgtoGg</f>
        <v>8.658491166609279E-4</v>
      </c>
      <c r="Z164" s="23">
        <f>Constants!$H34*'Activity data'!Z12*Constants!$H52*EF!$H213*MMVolatEF*NtoN2O*kgtoGg</f>
        <v>8.6865313450816973E-4</v>
      </c>
      <c r="AA164" s="23">
        <f>Constants!$H34*'Activity data'!AA12*Constants!$H52*EF!$H213*MMVolatEF*NtoN2O*kgtoGg</f>
        <v>8.6557266419711528E-4</v>
      </c>
      <c r="AB164" s="23">
        <f>Constants!$H34*'Activity data'!AB12*Constants!$H52*EF!$H213*MMVolatEF*NtoN2O*kgtoGg</f>
        <v>8.4882754353189779E-4</v>
      </c>
      <c r="AC164" s="23">
        <f>Constants!$H34*'Activity data'!AC12*Constants!$H52*EF!$H213*MMVolatEF*NtoN2O*kgtoGg</f>
        <v>8.4219268440039634E-4</v>
      </c>
      <c r="AD164" s="23">
        <f>Constants!$H34*'Activity data'!AD12*Constants!$H52*EF!$H213*MMVolatEF*NtoN2O*kgtoGg</f>
        <v>8.4622099173023652E-4</v>
      </c>
      <c r="AE164" s="23">
        <f>Constants!$H34*'Activity data'!AE12*Constants!$H52*EF!$H213*MMVolatEF*NtoN2O*kgtoGg</f>
        <v>8.5261889160704132E-4</v>
      </c>
      <c r="AF164" s="23">
        <f>Constants!$H34*'Activity data'!AF12*Constants!$H52*EF!$H213*MMVolatEF*NtoN2O*kgtoGg</f>
        <v>8.3733501967911861E-4</v>
      </c>
      <c r="AG164" s="23">
        <f>Constants!$H34*'Activity data'!AG12*Constants!$H52*EF!$H213*MMVolatEF*NtoN2O*kgtoGg</f>
        <v>8.3066066733850107E-4</v>
      </c>
      <c r="AH164" s="23">
        <f>Constants!$H34*'Activity data'!AH12*Constants!$H52*EF!$H213*MMVolatEF*NtoN2O*kgtoGg</f>
        <v>8.0716220791443377E-4</v>
      </c>
      <c r="AI164" s="23">
        <f>Constants!$H34*'Activity data'!AI12*Constants!$H52*EF!$H213*MMVolatEF*NtoN2O*kgtoGg</f>
        <v>7.8757357619285858E-4</v>
      </c>
      <c r="AJ164" s="23">
        <f>Constants!$H34*'Activity data'!AJ12*Constants!$H52*EF!$H213*MMVolatEF*NtoN2O*kgtoGg</f>
        <v>8.4020535223598876E-4</v>
      </c>
      <c r="AK164" s="23">
        <f>Constants!$H34*'Activity data'!AK12*Constants!$H52*EF!$H213*MMVolatEF*NtoN2O*kgtoGg</f>
        <v>8.3757906087914794E-4</v>
      </c>
      <c r="AL164" s="23">
        <f>Constants!$H34*'Activity data'!AL12*Constants!$H52*EF!$H213*MMVolatEF*NtoN2O*kgtoGg</f>
        <v>8.2885666497094993E-4</v>
      </c>
      <c r="AM164" s="23">
        <f>Constants!$H34*'Activity data'!AM12*Constants!$H52*EF!$H213*MMVolatEF*NtoN2O*kgtoGg</f>
        <v>8.2709475699500185E-4</v>
      </c>
      <c r="AN164" s="23">
        <f>Constants!$H34*'Activity data'!AN12*Constants!$H52*EF!$H213*MMVolatEF*NtoN2O*kgtoGg</f>
        <v>8.2527088066909203E-4</v>
      </c>
      <c r="AO164" s="23">
        <f>Constants!$H34*'Activity data'!AO12*Constants!$H52*EF!$H213*MMVolatEF*NtoN2O*kgtoGg</f>
        <v>8.2346091455591324E-4</v>
      </c>
      <c r="AP164" s="23">
        <f>Constants!$H34*'Activity data'!AP12*Constants!$H52*EF!$H213*MMVolatEF*NtoN2O*kgtoGg</f>
        <v>8.2159760227961082E-4</v>
      </c>
      <c r="AQ164" s="23">
        <f>Constants!$H34*'Activity data'!AQ12*Constants!$H52*EF!$H213*MMVolatEF*NtoN2O*kgtoGg</f>
        <v>8.197961659974144E-4</v>
      </c>
      <c r="AR164" s="23">
        <f>Constants!$H34*'Activity data'!AR12*Constants!$H52*EF!$H213*MMVolatEF*NtoN2O*kgtoGg</f>
        <v>8.1800151564044154E-4</v>
      </c>
      <c r="AS164" s="23">
        <f>Constants!$H34*'Activity data'!AS12*Constants!$H52*EF!$H213*MMVolatEF*NtoN2O*kgtoGg</f>
        <v>8.1619045909453469E-4</v>
      </c>
      <c r="AT164" s="23">
        <f>Constants!$H34*'Activity data'!AT12*Constants!$H52*EF!$H213*MMVolatEF*NtoN2O*kgtoGg</f>
        <v>8.1446315746927218E-4</v>
      </c>
      <c r="AU164" s="23">
        <f>Constants!$H34*'Activity data'!AU12*Constants!$H52*EF!$H213*MMVolatEF*NtoN2O*kgtoGg</f>
        <v>8.1279804685639224E-4</v>
      </c>
      <c r="AV164" s="23">
        <f>Constants!$H34*'Activity data'!AV12*Constants!$H52*EF!$H213*MMVolatEF*NtoN2O*kgtoGg</f>
        <v>8.1120080358887371E-4</v>
      </c>
      <c r="AW164" s="23">
        <f>Constants!$H34*'Activity data'!AW12*Constants!$H52*EF!$H213*MMVolatEF*NtoN2O*kgtoGg</f>
        <v>8.1012391644536452E-4</v>
      </c>
      <c r="AX164" s="23">
        <f>Constants!$H34*'Activity data'!AX12*Constants!$H52*EF!$H213*MMVolatEF*NtoN2O*kgtoGg</f>
        <v>8.089354540168778E-4</v>
      </c>
      <c r="AY164" s="23">
        <f>Constants!$H34*'Activity data'!AY12*Constants!$H52*EF!$H213*MMVolatEF*NtoN2O*kgtoGg</f>
        <v>8.0799864939360669E-4</v>
      </c>
      <c r="AZ164" s="23">
        <f>Constants!$H34*'Activity data'!AZ12*Constants!$H52*EF!$H213*MMVolatEF*NtoN2O*kgtoGg</f>
        <v>8.0723777563231438E-4</v>
      </c>
      <c r="BA164" s="23">
        <f>Constants!$H34*'Activity data'!BA12*Constants!$H52*EF!$H213*MMVolatEF*NtoN2O*kgtoGg</f>
        <v>8.0666235479740856E-4</v>
      </c>
      <c r="BB164" s="23">
        <f>Constants!$H34*'Activity data'!BB12*Constants!$H52*EF!$H213*MMVolatEF*NtoN2O*kgtoGg</f>
        <v>8.060358936961417E-4</v>
      </c>
      <c r="BC164" s="23">
        <f>Constants!$H34*'Activity data'!BC12*Constants!$H52*EF!$H213*MMVolatEF*NtoN2O*kgtoGg</f>
        <v>8.0553699260831708E-4</v>
      </c>
      <c r="BD164" s="23">
        <f>Constants!$H34*'Activity data'!BD12*Constants!$H52*EF!$H213*MMVolatEF*NtoN2O*kgtoGg</f>
        <v>8.0508547960800076E-4</v>
      </c>
      <c r="BE164" s="23">
        <f>Constants!$H34*'Activity data'!BE12*Constants!$H52*EF!$H213*MMVolatEF*NtoN2O*kgtoGg</f>
        <v>8.047627295542215E-4</v>
      </c>
      <c r="BF164" s="23">
        <f>Constants!$H34*'Activity data'!BF12*Constants!$H52*EF!$H213*MMVolatEF*NtoN2O*kgtoGg</f>
        <v>8.0464079665226165E-4</v>
      </c>
      <c r="BG164" s="23">
        <f>Constants!$H34*'Activity data'!BG12*Constants!$H52*EF!$H213*MMVolatEF*NtoN2O*kgtoGg</f>
        <v>8.041527074539879E-4</v>
      </c>
      <c r="BH164" s="23">
        <f>Constants!$H34*'Activity data'!BH12*Constants!$H52*EF!$H213*MMVolatEF*NtoN2O*kgtoGg</f>
        <v>8.0381877918483035E-4</v>
      </c>
      <c r="BI164" s="23">
        <f>Constants!$H34*'Activity data'!BI12*Constants!$H52*EF!$H213*MMVolatEF*NtoN2O*kgtoGg</f>
        <v>8.0363022370764708E-4</v>
      </c>
      <c r="BJ164" s="23">
        <f>Constants!$H34*'Activity data'!BJ12*Constants!$H52*EF!$H213*MMVolatEF*NtoN2O*kgtoGg</f>
        <v>8.0360873286916535E-4</v>
      </c>
      <c r="BK164" s="23">
        <f>Constants!$H34*'Activity data'!BK12*Constants!$H52*EF!$H213*MMVolatEF*NtoN2O*kgtoGg</f>
        <v>8.0384030891585232E-4</v>
      </c>
      <c r="BL164" s="23">
        <f>Constants!$H34*'Activity data'!BL12*Constants!$H52*EF!$H213*MMVolatEF*NtoN2O*kgtoGg</f>
        <v>8.0443161346528008E-4</v>
      </c>
      <c r="BM164" s="23">
        <f>Constants!$H34*'Activity data'!BM12*Constants!$H52*EF!$H213*MMVolatEF*NtoN2O*kgtoGg</f>
        <v>8.0524111938029303E-4</v>
      </c>
      <c r="BN164" s="23">
        <f>Constants!$H34*'Activity data'!BN12*Constants!$H52*EF!$H213*MMVolatEF*NtoN2O*kgtoGg</f>
        <v>8.0610534252654347E-4</v>
      </c>
      <c r="BO164" s="23">
        <f>Constants!$H34*'Activity data'!BO12*Constants!$H52*EF!$H213*MMVolatEF*NtoN2O*kgtoGg</f>
        <v>8.0720754309312537E-4</v>
      </c>
      <c r="BP164" s="23">
        <f>Constants!$H34*'Activity data'!BP12*Constants!$H52*EF!$H213*MMVolatEF*NtoN2O*kgtoGg</f>
        <v>8.0856757989598946E-4</v>
      </c>
    </row>
    <row r="165" spans="1:68" x14ac:dyDescent="0.25">
      <c r="A165" t="str">
        <f t="shared" si="58"/>
        <v>3C Aggregated and non-CO2 emissions on land</v>
      </c>
      <c r="B165" t="str">
        <f t="shared" si="62"/>
        <v>3C6 Indirect N2O from manure management (N2O)</v>
      </c>
      <c r="C165" t="str">
        <f t="shared" si="63"/>
        <v>Volatilisation</v>
      </c>
      <c r="D165" t="str">
        <f>'Activity data'!D74</f>
        <v xml:space="preserve"> - Commercial goats</v>
      </c>
      <c r="E165" t="str">
        <f t="shared" si="61"/>
        <v>Volatilisation - Commercial goats</v>
      </c>
      <c r="F165" t="str">
        <f t="shared" si="47"/>
        <v>N2O</v>
      </c>
      <c r="G165" t="str">
        <f t="shared" si="48"/>
        <v>Gg N2O</v>
      </c>
      <c r="H165" s="23">
        <f>Constants!$H35*'Activity data'!H13*Constants!$H53*EF!$H214*MMVolatEF*NtoN2O*kgtoGg</f>
        <v>1.9430751682320126E-5</v>
      </c>
      <c r="I165" s="23">
        <f>Constants!$H35*'Activity data'!I13*Constants!$H53*EF!$H214*MMVolatEF*NtoN2O*kgtoGg</f>
        <v>1.7182276091107166E-5</v>
      </c>
      <c r="J165" s="23">
        <f>Constants!$H35*'Activity data'!J13*Constants!$H53*EF!$H214*MMVolatEF*NtoN2O*kgtoGg</f>
        <v>1.6005503819070468E-5</v>
      </c>
      <c r="K165" s="23">
        <f>Constants!$H35*'Activity data'!K13*Constants!$H53*EF!$H214*MMVolatEF*NtoN2O*kgtoGg</f>
        <v>1.5122924615042945E-5</v>
      </c>
      <c r="L165" s="23">
        <f>Constants!$H35*'Activity data'!L13*Constants!$H53*EF!$H214*MMVolatEF*NtoN2O*kgtoGg</f>
        <v>1.6369742855653251E-5</v>
      </c>
      <c r="M165" s="23">
        <f>Constants!$H35*'Activity data'!M13*Constants!$H53*EF!$H214*MMVolatEF*NtoN2O*kgtoGg</f>
        <v>1.6593889955088815E-5</v>
      </c>
      <c r="N165" s="23">
        <f>Constants!$H35*'Activity data'!N13*Constants!$H53*EF!$H214*MMVolatEF*NtoN2O*kgtoGg</f>
        <v>1.6853060038811182E-5</v>
      </c>
      <c r="O165" s="23">
        <f>Constants!$H35*'Activity data'!O13*Constants!$H53*EF!$H214*MMVolatEF*NtoN2O*kgtoGg</f>
        <v>1.6769004876522849E-5</v>
      </c>
      <c r="P165" s="23">
        <f>Constants!$H35*'Activity data'!P13*Constants!$H53*EF!$H214*MMVolatEF*NtoN2O*kgtoGg</f>
        <v>1.6530848583372566E-5</v>
      </c>
      <c r="Q165" s="23">
        <f>Constants!$H35*'Activity data'!Q13*Constants!$H53*EF!$H214*MMVolatEF*NtoN2O*kgtoGg</f>
        <v>1.6285687693364925E-5</v>
      </c>
      <c r="R165" s="23">
        <f>Constants!$H35*'Activity data'!R13*Constants!$H53*EF!$H214*MMVolatEF*NtoN2O*kgtoGg</f>
        <v>1.6495825599085754E-5</v>
      </c>
      <c r="S165" s="23">
        <f>Constants!$H35*'Activity data'!S13*Constants!$H53*EF!$H214*MMVolatEF*NtoN2O*kgtoGg</f>
        <v>1.7000156572815771E-5</v>
      </c>
      <c r="T165" s="23">
        <f>Constants!$H35*'Activity data'!T13*Constants!$H53*EF!$H214*MMVolatEF*NtoN2O*kgtoGg</f>
        <v>1.5522186635912543E-5</v>
      </c>
      <c r="U165" s="23">
        <f>Constants!$H35*'Activity data'!U13*Constants!$H53*EF!$H214*MMVolatEF*NtoN2O*kgtoGg</f>
        <v>1.5129929211900313E-5</v>
      </c>
      <c r="V165" s="23">
        <f>Constants!$H35*'Activity data'!V13*Constants!$H53*EF!$H214*MMVolatEF*NtoN2O*kgtoGg</f>
        <v>1.5157947599329762E-5</v>
      </c>
      <c r="W165" s="23">
        <f>Constants!$H35*'Activity data'!W13*Constants!$H53*EF!$H214*MMVolatEF*NtoN2O*kgtoGg</f>
        <v>1.496181888732364E-5</v>
      </c>
      <c r="X165" s="23">
        <f>Constants!$H35*'Activity data'!X13*Constants!$H53*EF!$H214*MMVolatEF*NtoN2O*kgtoGg</f>
        <v>1.5277025745904899E-5</v>
      </c>
      <c r="Y165" s="23">
        <f>Constants!$H35*'Activity data'!Y13*Constants!$H53*EF!$H214*MMVolatEF*NtoN2O*kgtoGg</f>
        <v>1.4821726950176417E-5</v>
      </c>
      <c r="Z165" s="23">
        <f>Constants!$H35*'Activity data'!Z13*Constants!$H53*EF!$H214*MMVolatEF*NtoN2O*kgtoGg</f>
        <v>1.4807717756461697E-5</v>
      </c>
      <c r="AA165" s="23">
        <f>Constants!$H35*'Activity data'!AA13*Constants!$H53*EF!$H214*MMVolatEF*NtoN2O*kgtoGg</f>
        <v>1.454854767273933E-5</v>
      </c>
      <c r="AB165" s="23">
        <f>Constants!$H35*'Activity data'!AB13*Constants!$H53*EF!$H214*MMVolatEF*NtoN2O*kgtoGg</f>
        <v>1.4373432751305298E-5</v>
      </c>
      <c r="AC165" s="23">
        <f>Constants!$H35*'Activity data'!AC13*Constants!$H53*EF!$H214*MMVolatEF*NtoN2O*kgtoGg</f>
        <v>1.4240345411015434E-5</v>
      </c>
      <c r="AD165" s="23">
        <f>Constants!$H35*'Activity data'!AD13*Constants!$H53*EF!$H214*MMVolatEF*NtoN2O*kgtoGg</f>
        <v>1.4205322426728627E-5</v>
      </c>
      <c r="AE165" s="23">
        <f>Constants!$H35*'Activity data'!AE13*Constants!$H53*EF!$H214*MMVolatEF*NtoN2O*kgtoGg</f>
        <v>1.4044216699009319E-5</v>
      </c>
      <c r="AF165" s="23">
        <f>Constants!$H35*'Activity data'!AF13*Constants!$H53*EF!$H214*MMVolatEF*NtoN2O*kgtoGg</f>
        <v>1.3918133955576816E-5</v>
      </c>
      <c r="AG165" s="23">
        <f>Constants!$H35*'Activity data'!AG13*Constants!$H53*EF!$H214*MMVolatEF*NtoN2O*kgtoGg</f>
        <v>1.3729009840428062E-5</v>
      </c>
      <c r="AH165" s="23">
        <f>Constants!$H35*'Activity data'!AH13*Constants!$H53*EF!$H214*MMVolatEF*NtoN2O*kgtoGg</f>
        <v>1.3315738625843743E-5</v>
      </c>
      <c r="AI165" s="23">
        <f>Constants!$H35*'Activity data'!AI13*Constants!$H53*EF!$H214*MMVolatEF*NtoN2O*kgtoGg</f>
        <v>1.2909472008116794E-5</v>
      </c>
      <c r="AJ165" s="23">
        <f>Constants!$H35*'Activity data'!AJ13*Constants!$H53*EF!$H214*MMVolatEF*NtoN2O*kgtoGg</f>
        <v>1.4750068001263592E-5</v>
      </c>
      <c r="AK165" s="23">
        <f>Constants!$H35*'Activity data'!AK13*Constants!$H53*EF!$H214*MMVolatEF*NtoN2O*kgtoGg</f>
        <v>1.4707545305678449E-5</v>
      </c>
      <c r="AL165" s="23">
        <f>Constants!$H35*'Activity data'!AL13*Constants!$H53*EF!$H214*MMVolatEF*NtoN2O*kgtoGg</f>
        <v>1.4666466384287625E-5</v>
      </c>
      <c r="AM165" s="23">
        <f>Constants!$H35*'Activity data'!AM13*Constants!$H53*EF!$H214*MMVolatEF*NtoN2O*kgtoGg</f>
        <v>1.4623151863248565E-5</v>
      </c>
      <c r="AN165" s="23">
        <f>Constants!$H35*'Activity data'!AN13*Constants!$H53*EF!$H214*MMVolatEF*NtoN2O*kgtoGg</f>
        <v>1.4579852019324153E-5</v>
      </c>
      <c r="AO165" s="23">
        <f>Constants!$H35*'Activity data'!AO13*Constants!$H53*EF!$H214*MMVolatEF*NtoN2O*kgtoGg</f>
        <v>1.4536548880967044E-5</v>
      </c>
      <c r="AP165" s="23">
        <f>Constants!$H35*'Activity data'!AP13*Constants!$H53*EF!$H214*MMVolatEF*NtoN2O*kgtoGg</f>
        <v>1.4493258376877116E-5</v>
      </c>
      <c r="AQ165" s="23">
        <f>Constants!$H35*'Activity data'!AQ13*Constants!$H53*EF!$H214*MMVolatEF*NtoN2O*kgtoGg</f>
        <v>1.4449953217545686E-5</v>
      </c>
      <c r="AR165" s="23">
        <f>Constants!$H35*'Activity data'!AR13*Constants!$H53*EF!$H214*MMVolatEF*NtoN2O*kgtoGg</f>
        <v>1.4402999537553807E-5</v>
      </c>
      <c r="AS165" s="23">
        <f>Constants!$H35*'Activity data'!AS13*Constants!$H53*EF!$H214*MMVolatEF*NtoN2O*kgtoGg</f>
        <v>1.4356049743130489E-5</v>
      </c>
      <c r="AT165" s="23">
        <f>Constants!$H35*'Activity data'!AT13*Constants!$H53*EF!$H214*MMVolatEF*NtoN2O*kgtoGg</f>
        <v>1.4309080112565573E-5</v>
      </c>
      <c r="AU165" s="23">
        <f>Constants!$H35*'Activity data'!AU13*Constants!$H53*EF!$H214*MMVolatEF*NtoN2O*kgtoGg</f>
        <v>1.4262095752958851E-5</v>
      </c>
      <c r="AV165" s="23">
        <f>Constants!$H35*'Activity data'!AV13*Constants!$H53*EF!$H214*MMVolatEF*NtoN2O*kgtoGg</f>
        <v>1.4215095319952954E-5</v>
      </c>
      <c r="AW165" s="23">
        <f>Constants!$H35*'Activity data'!AW13*Constants!$H53*EF!$H214*MMVolatEF*NtoN2O*kgtoGg</f>
        <v>1.4169580162013423E-5</v>
      </c>
      <c r="AX165" s="23">
        <f>Constants!$H35*'Activity data'!AX13*Constants!$H53*EF!$H214*MMVolatEF*NtoN2O*kgtoGg</f>
        <v>1.4124091429873632E-5</v>
      </c>
      <c r="AY165" s="23">
        <f>Constants!$H35*'Activity data'!AY13*Constants!$H53*EF!$H214*MMVolatEF*NtoN2O*kgtoGg</f>
        <v>1.4078543095415209E-5</v>
      </c>
      <c r="AZ165" s="23">
        <f>Constants!$H35*'Activity data'!AZ13*Constants!$H53*EF!$H214*MMVolatEF*NtoN2O*kgtoGg</f>
        <v>1.4032953095083857E-5</v>
      </c>
      <c r="BA165" s="23">
        <f>Constants!$H35*'Activity data'!BA13*Constants!$H53*EF!$H214*MMVolatEF*NtoN2O*kgtoGg</f>
        <v>1.3987319172909119E-5</v>
      </c>
      <c r="BB165" s="23">
        <f>Constants!$H35*'Activity data'!BB13*Constants!$H53*EF!$H214*MMVolatEF*NtoN2O*kgtoGg</f>
        <v>1.3939897897321148E-5</v>
      </c>
      <c r="BC165" s="23">
        <f>Constants!$H35*'Activity data'!BC13*Constants!$H53*EF!$H214*MMVolatEF*NtoN2O*kgtoGg</f>
        <v>1.3892446410988909E-5</v>
      </c>
      <c r="BD165" s="23">
        <f>Constants!$H35*'Activity data'!BD13*Constants!$H53*EF!$H214*MMVolatEF*NtoN2O*kgtoGg</f>
        <v>1.3844983702280748E-5</v>
      </c>
      <c r="BE165" s="23">
        <f>Constants!$H35*'Activity data'!BE13*Constants!$H53*EF!$H214*MMVolatEF*NtoN2O*kgtoGg</f>
        <v>1.379749049712379E-5</v>
      </c>
      <c r="BF165" s="23">
        <f>Constants!$H35*'Activity data'!BF13*Constants!$H53*EF!$H214*MMVolatEF*NtoN2O*kgtoGg</f>
        <v>1.3749949731328864E-5</v>
      </c>
      <c r="BG165" s="23">
        <f>Constants!$H35*'Activity data'!BG13*Constants!$H53*EF!$H214*MMVolatEF*NtoN2O*kgtoGg</f>
        <v>1.3695763231108509E-5</v>
      </c>
      <c r="BH165" s="23">
        <f>Constants!$H35*'Activity data'!BH13*Constants!$H53*EF!$H214*MMVolatEF*NtoN2O*kgtoGg</f>
        <v>1.364154022090896E-5</v>
      </c>
      <c r="BI165" s="23">
        <f>Constants!$H35*'Activity data'!BI13*Constants!$H53*EF!$H214*MMVolatEF*NtoN2O*kgtoGg</f>
        <v>1.3587282780458953E-5</v>
      </c>
      <c r="BJ165" s="23">
        <f>Constants!$H35*'Activity data'!BJ13*Constants!$H53*EF!$H214*MMVolatEF*NtoN2O*kgtoGg</f>
        <v>1.3532985773165546E-5</v>
      </c>
      <c r="BK165" s="23">
        <f>Constants!$H35*'Activity data'!BK13*Constants!$H53*EF!$H214*MMVolatEF*NtoN2O*kgtoGg</f>
        <v>1.3478628830640527E-5</v>
      </c>
      <c r="BL165" s="23">
        <f>Constants!$H35*'Activity data'!BL13*Constants!$H53*EF!$H214*MMVolatEF*NtoN2O*kgtoGg</f>
        <v>1.342610323818184E-5</v>
      </c>
      <c r="BM165" s="23">
        <f>Constants!$H35*'Activity data'!BM13*Constants!$H53*EF!$H214*MMVolatEF*NtoN2O*kgtoGg</f>
        <v>1.3373525967885589E-5</v>
      </c>
      <c r="BN165" s="23">
        <f>Constants!$H35*'Activity data'!BN13*Constants!$H53*EF!$H214*MMVolatEF*NtoN2O*kgtoGg</f>
        <v>1.3320935737797278E-5</v>
      </c>
      <c r="BO165" s="23">
        <f>Constants!$H35*'Activity data'!BO13*Constants!$H53*EF!$H214*MMVolatEF*NtoN2O*kgtoGg</f>
        <v>1.3268289147006079E-5</v>
      </c>
      <c r="BP165" s="23">
        <f>Constants!$H35*'Activity data'!BP13*Constants!$H53*EF!$H214*MMVolatEF*NtoN2O*kgtoGg</f>
        <v>1.321558149143143E-5</v>
      </c>
    </row>
    <row r="166" spans="1:68" x14ac:dyDescent="0.25">
      <c r="A166" t="str">
        <f t="shared" si="58"/>
        <v>3C Aggregated and non-CO2 emissions on land</v>
      </c>
      <c r="B166" t="str">
        <f t="shared" si="62"/>
        <v>3C6 Indirect N2O from manure management (N2O)</v>
      </c>
      <c r="C166" t="str">
        <f t="shared" si="63"/>
        <v>Volatilisation</v>
      </c>
      <c r="D166" t="str">
        <f>'Activity data'!D75</f>
        <v xml:space="preserve"> - Subsistence goats</v>
      </c>
      <c r="E166" t="str">
        <f t="shared" si="61"/>
        <v>Volatilisation - Subsistence goats</v>
      </c>
      <c r="F166" t="str">
        <f t="shared" si="47"/>
        <v>N2O</v>
      </c>
      <c r="G166" t="str">
        <f t="shared" si="48"/>
        <v>Gg N2O</v>
      </c>
      <c r="H166" s="23">
        <f>Constants!$H36*'Activity data'!H14*Constants!$H54*EF!$H215*MMVolatEF*NtoN2O*kgtoGg</f>
        <v>2.0115874261686147E-3</v>
      </c>
      <c r="I166" s="23">
        <f>Constants!$H36*'Activity data'!I14*Constants!$H54*EF!$H215*MMVolatEF*NtoN2O*kgtoGg</f>
        <v>1.7788118083603506E-3</v>
      </c>
      <c r="J166" s="23">
        <f>Constants!$H36*'Activity data'!J14*Constants!$H54*EF!$H215*MMVolatEF*NtoN2O*kgtoGg</f>
        <v>1.6569853167971468E-3</v>
      </c>
      <c r="K166" s="23">
        <f>Constants!$H36*'Activity data'!K14*Constants!$H54*EF!$H215*MMVolatEF*NtoN2O*kgtoGg</f>
        <v>1.5656154481247439E-3</v>
      </c>
      <c r="L166" s="23">
        <f>Constants!$H36*'Activity data'!L14*Constants!$H54*EF!$H215*MMVolatEF*NtoN2O*kgtoGg</f>
        <v>1.6946935165667099E-3</v>
      </c>
      <c r="M166" s="23">
        <f>Constants!$H36*'Activity data'!M14*Constants!$H54*EF!$H215*MMVolatEF*NtoN2O*kgtoGg</f>
        <v>1.7178985625787488E-3</v>
      </c>
      <c r="N166" s="23">
        <f>Constants!$H36*'Activity data'!N14*Constants!$H54*EF!$H215*MMVolatEF*NtoN2O*kgtoGg</f>
        <v>1.7447293970301691E-3</v>
      </c>
      <c r="O166" s="23">
        <f>Constants!$H36*'Activity data'!O14*Constants!$H54*EF!$H215*MMVolatEF*NtoN2O*kgtoGg</f>
        <v>1.736027504775654E-3</v>
      </c>
      <c r="P166" s="23">
        <f>Constants!$H36*'Activity data'!P14*Constants!$H54*EF!$H215*MMVolatEF*NtoN2O*kgtoGg</f>
        <v>1.7113721433878628E-3</v>
      </c>
      <c r="Q166" s="23">
        <f>Constants!$H36*'Activity data'!Q14*Constants!$H54*EF!$H215*MMVolatEF*NtoN2O*kgtoGg</f>
        <v>1.6859916243121954E-3</v>
      </c>
      <c r="R166" s="23">
        <f>Constants!$H36*'Activity data'!R14*Constants!$H54*EF!$H215*MMVolatEF*NtoN2O*kgtoGg</f>
        <v>1.7077463549484819E-3</v>
      </c>
      <c r="S166" s="23">
        <f>Constants!$H36*'Activity data'!S14*Constants!$H54*EF!$H215*MMVolatEF*NtoN2O*kgtoGg</f>
        <v>1.7599577084755692E-3</v>
      </c>
      <c r="T166" s="23">
        <f>Constants!$H36*'Activity data'!T14*Constants!$H54*EF!$H215*MMVolatEF*NtoN2O*kgtoGg</f>
        <v>1.6069494363336882E-3</v>
      </c>
      <c r="U166" s="23">
        <f>Constants!$H36*'Activity data'!U14*Constants!$H54*EF!$H215*MMVolatEF*NtoN2O*kgtoGg</f>
        <v>1.5663406058126202E-3</v>
      </c>
      <c r="V166" s="23">
        <f>Constants!$H36*'Activity data'!V14*Constants!$H54*EF!$H215*MMVolatEF*NtoN2O*kgtoGg</f>
        <v>1.5692412365641251E-3</v>
      </c>
      <c r="W166" s="23">
        <f>Constants!$H36*'Activity data'!W14*Constants!$H54*EF!$H215*MMVolatEF*NtoN2O*kgtoGg</f>
        <v>1.5489368213035912E-3</v>
      </c>
      <c r="X166" s="23">
        <f>Constants!$H36*'Activity data'!X14*Constants!$H54*EF!$H215*MMVolatEF*NtoN2O*kgtoGg</f>
        <v>1.5815689172580208E-3</v>
      </c>
      <c r="Y166" s="23">
        <f>Constants!$H36*'Activity data'!Y14*Constants!$H54*EF!$H215*MMVolatEF*NtoN2O*kgtoGg</f>
        <v>1.534433667546067E-3</v>
      </c>
      <c r="Z166" s="23">
        <f>Constants!$H36*'Activity data'!Z14*Constants!$H54*EF!$H215*MMVolatEF*NtoN2O*kgtoGg</f>
        <v>1.5329833521703141E-3</v>
      </c>
      <c r="AA166" s="23">
        <f>Constants!$H36*'Activity data'!AA14*Constants!$H54*EF!$H215*MMVolatEF*NtoN2O*kgtoGg</f>
        <v>1.5061525177188946E-3</v>
      </c>
      <c r="AB166" s="23">
        <f>Constants!$H36*'Activity data'!AB14*Constants!$H54*EF!$H215*MMVolatEF*NtoN2O*kgtoGg</f>
        <v>1.4880235755219894E-3</v>
      </c>
      <c r="AC166" s="23">
        <f>Constants!$H36*'Activity data'!AC14*Constants!$H54*EF!$H215*MMVolatEF*NtoN2O*kgtoGg</f>
        <v>1.4742455794523413E-3</v>
      </c>
      <c r="AD166" s="23">
        <f>Constants!$H36*'Activity data'!AD14*Constants!$H54*EF!$H215*MMVolatEF*NtoN2O*kgtoGg</f>
        <v>1.47061979101296E-3</v>
      </c>
      <c r="AE166" s="23">
        <f>Constants!$H36*'Activity data'!AE14*Constants!$H54*EF!$H215*MMVolatEF*NtoN2O*kgtoGg</f>
        <v>1.4539411641918073E-3</v>
      </c>
      <c r="AF166" s="23">
        <f>Constants!$H36*'Activity data'!AF14*Constants!$H54*EF!$H215*MMVolatEF*NtoN2O*kgtoGg</f>
        <v>1.4408883258100356E-3</v>
      </c>
      <c r="AG166" s="23">
        <f>Constants!$H36*'Activity data'!AG14*Constants!$H54*EF!$H215*MMVolatEF*NtoN2O*kgtoGg</f>
        <v>1.4213090682373775E-3</v>
      </c>
      <c r="AH166" s="23">
        <f>Constants!$H36*'Activity data'!AH14*Constants!$H54*EF!$H215*MMVolatEF*NtoN2O*kgtoGg</f>
        <v>1.3785247646526811E-3</v>
      </c>
      <c r="AI166" s="23">
        <f>Constants!$H36*'Activity data'!AI14*Constants!$H54*EF!$H215*MMVolatEF*NtoN2O*kgtoGg</f>
        <v>1.336465618755861E-3</v>
      </c>
      <c r="AJ166" s="23">
        <f>Constants!$H36*'Activity data'!AJ14*Constants!$H54*EF!$H215*MMVolatEF*NtoN2O*kgtoGg</f>
        <v>1.3602536130556172E-3</v>
      </c>
      <c r="AK166" s="23">
        <f>Constants!$H36*'Activity data'!AK14*Constants!$H54*EF!$H215*MMVolatEF*NtoN2O*kgtoGg</f>
        <v>1.345528770014624E-3</v>
      </c>
      <c r="AL166" s="23">
        <f>Constants!$H36*'Activity data'!AL14*Constants!$H54*EF!$H215*MMVolatEF*NtoN2O*kgtoGg</f>
        <v>1.3308039269736309E-3</v>
      </c>
      <c r="AM166" s="23">
        <f>Constants!$H36*'Activity data'!AM14*Constants!$H54*EF!$H215*MMVolatEF*NtoN2O*kgtoGg</f>
        <v>1.3158787097203026E-3</v>
      </c>
      <c r="AN166" s="23">
        <f>Constants!$H36*'Activity data'!AN14*Constants!$H54*EF!$H215*MMVolatEF*NtoN2O*kgtoGg</f>
        <v>1.3009534927424695E-3</v>
      </c>
      <c r="AO166" s="23">
        <f>Constants!$H36*'Activity data'!AO14*Constants!$H54*EF!$H215*MMVolatEF*NtoN2O*kgtoGg</f>
        <v>1.2860282757646366E-3</v>
      </c>
      <c r="AP166" s="23">
        <f>Constants!$H36*'Activity data'!AP14*Constants!$H54*EF!$H215*MMVolatEF*NtoN2O*kgtoGg</f>
        <v>1.2711030587868035E-3</v>
      </c>
      <c r="AQ166" s="23">
        <f>Constants!$H36*'Activity data'!AQ14*Constants!$H54*EF!$H215*MMVolatEF*NtoN2O*kgtoGg</f>
        <v>1.2561778415334751E-3</v>
      </c>
      <c r="AR166" s="23">
        <f>Constants!$H36*'Activity data'!AR14*Constants!$H54*EF!$H215*MMVolatEF*NtoN2O*kgtoGg</f>
        <v>1.2400079699972973E-3</v>
      </c>
      <c r="AS166" s="23">
        <f>Constants!$H36*'Activity data'!AS14*Constants!$H54*EF!$H215*MMVolatEF*NtoN2O*kgtoGg</f>
        <v>1.2238380984611198E-3</v>
      </c>
      <c r="AT166" s="23">
        <f>Constants!$H36*'Activity data'!AT14*Constants!$H54*EF!$H215*MMVolatEF*NtoN2O*kgtoGg</f>
        <v>1.2076682269249424E-3</v>
      </c>
      <c r="AU166" s="23">
        <f>Constants!$H36*'Activity data'!AU14*Constants!$H54*EF!$H215*MMVolatEF*NtoN2O*kgtoGg</f>
        <v>1.1914983553887649E-3</v>
      </c>
      <c r="AV166" s="23">
        <f>Constants!$H36*'Activity data'!AV14*Constants!$H54*EF!$H215*MMVolatEF*NtoN2O*kgtoGg</f>
        <v>1.1753284838525876E-3</v>
      </c>
      <c r="AW166" s="23">
        <f>Constants!$H36*'Activity data'!AW14*Constants!$H54*EF!$H215*MMVolatEF*NtoN2O*kgtoGg</f>
        <v>1.1597075816554073E-3</v>
      </c>
      <c r="AX166" s="23">
        <f>Constants!$H36*'Activity data'!AX14*Constants!$H54*EF!$H215*MMVolatEF*NtoN2O*kgtoGg</f>
        <v>1.1440866797337232E-3</v>
      </c>
      <c r="AY166" s="23">
        <f>Constants!$H36*'Activity data'!AY14*Constants!$H54*EF!$H215*MMVolatEF*NtoN2O*kgtoGg</f>
        <v>1.1284657775365431E-3</v>
      </c>
      <c r="AZ166" s="23">
        <f>Constants!$H36*'Activity data'!AZ14*Constants!$H54*EF!$H215*MMVolatEF*NtoN2O*kgtoGg</f>
        <v>1.112844875614859E-3</v>
      </c>
      <c r="BA166" s="23">
        <f>Constants!$H36*'Activity data'!BA14*Constants!$H54*EF!$H215*MMVolatEF*NtoN2O*kgtoGg</f>
        <v>1.0972239736931752E-3</v>
      </c>
      <c r="BB166" s="23">
        <f>Constants!$H36*'Activity data'!BB14*Constants!$H54*EF!$H215*MMVolatEF*NtoN2O*kgtoGg</f>
        <v>1.0809889407701579E-3</v>
      </c>
      <c r="BC166" s="23">
        <f>Constants!$H36*'Activity data'!BC14*Constants!$H54*EF!$H215*MMVolatEF*NtoN2O*kgtoGg</f>
        <v>1.064753907847142E-3</v>
      </c>
      <c r="BD166" s="23">
        <f>Constants!$H36*'Activity data'!BD14*Constants!$H54*EF!$H215*MMVolatEF*NtoN2O*kgtoGg</f>
        <v>1.0485188751996213E-3</v>
      </c>
      <c r="BE166" s="23">
        <f>Constants!$H36*'Activity data'!BE14*Constants!$H54*EF!$H215*MMVolatEF*NtoN2O*kgtoGg</f>
        <v>1.0322838422766052E-3</v>
      </c>
      <c r="BF166" s="23">
        <f>Constants!$H36*'Activity data'!BF14*Constants!$H54*EF!$H215*MMVolatEF*NtoN2O*kgtoGg</f>
        <v>1.0160488093535888E-3</v>
      </c>
      <c r="BG166" s="23">
        <f>Constants!$H36*'Activity data'!BG14*Constants!$H54*EF!$H215*MMVolatEF*NtoN2O*kgtoGg</f>
        <v>9.9751605899315188E-4</v>
      </c>
      <c r="BH166" s="23">
        <f>Constants!$H36*'Activity data'!BH14*Constants!$H54*EF!$H215*MMVolatEF*NtoN2O*kgtoGg</f>
        <v>9.7898330890821075E-4</v>
      </c>
      <c r="BI166" s="23">
        <f>Constants!$H36*'Activity data'!BI14*Constants!$H54*EF!$H215*MMVolatEF*NtoN2O*kgtoGg</f>
        <v>9.6045055854777396E-4</v>
      </c>
      <c r="BJ166" s="23">
        <f>Constants!$H36*'Activity data'!BJ14*Constants!$H54*EF!$H215*MMVolatEF*NtoN2O*kgtoGg</f>
        <v>9.4191780818733738E-4</v>
      </c>
      <c r="BK166" s="23">
        <f>Constants!$H36*'Activity data'!BK14*Constants!$H54*EF!$H215*MMVolatEF*NtoN2O*kgtoGg</f>
        <v>9.233850578269008E-4</v>
      </c>
      <c r="BL166" s="23">
        <f>Constants!$H36*'Activity data'!BL14*Constants!$H54*EF!$H215*MMVolatEF*NtoN2O*kgtoGg</f>
        <v>9.0550640520568079E-4</v>
      </c>
      <c r="BM166" s="23">
        <f>Constants!$H36*'Activity data'!BM14*Constants!$H54*EF!$H215*MMVolatEF*NtoN2O*kgtoGg</f>
        <v>8.8762775258446132E-4</v>
      </c>
      <c r="BN166" s="23">
        <f>Constants!$H36*'Activity data'!BN14*Constants!$H54*EF!$H215*MMVolatEF*NtoN2O*kgtoGg</f>
        <v>8.6974909968774586E-4</v>
      </c>
      <c r="BO166" s="23">
        <f>Constants!$H36*'Activity data'!BO14*Constants!$H54*EF!$H215*MMVolatEF*NtoN2O*kgtoGg</f>
        <v>8.5187044706652661E-4</v>
      </c>
      <c r="BP166" s="23">
        <f>Constants!$H36*'Activity data'!BP14*Constants!$H54*EF!$H215*MMVolatEF*NtoN2O*kgtoGg</f>
        <v>8.3399179444530703E-4</v>
      </c>
    </row>
    <row r="167" spans="1:68" x14ac:dyDescent="0.25">
      <c r="A167" t="str">
        <f t="shared" si="58"/>
        <v>3C Aggregated and non-CO2 emissions on land</v>
      </c>
      <c r="B167" t="str">
        <f t="shared" si="62"/>
        <v>3C6 Indirect N2O from manure management (N2O)</v>
      </c>
      <c r="C167" t="str">
        <f t="shared" si="63"/>
        <v>Volatilisation</v>
      </c>
      <c r="D167" t="str">
        <f>'Activity data'!D76</f>
        <v xml:space="preserve"> - Horses</v>
      </c>
      <c r="E167" t="str">
        <f t="shared" si="61"/>
        <v>Volatilisation - Horses</v>
      </c>
      <c r="F167" t="str">
        <f t="shared" si="47"/>
        <v>N2O</v>
      </c>
      <c r="G167" t="str">
        <f t="shared" si="48"/>
        <v>Gg N2O</v>
      </c>
      <c r="H167" s="23">
        <f>Constants!$H37*'Activity data'!H15*Constants!$H55*EF!$H216*MMVolatEF*NtoN2O*kgtoGg</f>
        <v>0</v>
      </c>
      <c r="I167" s="23">
        <f>Constants!$H37*'Activity data'!I15*Constants!$H55*EF!$H216*MMVolatEF*NtoN2O*kgtoGg</f>
        <v>0</v>
      </c>
      <c r="J167" s="23">
        <f>Constants!$H37*'Activity data'!J15*Constants!$H55*EF!$H216*MMVolatEF*NtoN2O*kgtoGg</f>
        <v>0</v>
      </c>
      <c r="K167" s="23">
        <f>Constants!$H37*'Activity data'!K15*Constants!$H55*EF!$H216*MMVolatEF*NtoN2O*kgtoGg</f>
        <v>0</v>
      </c>
      <c r="L167" s="23">
        <f>Constants!$H37*'Activity data'!L15*Constants!$H55*EF!$H216*MMVolatEF*NtoN2O*kgtoGg</f>
        <v>0</v>
      </c>
      <c r="M167" s="23">
        <f>Constants!$H37*'Activity data'!M15*Constants!$H55*EF!$H216*MMVolatEF*NtoN2O*kgtoGg</f>
        <v>0</v>
      </c>
      <c r="N167" s="23">
        <f>Constants!$H37*'Activity data'!N15*Constants!$H55*EF!$H216*MMVolatEF*NtoN2O*kgtoGg</f>
        <v>0</v>
      </c>
      <c r="O167" s="23">
        <f>Constants!$H37*'Activity data'!O15*Constants!$H55*EF!$H216*MMVolatEF*NtoN2O*kgtoGg</f>
        <v>0</v>
      </c>
      <c r="P167" s="23">
        <f>Constants!$H37*'Activity data'!P15*Constants!$H55*EF!$H216*MMVolatEF*NtoN2O*kgtoGg</f>
        <v>0</v>
      </c>
      <c r="Q167" s="23">
        <f>Constants!$H37*'Activity data'!Q15*Constants!$H55*EF!$H216*MMVolatEF*NtoN2O*kgtoGg</f>
        <v>0</v>
      </c>
      <c r="R167" s="23">
        <f>Constants!$H37*'Activity data'!R15*Constants!$H55*EF!$H216*MMVolatEF*NtoN2O*kgtoGg</f>
        <v>0</v>
      </c>
      <c r="S167" s="23">
        <f>Constants!$H37*'Activity data'!S15*Constants!$H55*EF!$H216*MMVolatEF*NtoN2O*kgtoGg</f>
        <v>0</v>
      </c>
      <c r="T167" s="23">
        <f>Constants!$H37*'Activity data'!T15*Constants!$H55*EF!$H216*MMVolatEF*NtoN2O*kgtoGg</f>
        <v>0</v>
      </c>
      <c r="U167" s="23">
        <f>Constants!$H37*'Activity data'!U15*Constants!$H55*EF!$H216*MMVolatEF*NtoN2O*kgtoGg</f>
        <v>0</v>
      </c>
      <c r="V167" s="23">
        <f>Constants!$H37*'Activity data'!V15*Constants!$H55*EF!$H216*MMVolatEF*NtoN2O*kgtoGg</f>
        <v>0</v>
      </c>
      <c r="W167" s="23">
        <f>Constants!$H37*'Activity data'!W15*Constants!$H55*EF!$H216*MMVolatEF*NtoN2O*kgtoGg</f>
        <v>0</v>
      </c>
      <c r="X167" s="23">
        <f>Constants!$H37*'Activity data'!X15*Constants!$H55*EF!$H216*MMVolatEF*NtoN2O*kgtoGg</f>
        <v>0</v>
      </c>
      <c r="Y167" s="23">
        <f>Constants!$H37*'Activity data'!Y15*Constants!$H55*EF!$H216*MMVolatEF*NtoN2O*kgtoGg</f>
        <v>0</v>
      </c>
      <c r="Z167" s="23">
        <f>Constants!$H37*'Activity data'!Z15*Constants!$H55*EF!$H216*MMVolatEF*NtoN2O*kgtoGg</f>
        <v>0</v>
      </c>
      <c r="AA167" s="23">
        <f>Constants!$H37*'Activity data'!AA15*Constants!$H55*EF!$H216*MMVolatEF*NtoN2O*kgtoGg</f>
        <v>0</v>
      </c>
      <c r="AB167" s="23">
        <f>Constants!$H37*'Activity data'!AB15*Constants!$H55*EF!$H216*MMVolatEF*NtoN2O*kgtoGg</f>
        <v>0</v>
      </c>
      <c r="AC167" s="23">
        <f>Constants!$H37*'Activity data'!AC15*Constants!$H55*EF!$H216*MMVolatEF*NtoN2O*kgtoGg</f>
        <v>0</v>
      </c>
      <c r="AD167" s="23">
        <f>Constants!$H37*'Activity data'!AD15*Constants!$H55*EF!$H216*MMVolatEF*NtoN2O*kgtoGg</f>
        <v>0</v>
      </c>
      <c r="AE167" s="23">
        <f>Constants!$H37*'Activity data'!AE15*Constants!$H55*EF!$H216*MMVolatEF*NtoN2O*kgtoGg</f>
        <v>0</v>
      </c>
      <c r="AF167" s="23">
        <f>Constants!$H37*'Activity data'!AF15*Constants!$H55*EF!$H216*MMVolatEF*NtoN2O*kgtoGg</f>
        <v>0</v>
      </c>
      <c r="AG167" s="23">
        <f>Constants!$H37*'Activity data'!AG15*Constants!$H55*EF!$H216*MMVolatEF*NtoN2O*kgtoGg</f>
        <v>0</v>
      </c>
      <c r="AH167" s="23">
        <f>Constants!$H37*'Activity data'!AH15*Constants!$H55*EF!$H216*MMVolatEF*NtoN2O*kgtoGg</f>
        <v>0</v>
      </c>
      <c r="AI167" s="23">
        <f>Constants!$H37*'Activity data'!AI15*Constants!$H55*EF!$H216*MMVolatEF*NtoN2O*kgtoGg</f>
        <v>0</v>
      </c>
      <c r="AJ167" s="23">
        <f>Constants!$H37*'Activity data'!AJ15*Constants!$H55*EF!$H216*MMVolatEF*NtoN2O*kgtoGg</f>
        <v>0</v>
      </c>
      <c r="AK167" s="23">
        <f>Constants!$H37*'Activity data'!AK15*Constants!$H55*EF!$H216*MMVolatEF*NtoN2O*kgtoGg</f>
        <v>0</v>
      </c>
      <c r="AL167" s="23">
        <f>Constants!$H37*'Activity data'!AL15*Constants!$H55*EF!$H216*MMVolatEF*NtoN2O*kgtoGg</f>
        <v>0</v>
      </c>
      <c r="AM167" s="23">
        <f>Constants!$H37*'Activity data'!AM15*Constants!$H55*EF!$H216*MMVolatEF*NtoN2O*kgtoGg</f>
        <v>0</v>
      </c>
      <c r="AN167" s="23">
        <f>Constants!$H37*'Activity data'!AN15*Constants!$H55*EF!$H216*MMVolatEF*NtoN2O*kgtoGg</f>
        <v>0</v>
      </c>
      <c r="AO167" s="23">
        <f>Constants!$H37*'Activity data'!AO15*Constants!$H55*EF!$H216*MMVolatEF*NtoN2O*kgtoGg</f>
        <v>0</v>
      </c>
      <c r="AP167" s="23">
        <f>Constants!$H37*'Activity data'!AP15*Constants!$H55*EF!$H216*MMVolatEF*NtoN2O*kgtoGg</f>
        <v>0</v>
      </c>
      <c r="AQ167" s="23">
        <f>Constants!$H37*'Activity data'!AQ15*Constants!$H55*EF!$H216*MMVolatEF*NtoN2O*kgtoGg</f>
        <v>0</v>
      </c>
      <c r="AR167" s="23">
        <f>Constants!$H37*'Activity data'!AR15*Constants!$H55*EF!$H216*MMVolatEF*NtoN2O*kgtoGg</f>
        <v>0</v>
      </c>
      <c r="AS167" s="23">
        <f>Constants!$H37*'Activity data'!AS15*Constants!$H55*EF!$H216*MMVolatEF*NtoN2O*kgtoGg</f>
        <v>0</v>
      </c>
      <c r="AT167" s="23">
        <f>Constants!$H37*'Activity data'!AT15*Constants!$H55*EF!$H216*MMVolatEF*NtoN2O*kgtoGg</f>
        <v>0</v>
      </c>
      <c r="AU167" s="23">
        <f>Constants!$H37*'Activity data'!AU15*Constants!$H55*EF!$H216*MMVolatEF*NtoN2O*kgtoGg</f>
        <v>0</v>
      </c>
      <c r="AV167" s="23">
        <f>Constants!$H37*'Activity data'!AV15*Constants!$H55*EF!$H216*MMVolatEF*NtoN2O*kgtoGg</f>
        <v>0</v>
      </c>
      <c r="AW167" s="23">
        <f>Constants!$H37*'Activity data'!AW15*Constants!$H55*EF!$H216*MMVolatEF*NtoN2O*kgtoGg</f>
        <v>0</v>
      </c>
      <c r="AX167" s="23">
        <f>Constants!$H37*'Activity data'!AX15*Constants!$H55*EF!$H216*MMVolatEF*NtoN2O*kgtoGg</f>
        <v>0</v>
      </c>
      <c r="AY167" s="23">
        <f>Constants!$H37*'Activity data'!AY15*Constants!$H55*EF!$H216*MMVolatEF*NtoN2O*kgtoGg</f>
        <v>0</v>
      </c>
      <c r="AZ167" s="23">
        <f>Constants!$H37*'Activity data'!AZ15*Constants!$H55*EF!$H216*MMVolatEF*NtoN2O*kgtoGg</f>
        <v>0</v>
      </c>
      <c r="BA167" s="23">
        <f>Constants!$H37*'Activity data'!BA15*Constants!$H55*EF!$H216*MMVolatEF*NtoN2O*kgtoGg</f>
        <v>0</v>
      </c>
      <c r="BB167" s="23">
        <f>Constants!$H37*'Activity data'!BB15*Constants!$H55*EF!$H216*MMVolatEF*NtoN2O*kgtoGg</f>
        <v>0</v>
      </c>
      <c r="BC167" s="23">
        <f>Constants!$H37*'Activity data'!BC15*Constants!$H55*EF!$H216*MMVolatEF*NtoN2O*kgtoGg</f>
        <v>0</v>
      </c>
      <c r="BD167" s="23">
        <f>Constants!$H37*'Activity data'!BD15*Constants!$H55*EF!$H216*MMVolatEF*NtoN2O*kgtoGg</f>
        <v>0</v>
      </c>
      <c r="BE167" s="23">
        <f>Constants!$H37*'Activity data'!BE15*Constants!$H55*EF!$H216*MMVolatEF*NtoN2O*kgtoGg</f>
        <v>0</v>
      </c>
      <c r="BF167" s="23">
        <f>Constants!$H37*'Activity data'!BF15*Constants!$H55*EF!$H216*MMVolatEF*NtoN2O*kgtoGg</f>
        <v>0</v>
      </c>
      <c r="BG167" s="23">
        <f>Constants!$H37*'Activity data'!BG15*Constants!$H55*EF!$H216*MMVolatEF*NtoN2O*kgtoGg</f>
        <v>0</v>
      </c>
      <c r="BH167" s="23">
        <f>Constants!$H37*'Activity data'!BH15*Constants!$H55*EF!$H216*MMVolatEF*NtoN2O*kgtoGg</f>
        <v>0</v>
      </c>
      <c r="BI167" s="23">
        <f>Constants!$H37*'Activity data'!BI15*Constants!$H55*EF!$H216*MMVolatEF*NtoN2O*kgtoGg</f>
        <v>0</v>
      </c>
      <c r="BJ167" s="23">
        <f>Constants!$H37*'Activity data'!BJ15*Constants!$H55*EF!$H216*MMVolatEF*NtoN2O*kgtoGg</f>
        <v>0</v>
      </c>
      <c r="BK167" s="23">
        <f>Constants!$H37*'Activity data'!BK15*Constants!$H55*EF!$H216*MMVolatEF*NtoN2O*kgtoGg</f>
        <v>0</v>
      </c>
      <c r="BL167" s="23">
        <f>Constants!$H37*'Activity data'!BL15*Constants!$H55*EF!$H216*MMVolatEF*NtoN2O*kgtoGg</f>
        <v>0</v>
      </c>
      <c r="BM167" s="23">
        <f>Constants!$H37*'Activity data'!BM15*Constants!$H55*EF!$H216*MMVolatEF*NtoN2O*kgtoGg</f>
        <v>0</v>
      </c>
      <c r="BN167" s="23">
        <f>Constants!$H37*'Activity data'!BN15*Constants!$H55*EF!$H216*MMVolatEF*NtoN2O*kgtoGg</f>
        <v>0</v>
      </c>
      <c r="BO167" s="23">
        <f>Constants!$H37*'Activity data'!BO15*Constants!$H55*EF!$H216*MMVolatEF*NtoN2O*kgtoGg</f>
        <v>0</v>
      </c>
      <c r="BP167" s="23">
        <f>Constants!$H37*'Activity data'!BP15*Constants!$H55*EF!$H216*MMVolatEF*NtoN2O*kgtoGg</f>
        <v>0</v>
      </c>
    </row>
    <row r="168" spans="1:68" x14ac:dyDescent="0.25">
      <c r="A168" t="str">
        <f t="shared" si="58"/>
        <v>3C Aggregated and non-CO2 emissions on land</v>
      </c>
      <c r="B168" t="str">
        <f t="shared" si="62"/>
        <v>3C6 Indirect N2O from manure management (N2O)</v>
      </c>
      <c r="C168" t="str">
        <f t="shared" si="63"/>
        <v>Volatilisation</v>
      </c>
      <c r="D168" t="str">
        <f>'Activity data'!D77</f>
        <v xml:space="preserve"> - Mules &amp; Asses</v>
      </c>
      <c r="E168" t="str">
        <f t="shared" si="61"/>
        <v>Volatilisation - Mules &amp; Asses</v>
      </c>
      <c r="F168" t="str">
        <f t="shared" si="47"/>
        <v>N2O</v>
      </c>
      <c r="G168" t="str">
        <f t="shared" si="48"/>
        <v>Gg N2O</v>
      </c>
      <c r="H168" s="23">
        <f>Constants!$H38*'Activity data'!H16*Constants!$H56*EF!$H217*MMVolatEF*NtoN2O*kgtoGg</f>
        <v>0</v>
      </c>
      <c r="I168" s="23">
        <f>Constants!$H38*'Activity data'!I16*Constants!$H56*EF!$H217*MMVolatEF*NtoN2O*kgtoGg</f>
        <v>0</v>
      </c>
      <c r="J168" s="23">
        <f>Constants!$H38*'Activity data'!J16*Constants!$H56*EF!$H217*MMVolatEF*NtoN2O*kgtoGg</f>
        <v>0</v>
      </c>
      <c r="K168" s="23">
        <f>Constants!$H38*'Activity data'!K16*Constants!$H56*EF!$H217*MMVolatEF*NtoN2O*kgtoGg</f>
        <v>0</v>
      </c>
      <c r="L168" s="23">
        <f>Constants!$H38*'Activity data'!L16*Constants!$H56*EF!$H217*MMVolatEF*NtoN2O*kgtoGg</f>
        <v>0</v>
      </c>
      <c r="M168" s="23">
        <f>Constants!$H38*'Activity data'!M16*Constants!$H56*EF!$H217*MMVolatEF*NtoN2O*kgtoGg</f>
        <v>0</v>
      </c>
      <c r="N168" s="23">
        <f>Constants!$H38*'Activity data'!N16*Constants!$H56*EF!$H217*MMVolatEF*NtoN2O*kgtoGg</f>
        <v>0</v>
      </c>
      <c r="O168" s="23">
        <f>Constants!$H38*'Activity data'!O16*Constants!$H56*EF!$H217*MMVolatEF*NtoN2O*kgtoGg</f>
        <v>0</v>
      </c>
      <c r="P168" s="23">
        <f>Constants!$H38*'Activity data'!P16*Constants!$H56*EF!$H217*MMVolatEF*NtoN2O*kgtoGg</f>
        <v>0</v>
      </c>
      <c r="Q168" s="23">
        <f>Constants!$H38*'Activity data'!Q16*Constants!$H56*EF!$H217*MMVolatEF*NtoN2O*kgtoGg</f>
        <v>0</v>
      </c>
      <c r="R168" s="23">
        <f>Constants!$H38*'Activity data'!R16*Constants!$H56*EF!$H217*MMVolatEF*NtoN2O*kgtoGg</f>
        <v>0</v>
      </c>
      <c r="S168" s="23">
        <f>Constants!$H38*'Activity data'!S16*Constants!$H56*EF!$H217*MMVolatEF*NtoN2O*kgtoGg</f>
        <v>0</v>
      </c>
      <c r="T168" s="23">
        <f>Constants!$H38*'Activity data'!T16*Constants!$H56*EF!$H217*MMVolatEF*NtoN2O*kgtoGg</f>
        <v>0</v>
      </c>
      <c r="U168" s="23">
        <f>Constants!$H38*'Activity data'!U16*Constants!$H56*EF!$H217*MMVolatEF*NtoN2O*kgtoGg</f>
        <v>0</v>
      </c>
      <c r="V168" s="23">
        <f>Constants!$H38*'Activity data'!V16*Constants!$H56*EF!$H217*MMVolatEF*NtoN2O*kgtoGg</f>
        <v>0</v>
      </c>
      <c r="W168" s="23">
        <f>Constants!$H38*'Activity data'!W16*Constants!$H56*EF!$H217*MMVolatEF*NtoN2O*kgtoGg</f>
        <v>0</v>
      </c>
      <c r="X168" s="23">
        <f>Constants!$H38*'Activity data'!X16*Constants!$H56*EF!$H217*MMVolatEF*NtoN2O*kgtoGg</f>
        <v>0</v>
      </c>
      <c r="Y168" s="23">
        <f>Constants!$H38*'Activity data'!Y16*Constants!$H56*EF!$H217*MMVolatEF*NtoN2O*kgtoGg</f>
        <v>0</v>
      </c>
      <c r="Z168" s="23">
        <f>Constants!$H38*'Activity data'!Z16*Constants!$H56*EF!$H217*MMVolatEF*NtoN2O*kgtoGg</f>
        <v>0</v>
      </c>
      <c r="AA168" s="23">
        <f>Constants!$H38*'Activity data'!AA16*Constants!$H56*EF!$H217*MMVolatEF*NtoN2O*kgtoGg</f>
        <v>0</v>
      </c>
      <c r="AB168" s="23">
        <f>Constants!$H38*'Activity data'!AB16*Constants!$H56*EF!$H217*MMVolatEF*NtoN2O*kgtoGg</f>
        <v>0</v>
      </c>
      <c r="AC168" s="23">
        <f>Constants!$H38*'Activity data'!AC16*Constants!$H56*EF!$H217*MMVolatEF*NtoN2O*kgtoGg</f>
        <v>0</v>
      </c>
      <c r="AD168" s="23">
        <f>Constants!$H38*'Activity data'!AD16*Constants!$H56*EF!$H217*MMVolatEF*NtoN2O*kgtoGg</f>
        <v>0</v>
      </c>
      <c r="AE168" s="23">
        <f>Constants!$H38*'Activity data'!AE16*Constants!$H56*EF!$H217*MMVolatEF*NtoN2O*kgtoGg</f>
        <v>0</v>
      </c>
      <c r="AF168" s="23">
        <f>Constants!$H38*'Activity data'!AF16*Constants!$H56*EF!$H217*MMVolatEF*NtoN2O*kgtoGg</f>
        <v>0</v>
      </c>
      <c r="AG168" s="23">
        <f>Constants!$H38*'Activity data'!AG16*Constants!$H56*EF!$H217*MMVolatEF*NtoN2O*kgtoGg</f>
        <v>0</v>
      </c>
      <c r="AH168" s="23">
        <f>Constants!$H38*'Activity data'!AH16*Constants!$H56*EF!$H217*MMVolatEF*NtoN2O*kgtoGg</f>
        <v>0</v>
      </c>
      <c r="AI168" s="23">
        <f>Constants!$H38*'Activity data'!AI16*Constants!$H56*EF!$H217*MMVolatEF*NtoN2O*kgtoGg</f>
        <v>0</v>
      </c>
      <c r="AJ168" s="23">
        <f>Constants!$H38*'Activity data'!AJ16*Constants!$H56*EF!$H217*MMVolatEF*NtoN2O*kgtoGg</f>
        <v>0</v>
      </c>
      <c r="AK168" s="23">
        <f>Constants!$H38*'Activity data'!AK16*Constants!$H56*EF!$H217*MMVolatEF*NtoN2O*kgtoGg</f>
        <v>0</v>
      </c>
      <c r="AL168" s="23">
        <f>Constants!$H38*'Activity data'!AL16*Constants!$H56*EF!$H217*MMVolatEF*NtoN2O*kgtoGg</f>
        <v>0</v>
      </c>
      <c r="AM168" s="23">
        <f>Constants!$H38*'Activity data'!AM16*Constants!$H56*EF!$H217*MMVolatEF*NtoN2O*kgtoGg</f>
        <v>0</v>
      </c>
      <c r="AN168" s="23">
        <f>Constants!$H38*'Activity data'!AN16*Constants!$H56*EF!$H217*MMVolatEF*NtoN2O*kgtoGg</f>
        <v>0</v>
      </c>
      <c r="AO168" s="23">
        <f>Constants!$H38*'Activity data'!AO16*Constants!$H56*EF!$H217*MMVolatEF*NtoN2O*kgtoGg</f>
        <v>0</v>
      </c>
      <c r="AP168" s="23">
        <f>Constants!$H38*'Activity data'!AP16*Constants!$H56*EF!$H217*MMVolatEF*NtoN2O*kgtoGg</f>
        <v>0</v>
      </c>
      <c r="AQ168" s="23">
        <f>Constants!$H38*'Activity data'!AQ16*Constants!$H56*EF!$H217*MMVolatEF*NtoN2O*kgtoGg</f>
        <v>0</v>
      </c>
      <c r="AR168" s="23">
        <f>Constants!$H38*'Activity data'!AR16*Constants!$H56*EF!$H217*MMVolatEF*NtoN2O*kgtoGg</f>
        <v>0</v>
      </c>
      <c r="AS168" s="23">
        <f>Constants!$H38*'Activity data'!AS16*Constants!$H56*EF!$H217*MMVolatEF*NtoN2O*kgtoGg</f>
        <v>0</v>
      </c>
      <c r="AT168" s="23">
        <f>Constants!$H38*'Activity data'!AT16*Constants!$H56*EF!$H217*MMVolatEF*NtoN2O*kgtoGg</f>
        <v>0</v>
      </c>
      <c r="AU168" s="23">
        <f>Constants!$H38*'Activity data'!AU16*Constants!$H56*EF!$H217*MMVolatEF*NtoN2O*kgtoGg</f>
        <v>0</v>
      </c>
      <c r="AV168" s="23">
        <f>Constants!$H38*'Activity data'!AV16*Constants!$H56*EF!$H217*MMVolatEF*NtoN2O*kgtoGg</f>
        <v>0</v>
      </c>
      <c r="AW168" s="23">
        <f>Constants!$H38*'Activity data'!AW16*Constants!$H56*EF!$H217*MMVolatEF*NtoN2O*kgtoGg</f>
        <v>0</v>
      </c>
      <c r="AX168" s="23">
        <f>Constants!$H38*'Activity data'!AX16*Constants!$H56*EF!$H217*MMVolatEF*NtoN2O*kgtoGg</f>
        <v>0</v>
      </c>
      <c r="AY168" s="23">
        <f>Constants!$H38*'Activity data'!AY16*Constants!$H56*EF!$H217*MMVolatEF*NtoN2O*kgtoGg</f>
        <v>0</v>
      </c>
      <c r="AZ168" s="23">
        <f>Constants!$H38*'Activity data'!AZ16*Constants!$H56*EF!$H217*MMVolatEF*NtoN2O*kgtoGg</f>
        <v>0</v>
      </c>
      <c r="BA168" s="23">
        <f>Constants!$H38*'Activity data'!BA16*Constants!$H56*EF!$H217*MMVolatEF*NtoN2O*kgtoGg</f>
        <v>0</v>
      </c>
      <c r="BB168" s="23">
        <f>Constants!$H38*'Activity data'!BB16*Constants!$H56*EF!$H217*MMVolatEF*NtoN2O*kgtoGg</f>
        <v>0</v>
      </c>
      <c r="BC168" s="23">
        <f>Constants!$H38*'Activity data'!BC16*Constants!$H56*EF!$H217*MMVolatEF*NtoN2O*kgtoGg</f>
        <v>0</v>
      </c>
      <c r="BD168" s="23">
        <f>Constants!$H38*'Activity data'!BD16*Constants!$H56*EF!$H217*MMVolatEF*NtoN2O*kgtoGg</f>
        <v>0</v>
      </c>
      <c r="BE168" s="23">
        <f>Constants!$H38*'Activity data'!BE16*Constants!$H56*EF!$H217*MMVolatEF*NtoN2O*kgtoGg</f>
        <v>0</v>
      </c>
      <c r="BF168" s="23">
        <f>Constants!$H38*'Activity data'!BF16*Constants!$H56*EF!$H217*MMVolatEF*NtoN2O*kgtoGg</f>
        <v>0</v>
      </c>
      <c r="BG168" s="23">
        <f>Constants!$H38*'Activity data'!BG16*Constants!$H56*EF!$H217*MMVolatEF*NtoN2O*kgtoGg</f>
        <v>0</v>
      </c>
      <c r="BH168" s="23">
        <f>Constants!$H38*'Activity data'!BH16*Constants!$H56*EF!$H217*MMVolatEF*NtoN2O*kgtoGg</f>
        <v>0</v>
      </c>
      <c r="BI168" s="23">
        <f>Constants!$H38*'Activity data'!BI16*Constants!$H56*EF!$H217*MMVolatEF*NtoN2O*kgtoGg</f>
        <v>0</v>
      </c>
      <c r="BJ168" s="23">
        <f>Constants!$H38*'Activity data'!BJ16*Constants!$H56*EF!$H217*MMVolatEF*NtoN2O*kgtoGg</f>
        <v>0</v>
      </c>
      <c r="BK168" s="23">
        <f>Constants!$H38*'Activity data'!BK16*Constants!$H56*EF!$H217*MMVolatEF*NtoN2O*kgtoGg</f>
        <v>0</v>
      </c>
      <c r="BL168" s="23">
        <f>Constants!$H38*'Activity data'!BL16*Constants!$H56*EF!$H217*MMVolatEF*NtoN2O*kgtoGg</f>
        <v>0</v>
      </c>
      <c r="BM168" s="23">
        <f>Constants!$H38*'Activity data'!BM16*Constants!$H56*EF!$H217*MMVolatEF*NtoN2O*kgtoGg</f>
        <v>0</v>
      </c>
      <c r="BN168" s="23">
        <f>Constants!$H38*'Activity data'!BN16*Constants!$H56*EF!$H217*MMVolatEF*NtoN2O*kgtoGg</f>
        <v>0</v>
      </c>
      <c r="BO168" s="23">
        <f>Constants!$H38*'Activity data'!BO16*Constants!$H56*EF!$H217*MMVolatEF*NtoN2O*kgtoGg</f>
        <v>0</v>
      </c>
      <c r="BP168" s="23">
        <f>Constants!$H38*'Activity data'!BP16*Constants!$H56*EF!$H217*MMVolatEF*NtoN2O*kgtoGg</f>
        <v>0</v>
      </c>
    </row>
    <row r="169" spans="1:68" x14ac:dyDescent="0.25">
      <c r="A169" t="str">
        <f t="shared" si="58"/>
        <v>3C Aggregated and non-CO2 emissions on land</v>
      </c>
      <c r="B169" t="str">
        <f t="shared" si="62"/>
        <v>3C6 Indirect N2O from manure management (N2O)</v>
      </c>
      <c r="C169" t="str">
        <f t="shared" si="63"/>
        <v>Volatilisation</v>
      </c>
      <c r="D169" t="str">
        <f>'Activity data'!D78</f>
        <v xml:space="preserve"> - Commercial swine</v>
      </c>
      <c r="E169" t="str">
        <f t="shared" si="61"/>
        <v>Volatilisation - Commercial swine</v>
      </c>
      <c r="F169" t="str">
        <f t="shared" si="47"/>
        <v>N2O</v>
      </c>
      <c r="G169" t="str">
        <f t="shared" si="48"/>
        <v>Gg N2O</v>
      </c>
      <c r="H169" s="23">
        <f>Constants!$H39*'Activity data'!H17*Constants!$H57*EF!$H218*MMVolatEF*NtoN2O*kgtoGg</f>
        <v>0.12033024471222856</v>
      </c>
      <c r="I169" s="23">
        <f>Constants!$H39*'Activity data'!I17*Constants!$H57*EF!$H218*MMVolatEF*NtoN2O*kgtoGg</f>
        <v>0.13146316105371428</v>
      </c>
      <c r="J169" s="23">
        <f>Constants!$H39*'Activity data'!J17*Constants!$H57*EF!$H218*MMVolatEF*NtoN2O*kgtoGg</f>
        <v>0.13059463566537144</v>
      </c>
      <c r="K169" s="23">
        <f>Constants!$H39*'Activity data'!K17*Constants!$H57*EF!$H218*MMVolatEF*NtoN2O*kgtoGg</f>
        <v>0.13051567881188572</v>
      </c>
      <c r="L169" s="23">
        <f>Constants!$H39*'Activity data'!L17*Constants!$H57*EF!$H218*MMVolatEF*NtoN2O*kgtoGg</f>
        <v>0.12396225997257142</v>
      </c>
      <c r="M169" s="23">
        <f>Constants!$H39*'Activity data'!M17*Constants!$H57*EF!$H218*MMVolatEF*NtoN2O*kgtoGg</f>
        <v>0.12514661277485714</v>
      </c>
      <c r="N169" s="23">
        <f>Constants!$H39*'Activity data'!N17*Constants!$H57*EF!$H218*MMVolatEF*NtoN2O*kgtoGg</f>
        <v>0.13477934890011425</v>
      </c>
      <c r="O169" s="23">
        <f>Constants!$H39*'Activity data'!O17*Constants!$H57*EF!$H218*MMVolatEF*NtoN2O*kgtoGg</f>
        <v>0.1341476940722286</v>
      </c>
      <c r="P169" s="23">
        <f>Constants!$H39*'Activity data'!P17*Constants!$H57*EF!$H218*MMVolatEF*NtoN2O*kgtoGg</f>
        <v>0.13706909765120001</v>
      </c>
      <c r="Q169" s="23">
        <f>Constants!$H39*'Activity data'!Q17*Constants!$H57*EF!$H218*MMVolatEF*NtoN2O*kgtoGg</f>
        <v>0.14054319920457142</v>
      </c>
      <c r="R169" s="23">
        <f>Constants!$H39*'Activity data'!R17*Constants!$H57*EF!$H218*MMVolatEF*NtoN2O*kgtoGg</f>
        <v>0.13004193769097142</v>
      </c>
      <c r="S169" s="23">
        <f>Constants!$H39*'Activity data'!S17*Constants!$H57*EF!$H218*MMVolatEF*NtoN2O*kgtoGg</f>
        <v>0.13248960014902858</v>
      </c>
      <c r="T169" s="23">
        <f>Constants!$H39*'Activity data'!T17*Constants!$H57*EF!$H218*MMVolatEF*NtoN2O*kgtoGg</f>
        <v>0.13501621946057141</v>
      </c>
      <c r="U169" s="23">
        <f>Constants!$H39*'Activity data'!U17*Constants!$H57*EF!$H218*MMVolatEF*NtoN2O*kgtoGg</f>
        <v>0.13130524734674287</v>
      </c>
      <c r="V169" s="23">
        <f>Constants!$H39*'Activity data'!V17*Constants!$H57*EF!$H218*MMVolatEF*NtoN2O*kgtoGg</f>
        <v>0.13130524734674287</v>
      </c>
      <c r="W169" s="23">
        <f>Constants!$H39*'Activity data'!W17*Constants!$H57*EF!$H218*MMVolatEF*NtoN2O*kgtoGg</f>
        <v>0.13035776510491429</v>
      </c>
      <c r="X169" s="23">
        <f>Constants!$H39*'Activity data'!X17*Constants!$H57*EF!$H218*MMVolatEF*NtoN2O*kgtoGg</f>
        <v>0.12806801635382858</v>
      </c>
      <c r="Y169" s="23">
        <f>Constants!$H39*'Activity data'!Y17*Constants!$H57*EF!$H218*MMVolatEF*NtoN2O*kgtoGg</f>
        <v>0.13035776510491429</v>
      </c>
      <c r="Z169" s="23">
        <f>Constants!$H39*'Activity data'!Z17*Constants!$H57*EF!$H218*MMVolatEF*NtoN2O*kgtoGg</f>
        <v>0.12751531837942856</v>
      </c>
      <c r="AA169" s="23">
        <f>Constants!$H39*'Activity data'!AA17*Constants!$H57*EF!$H218*MMVolatEF*NtoN2O*kgtoGg</f>
        <v>0.12735740467245713</v>
      </c>
      <c r="AB169" s="23">
        <f>Constants!$H39*'Activity data'!AB17*Constants!$H57*EF!$H218*MMVolatEF*NtoN2O*kgtoGg</f>
        <v>0.1258572244562286</v>
      </c>
      <c r="AC169" s="23">
        <f>Constants!$H39*'Activity data'!AC17*Constants!$H57*EF!$H218*MMVolatEF*NtoN2O*kgtoGg</f>
        <v>0.12506765592137145</v>
      </c>
      <c r="AD169" s="23">
        <f>Constants!$H39*'Activity data'!AD17*Constants!$H57*EF!$H218*MMVolatEF*NtoN2O*kgtoGg</f>
        <v>0.12467287165394285</v>
      </c>
      <c r="AE169" s="23">
        <f>Constants!$H39*'Activity data'!AE17*Constants!$H57*EF!$H218*MMVolatEF*NtoN2O*kgtoGg</f>
        <v>0.12427808738651432</v>
      </c>
      <c r="AF169" s="23">
        <f>Constants!$H39*'Activity data'!AF17*Constants!$H57*EF!$H218*MMVolatEF*NtoN2O*kgtoGg</f>
        <v>0.12333060514468569</v>
      </c>
      <c r="AG169" s="23">
        <f>Constants!$H39*'Activity data'!AG17*Constants!$H57*EF!$H218*MMVolatEF*NtoN2O*kgtoGg</f>
        <v>0.12025128785874287</v>
      </c>
      <c r="AH169" s="23">
        <f>Constants!$H39*'Activity data'!AH17*Constants!$H57*EF!$H218*MMVolatEF*NtoN2O*kgtoGg</f>
        <v>0.11938276247039999</v>
      </c>
      <c r="AI169" s="23">
        <f>Constants!$H39*'Activity data'!AI17*Constants!$H57*EF!$H218*MMVolatEF*NtoN2O*kgtoGg</f>
        <v>0.11693510001234286</v>
      </c>
      <c r="AJ169" s="23">
        <f>Constants!$H39*'Activity data'!AJ17*Constants!$H57*EF!$H218*MMVolatEF*NtoN2O*kgtoGg</f>
        <v>0.12172200442764976</v>
      </c>
      <c r="AK169" s="23">
        <f>Constants!$H39*'Activity data'!AK17*Constants!$H57*EF!$H218*MMVolatEF*NtoN2O*kgtoGg</f>
        <v>0.12154310229036841</v>
      </c>
      <c r="AL169" s="23">
        <f>Constants!$H39*'Activity data'!AL17*Constants!$H57*EF!$H218*MMVolatEF*NtoN2O*kgtoGg</f>
        <v>0.12202416104511224</v>
      </c>
      <c r="AM169" s="23">
        <f>Constants!$H39*'Activity data'!AM17*Constants!$H57*EF!$H218*MMVolatEF*NtoN2O*kgtoGg</f>
        <v>0.12174537775057707</v>
      </c>
      <c r="AN169" s="23">
        <f>Constants!$H39*'Activity data'!AN17*Constants!$H57*EF!$H218*MMVolatEF*NtoN2O*kgtoGg</f>
        <v>0.12147330312384878</v>
      </c>
      <c r="AO169" s="23">
        <f>Constants!$H39*'Activity data'!AO17*Constants!$H57*EF!$H218*MMVolatEF*NtoN2O*kgtoGg</f>
        <v>0.12119972258521816</v>
      </c>
      <c r="AP169" s="23">
        <f>Constants!$H39*'Activity data'!AP17*Constants!$H57*EF!$H218*MMVolatEF*NtoN2O*kgtoGg</f>
        <v>0.12093191727257066</v>
      </c>
      <c r="AQ169" s="23">
        <f>Constants!$H39*'Activity data'!AQ17*Constants!$H57*EF!$H218*MMVolatEF*NtoN2O*kgtoGg</f>
        <v>0.12065741329050991</v>
      </c>
      <c r="AR169" s="23">
        <f>Constants!$H39*'Activity data'!AR17*Constants!$H57*EF!$H218*MMVolatEF*NtoN2O*kgtoGg</f>
        <v>0.12034301958392213</v>
      </c>
      <c r="AS169" s="23">
        <f>Constants!$H39*'Activity data'!AS17*Constants!$H57*EF!$H218*MMVolatEF*NtoN2O*kgtoGg</f>
        <v>0.12003040200223382</v>
      </c>
      <c r="AT169" s="23">
        <f>Constants!$H39*'Activity data'!AT17*Constants!$H57*EF!$H218*MMVolatEF*NtoN2O*kgtoGg</f>
        <v>0.11970871715936686</v>
      </c>
      <c r="AU169" s="23">
        <f>Constants!$H39*'Activity data'!AU17*Constants!$H57*EF!$H218*MMVolatEF*NtoN2O*kgtoGg</f>
        <v>0.11938029955204965</v>
      </c>
      <c r="AV169" s="23">
        <f>Constants!$H39*'Activity data'!AV17*Constants!$H57*EF!$H218*MMVolatEF*NtoN2O*kgtoGg</f>
        <v>0.11904453466362752</v>
      </c>
      <c r="AW169" s="23">
        <f>Constants!$H39*'Activity data'!AW17*Constants!$H57*EF!$H218*MMVolatEF*NtoN2O*kgtoGg</f>
        <v>0.11866970611839221</v>
      </c>
      <c r="AX169" s="23">
        <f>Constants!$H39*'Activity data'!AX17*Constants!$H57*EF!$H218*MMVolatEF*NtoN2O*kgtoGg</f>
        <v>0.11830695666018942</v>
      </c>
      <c r="AY169" s="23">
        <f>Constants!$H39*'Activity data'!AY17*Constants!$H57*EF!$H218*MMVolatEF*NtoN2O*kgtoGg</f>
        <v>0.11791696285913633</v>
      </c>
      <c r="AZ169" s="23">
        <f>Constants!$H39*'Activity data'!AZ17*Constants!$H57*EF!$H218*MMVolatEF*NtoN2O*kgtoGg</f>
        <v>0.11750792288937087</v>
      </c>
      <c r="BA169" s="23">
        <f>Constants!$H39*'Activity data'!BA17*Constants!$H57*EF!$H218*MMVolatEF*NtoN2O*kgtoGg</f>
        <v>0.1170788058888237</v>
      </c>
      <c r="BB169" s="23">
        <f>Constants!$H39*'Activity data'!BB17*Constants!$H57*EF!$H218*MMVolatEF*NtoN2O*kgtoGg</f>
        <v>0.11663589477625223</v>
      </c>
      <c r="BC169" s="23">
        <f>Constants!$H39*'Activity data'!BC17*Constants!$H57*EF!$H218*MMVolatEF*NtoN2O*kgtoGg</f>
        <v>0.11617917408749182</v>
      </c>
      <c r="BD169" s="23">
        <f>Constants!$H39*'Activity data'!BD17*Constants!$H57*EF!$H218*MMVolatEF*NtoN2O*kgtoGg</f>
        <v>0.11571732319937103</v>
      </c>
      <c r="BE169" s="23">
        <f>Constants!$H39*'Activity data'!BE17*Constants!$H57*EF!$H218*MMVolatEF*NtoN2O*kgtoGg</f>
        <v>0.11524153249752597</v>
      </c>
      <c r="BF169" s="23">
        <f>Constants!$H39*'Activity data'!BF17*Constants!$H57*EF!$H218*MMVolatEF*NtoN2O*kgtoGg</f>
        <v>0.11474400144238936</v>
      </c>
      <c r="BG169" s="23">
        <f>Constants!$H39*'Activity data'!BG17*Constants!$H57*EF!$H218*MMVolatEF*NtoN2O*kgtoGg</f>
        <v>0.11421382728550876</v>
      </c>
      <c r="BH169" s="23">
        <f>Constants!$H39*'Activity data'!BH17*Constants!$H57*EF!$H218*MMVolatEF*NtoN2O*kgtoGg</f>
        <v>0.11366696376075321</v>
      </c>
      <c r="BI169" s="23">
        <f>Constants!$H39*'Activity data'!BI17*Constants!$H57*EF!$H218*MMVolatEF*NtoN2O*kgtoGg</f>
        <v>0.11310436224963404</v>
      </c>
      <c r="BJ169" s="23">
        <f>Constants!$H39*'Activity data'!BJ17*Constants!$H57*EF!$H218*MMVolatEF*NtoN2O*kgtoGg</f>
        <v>0.11252367441354214</v>
      </c>
      <c r="BK169" s="23">
        <f>Constants!$H39*'Activity data'!BK17*Constants!$H57*EF!$H218*MMVolatEF*NtoN2O*kgtoGg</f>
        <v>0.1119155896970538</v>
      </c>
      <c r="BL169" s="23">
        <f>Constants!$H39*'Activity data'!BL17*Constants!$H57*EF!$H218*MMVolatEF*NtoN2O*kgtoGg</f>
        <v>0.11128913797332224</v>
      </c>
      <c r="BM169" s="23">
        <f>Constants!$H39*'Activity data'!BM17*Constants!$H57*EF!$H218*MMVolatEF*NtoN2O*kgtoGg</f>
        <v>0.11063906389097473</v>
      </c>
      <c r="BN169" s="23">
        <f>Constants!$H39*'Activity data'!BN17*Constants!$H57*EF!$H218*MMVolatEF*NtoN2O*kgtoGg</f>
        <v>0.10998306614290497</v>
      </c>
      <c r="BO169" s="23">
        <f>Constants!$H39*'Activity data'!BO17*Constants!$H57*EF!$H218*MMVolatEF*NtoN2O*kgtoGg</f>
        <v>0.10930130510018581</v>
      </c>
      <c r="BP169" s="23">
        <f>Constants!$H39*'Activity data'!BP17*Constants!$H57*EF!$H218*MMVolatEF*NtoN2O*kgtoGg</f>
        <v>0.10859163084976822</v>
      </c>
    </row>
    <row r="170" spans="1:68" x14ac:dyDescent="0.25">
      <c r="A170" t="str">
        <f t="shared" si="58"/>
        <v>3C Aggregated and non-CO2 emissions on land</v>
      </c>
      <c r="B170" t="str">
        <f t="shared" si="62"/>
        <v>3C6 Indirect N2O from manure management (N2O)</v>
      </c>
      <c r="C170" t="str">
        <f t="shared" si="63"/>
        <v>Volatilisation</v>
      </c>
      <c r="D170" t="str">
        <f>'Activity data'!D79</f>
        <v xml:space="preserve"> - Subsistence swine</v>
      </c>
      <c r="E170" t="str">
        <f t="shared" si="61"/>
        <v>Volatilisation - Subsistence swine</v>
      </c>
      <c r="F170" t="str">
        <f t="shared" si="47"/>
        <v>N2O</v>
      </c>
      <c r="G170" t="str">
        <f t="shared" si="48"/>
        <v>Gg N2O</v>
      </c>
      <c r="H170" s="23">
        <f>Constants!$H40*'Activity data'!H18*Constants!$H58*EF!$H219*MMVolatEF*NtoN2O*kgtoGg</f>
        <v>1.1213700344412847E-2</v>
      </c>
      <c r="I170" s="23">
        <f>Constants!$H40*'Activity data'!I18*Constants!$H58*EF!$H219*MMVolatEF*NtoN2O*kgtoGg</f>
        <v>1.2251188368403802E-2</v>
      </c>
      <c r="J170" s="23">
        <f>Constants!$H40*'Activity data'!J18*Constants!$H58*EF!$H219*MMVolatEF*NtoN2O*kgtoGg</f>
        <v>1.2170249586390321E-2</v>
      </c>
      <c r="K170" s="23">
        <f>Constants!$H40*'Activity data'!K18*Constants!$H58*EF!$H219*MMVolatEF*NtoN2O*kgtoGg</f>
        <v>1.2162891515298188E-2</v>
      </c>
      <c r="L170" s="23">
        <f>Constants!$H40*'Activity data'!L18*Constants!$H58*EF!$H219*MMVolatEF*NtoN2O*kgtoGg</f>
        <v>1.1552171614651031E-2</v>
      </c>
      <c r="M170" s="23">
        <f>Constants!$H40*'Activity data'!M18*Constants!$H58*EF!$H219*MMVolatEF*NtoN2O*kgtoGg</f>
        <v>1.1662542681033047E-2</v>
      </c>
      <c r="N170" s="23">
        <f>Constants!$H40*'Activity data'!N18*Constants!$H58*EF!$H219*MMVolatEF*NtoN2O*kgtoGg</f>
        <v>1.2560227354273448E-2</v>
      </c>
      <c r="O170" s="23">
        <f>Constants!$H40*'Activity data'!O18*Constants!$H58*EF!$H219*MMVolatEF*NtoN2O*kgtoGg</f>
        <v>1.2501362785536372E-2</v>
      </c>
      <c r="P170" s="23">
        <f>Constants!$H40*'Activity data'!P18*Constants!$H58*EF!$H219*MMVolatEF*NtoN2O*kgtoGg</f>
        <v>1.2773611415945345E-2</v>
      </c>
      <c r="Q170" s="23">
        <f>Constants!$H40*'Activity data'!Q18*Constants!$H58*EF!$H219*MMVolatEF*NtoN2O*kgtoGg</f>
        <v>1.3097366543999258E-2</v>
      </c>
      <c r="R170" s="23">
        <f>Constants!$H40*'Activity data'!R18*Constants!$H58*EF!$H219*MMVolatEF*NtoN2O*kgtoGg</f>
        <v>1.2118743088745379E-2</v>
      </c>
      <c r="S170" s="23">
        <f>Constants!$H40*'Activity data'!S18*Constants!$H58*EF!$H219*MMVolatEF*NtoN2O*kgtoGg</f>
        <v>1.2346843292601547E-2</v>
      </c>
      <c r="T170" s="23">
        <f>Constants!$H40*'Activity data'!T18*Constants!$H58*EF!$H219*MMVolatEF*NtoN2O*kgtoGg</f>
        <v>1.2582301567549848E-2</v>
      </c>
      <c r="U170" s="23">
        <f>Constants!$H40*'Activity data'!U18*Constants!$H58*EF!$H219*MMVolatEF*NtoN2O*kgtoGg</f>
        <v>1.2236472226219531E-2</v>
      </c>
      <c r="V170" s="23">
        <f>Constants!$H40*'Activity data'!V18*Constants!$H58*EF!$H219*MMVolatEF*NtoN2O*kgtoGg</f>
        <v>1.2236472226219531E-2</v>
      </c>
      <c r="W170" s="23">
        <f>Constants!$H40*'Activity data'!W18*Constants!$H58*EF!$H219*MMVolatEF*NtoN2O*kgtoGg</f>
        <v>1.2148175373113919E-2</v>
      </c>
      <c r="X170" s="23">
        <f>Constants!$H40*'Activity data'!X18*Constants!$H58*EF!$H219*MMVolatEF*NtoN2O*kgtoGg</f>
        <v>1.1934791311442018E-2</v>
      </c>
      <c r="Y170" s="23">
        <f>Constants!$H40*'Activity data'!Y18*Constants!$H58*EF!$H219*MMVolatEF*NtoN2O*kgtoGg</f>
        <v>1.2148175373113919E-2</v>
      </c>
      <c r="Z170" s="23">
        <f>Constants!$H40*'Activity data'!Z18*Constants!$H58*EF!$H219*MMVolatEF*NtoN2O*kgtoGg</f>
        <v>1.1883284813797081E-2</v>
      </c>
      <c r="AA170" s="23">
        <f>Constants!$H40*'Activity data'!AA18*Constants!$H58*EF!$H219*MMVolatEF*NtoN2O*kgtoGg</f>
        <v>1.186856867161281E-2</v>
      </c>
      <c r="AB170" s="23">
        <f>Constants!$H40*'Activity data'!AB18*Constants!$H58*EF!$H219*MMVolatEF*NtoN2O*kgtoGg</f>
        <v>1.1728765320862257E-2</v>
      </c>
      <c r="AC170" s="23">
        <f>Constants!$H40*'Activity data'!AC18*Constants!$H58*EF!$H219*MMVolatEF*NtoN2O*kgtoGg</f>
        <v>1.1655184609940911E-2</v>
      </c>
      <c r="AD170" s="23">
        <f>Constants!$H40*'Activity data'!AD18*Constants!$H58*EF!$H219*MMVolatEF*NtoN2O*kgtoGg</f>
        <v>1.1618394254480241E-2</v>
      </c>
      <c r="AE170" s="23">
        <f>Constants!$H40*'Activity data'!AE18*Constants!$H58*EF!$H219*MMVolatEF*NtoN2O*kgtoGg</f>
        <v>1.1581603899019568E-2</v>
      </c>
      <c r="AF170" s="23">
        <f>Constants!$H40*'Activity data'!AF18*Constants!$H58*EF!$H219*MMVolatEF*NtoN2O*kgtoGg</f>
        <v>1.1493307045913956E-2</v>
      </c>
      <c r="AG170" s="23">
        <f>Constants!$H40*'Activity data'!AG18*Constants!$H58*EF!$H219*MMVolatEF*NtoN2O*kgtoGg</f>
        <v>1.1206342273320713E-2</v>
      </c>
      <c r="AH170" s="23">
        <f>Constants!$H40*'Activity data'!AH18*Constants!$H58*EF!$H219*MMVolatEF*NtoN2O*kgtoGg</f>
        <v>1.1125403491307237E-2</v>
      </c>
      <c r="AI170" s="23">
        <f>Constants!$H40*'Activity data'!AI18*Constants!$H58*EF!$H219*MMVolatEF*NtoN2O*kgtoGg</f>
        <v>1.0897303287451069E-2</v>
      </c>
      <c r="AJ170" s="23">
        <f>Constants!$H40*'Activity data'!AJ18*Constants!$H58*EF!$H219*MMVolatEF*NtoN2O*kgtoGg</f>
        <v>1.1379537810613504E-2</v>
      </c>
      <c r="AK170" s="23">
        <f>Constants!$H40*'Activity data'!AK18*Constants!$H58*EF!$H219*MMVolatEF*NtoN2O*kgtoGg</f>
        <v>1.1362812620742003E-2</v>
      </c>
      <c r="AL170" s="23">
        <f>Constants!$H40*'Activity data'!AL18*Constants!$H58*EF!$H219*MMVolatEF*NtoN2O*kgtoGg</f>
        <v>1.140778580627632E-2</v>
      </c>
      <c r="AM170" s="23">
        <f>Constants!$H40*'Activity data'!AM18*Constants!$H58*EF!$H219*MMVolatEF*NtoN2O*kgtoGg</f>
        <v>1.1381722934110789E-2</v>
      </c>
      <c r="AN170" s="23">
        <f>Constants!$H40*'Activity data'!AN18*Constants!$H58*EF!$H219*MMVolatEF*NtoN2O*kgtoGg</f>
        <v>1.1356287241388497E-2</v>
      </c>
      <c r="AO170" s="23">
        <f>Constants!$H40*'Activity data'!AO18*Constants!$H58*EF!$H219*MMVolatEF*NtoN2O*kgtoGg</f>
        <v>1.1330710764084874E-2</v>
      </c>
      <c r="AP170" s="23">
        <f>Constants!$H40*'Activity data'!AP18*Constants!$H58*EF!$H219*MMVolatEF*NtoN2O*kgtoGg</f>
        <v>1.1305674200683829E-2</v>
      </c>
      <c r="AQ170" s="23">
        <f>Constants!$H40*'Activity data'!AQ18*Constants!$H58*EF!$H219*MMVolatEF*NtoN2O*kgtoGg</f>
        <v>1.1280011392568626E-2</v>
      </c>
      <c r="AR170" s="23">
        <f>Constants!$H40*'Activity data'!AR18*Constants!$H58*EF!$H219*MMVolatEF*NtoN2O*kgtoGg</f>
        <v>1.1250619376816363E-2</v>
      </c>
      <c r="AS170" s="23">
        <f>Constants!$H40*'Activity data'!AS18*Constants!$H58*EF!$H219*MMVolatEF*NtoN2O*kgtoGg</f>
        <v>1.1221393407298261E-2</v>
      </c>
      <c r="AT170" s="23">
        <f>Constants!$H40*'Activity data'!AT18*Constants!$H58*EF!$H219*MMVolatEF*NtoN2O*kgtoGg</f>
        <v>1.1191319758332995E-2</v>
      </c>
      <c r="AU170" s="23">
        <f>Constants!$H40*'Activity data'!AU18*Constants!$H58*EF!$H219*MMVolatEF*NtoN2O*kgtoGg</f>
        <v>1.1160616677179262E-2</v>
      </c>
      <c r="AV170" s="23">
        <f>Constants!$H40*'Activity data'!AV18*Constants!$H58*EF!$H219*MMVolatEF*NtoN2O*kgtoGg</f>
        <v>1.1129226713949175E-2</v>
      </c>
      <c r="AW170" s="23">
        <f>Constants!$H40*'Activity data'!AW18*Constants!$H58*EF!$H219*MMVolatEF*NtoN2O*kgtoGg</f>
        <v>1.1094184770439794E-2</v>
      </c>
      <c r="AX170" s="23">
        <f>Constants!$H40*'Activity data'!AX18*Constants!$H58*EF!$H219*MMVolatEF*NtoN2O*kgtoGg</f>
        <v>1.1060272075731816E-2</v>
      </c>
      <c r="AY170" s="23">
        <f>Constants!$H40*'Activity data'!AY18*Constants!$H58*EF!$H219*MMVolatEF*NtoN2O*kgtoGg</f>
        <v>1.1023812363900284E-2</v>
      </c>
      <c r="AZ170" s="23">
        <f>Constants!$H40*'Activity data'!AZ18*Constants!$H58*EF!$H219*MMVolatEF*NtoN2O*kgtoGg</f>
        <v>1.098557206524693E-2</v>
      </c>
      <c r="BA170" s="23">
        <f>Constants!$H40*'Activity data'!BA18*Constants!$H58*EF!$H219*MMVolatEF*NtoN2O*kgtoGg</f>
        <v>1.0945454806614321E-2</v>
      </c>
      <c r="BB170" s="23">
        <f>Constants!$H40*'Activity data'!BB18*Constants!$H58*EF!$H219*MMVolatEF*NtoN2O*kgtoGg</f>
        <v>1.0904047965049832E-2</v>
      </c>
      <c r="BC170" s="23">
        <f>Constants!$H40*'Activity data'!BC18*Constants!$H58*EF!$H219*MMVolatEF*NtoN2O*kgtoGg</f>
        <v>1.0861350094840769E-2</v>
      </c>
      <c r="BD170" s="23">
        <f>Constants!$H40*'Activity data'!BD18*Constants!$H58*EF!$H219*MMVolatEF*NtoN2O*kgtoGg</f>
        <v>1.0818172612930667E-2</v>
      </c>
      <c r="BE170" s="23">
        <f>Constants!$H40*'Activity data'!BE18*Constants!$H58*EF!$H219*MMVolatEF*NtoN2O*kgtoGg</f>
        <v>1.0773691926738858E-2</v>
      </c>
      <c r="BF170" s="23">
        <f>Constants!$H40*'Activity data'!BF18*Constants!$H58*EF!$H219*MMVolatEF*NtoN2O*kgtoGg</f>
        <v>1.072717877999515E-2</v>
      </c>
      <c r="BG170" s="23">
        <f>Constants!$H40*'Activity data'!BG18*Constants!$H58*EF!$H219*MMVolatEF*NtoN2O*kgtoGg</f>
        <v>1.0677613897352929E-2</v>
      </c>
      <c r="BH170" s="23">
        <f>Constants!$H40*'Activity data'!BH18*Constants!$H58*EF!$H219*MMVolatEF*NtoN2O*kgtoGg</f>
        <v>1.0626488760312485E-2</v>
      </c>
      <c r="BI170" s="23">
        <f>Constants!$H40*'Activity data'!BI18*Constants!$H58*EF!$H219*MMVolatEF*NtoN2O*kgtoGg</f>
        <v>1.057389231155868E-2</v>
      </c>
      <c r="BJ170" s="23">
        <f>Constants!$H40*'Activity data'!BJ18*Constants!$H58*EF!$H219*MMVolatEF*NtoN2O*kgtoGg</f>
        <v>1.0519605009784095E-2</v>
      </c>
      <c r="BK170" s="23">
        <f>Constants!$H40*'Activity data'!BK18*Constants!$H58*EF!$H219*MMVolatEF*NtoN2O*kgtoGg</f>
        <v>1.0462756430467049E-2</v>
      </c>
      <c r="BL170" s="23">
        <f>Constants!$H40*'Activity data'!BL18*Constants!$H58*EF!$H219*MMVolatEF*NtoN2O*kgtoGg</f>
        <v>1.040419075772573E-2</v>
      </c>
      <c r="BM170" s="23">
        <f>Constants!$H40*'Activity data'!BM18*Constants!$H58*EF!$H219*MMVolatEF*NtoN2O*kgtoGg</f>
        <v>1.0343416679656957E-2</v>
      </c>
      <c r="BN170" s="23">
        <f>Constants!$H40*'Activity data'!BN18*Constants!$H58*EF!$H219*MMVolatEF*NtoN2O*kgtoGg</f>
        <v>1.0282088810362184E-2</v>
      </c>
      <c r="BO170" s="23">
        <f>Constants!$H40*'Activity data'!BO18*Constants!$H58*EF!$H219*MMVolatEF*NtoN2O*kgtoGg</f>
        <v>1.0218352384069289E-2</v>
      </c>
      <c r="BP170" s="23">
        <f>Constants!$H40*'Activity data'!BP18*Constants!$H58*EF!$H219*MMVolatEF*NtoN2O*kgtoGg</f>
        <v>1.0152006409865045E-2</v>
      </c>
    </row>
    <row r="171" spans="1:68" x14ac:dyDescent="0.25">
      <c r="A171" t="str">
        <f t="shared" si="58"/>
        <v>3C Aggregated and non-CO2 emissions on land</v>
      </c>
      <c r="B171" t="str">
        <f t="shared" si="62"/>
        <v>3C6 Indirect N2O from manure management (N2O)</v>
      </c>
      <c r="C171" t="str">
        <f t="shared" si="63"/>
        <v>Volatilisation</v>
      </c>
      <c r="D171" t="str">
        <f>'Activity data'!D80</f>
        <v xml:space="preserve"> - Commercial layers</v>
      </c>
      <c r="E171" t="str">
        <f t="shared" si="61"/>
        <v>Volatilisation - Commercial layers</v>
      </c>
      <c r="F171" t="str">
        <f t="shared" si="47"/>
        <v>N2O</v>
      </c>
      <c r="G171" t="str">
        <f t="shared" si="48"/>
        <v>Gg N2O</v>
      </c>
      <c r="H171" s="23">
        <f>Constants!$H41*'Activity data'!H19*Constants!$H59*EF!$H220*MMVolatEF*NtoN2O*kgtoGg</f>
        <v>3.9901922234143378E-2</v>
      </c>
      <c r="I171" s="23">
        <f>Constants!$H41*'Activity data'!I19*Constants!$H59*EF!$H220*MMVolatEF*NtoN2O*kgtoGg</f>
        <v>3.8764119662049575E-2</v>
      </c>
      <c r="J171" s="23">
        <f>Constants!$H41*'Activity data'!J19*Constants!$H59*EF!$H220*MMVolatEF*NtoN2O*kgtoGg</f>
        <v>3.6765071039765375E-2</v>
      </c>
      <c r="K171" s="23">
        <f>Constants!$H41*'Activity data'!K19*Constants!$H59*EF!$H220*MMVolatEF*NtoN2O*kgtoGg</f>
        <v>3.6187005010116235E-2</v>
      </c>
      <c r="L171" s="23">
        <f>Constants!$H41*'Activity data'!L19*Constants!$H59*EF!$H220*MMVolatEF*NtoN2O*kgtoGg</f>
        <v>3.4613000583397703E-2</v>
      </c>
      <c r="M171" s="23">
        <f>Constants!$H41*'Activity data'!M19*Constants!$H59*EF!$H220*MMVolatEF*NtoN2O*kgtoGg</f>
        <v>3.7767091699964048E-2</v>
      </c>
      <c r="N171" s="23">
        <f>Constants!$H41*'Activity data'!N19*Constants!$H59*EF!$H220*MMVolatEF*NtoN2O*kgtoGg</f>
        <v>3.9893574992700236E-2</v>
      </c>
      <c r="O171" s="23">
        <f>Constants!$H41*'Activity data'!O19*Constants!$H59*EF!$H220*MMVolatEF*NtoN2O*kgtoGg</f>
        <v>4.0024759793687768E-2</v>
      </c>
      <c r="P171" s="23">
        <f>Constants!$H41*'Activity data'!P19*Constants!$H59*EF!$H220*MMVolatEF*NtoN2O*kgtoGg</f>
        <v>4.5064502181051763E-2</v>
      </c>
      <c r="Q171" s="23">
        <f>Constants!$H41*'Activity data'!Q19*Constants!$H59*EF!$H220*MMVolatEF*NtoN2O*kgtoGg</f>
        <v>4.8313668520703602E-2</v>
      </c>
      <c r="R171" s="23">
        <f>Constants!$H41*'Activity data'!R19*Constants!$H59*EF!$H220*MMVolatEF*NtoN2O*kgtoGg</f>
        <v>4.7289979406797474E-2</v>
      </c>
      <c r="S171" s="23">
        <f>Constants!$H41*'Activity data'!S19*Constants!$H59*EF!$H220*MMVolatEF*NtoN2O*kgtoGg</f>
        <v>4.8551507364098793E-2</v>
      </c>
      <c r="T171" s="23">
        <f>Constants!$H41*'Activity data'!T19*Constants!$H59*EF!$H220*MMVolatEF*NtoN2O*kgtoGg</f>
        <v>4.8170447709819791E-2</v>
      </c>
      <c r="U171" s="23">
        <f>Constants!$H41*'Activity data'!U19*Constants!$H59*EF!$H220*MMVolatEF*NtoN2O*kgtoGg</f>
        <v>4.6247362930646907E-2</v>
      </c>
      <c r="V171" s="23">
        <f>Constants!$H41*'Activity data'!V19*Constants!$H59*EF!$H220*MMVolatEF*NtoN2O*kgtoGg</f>
        <v>4.7924340253760342E-2</v>
      </c>
      <c r="W171" s="23">
        <f>Constants!$H41*'Activity data'!W19*Constants!$H59*EF!$H220*MMVolatEF*NtoN2O*kgtoGg</f>
        <v>5.0814203111068781E-2</v>
      </c>
      <c r="X171" s="23">
        <f>Constants!$H41*'Activity data'!X19*Constants!$H59*EF!$H220*MMVolatEF*NtoN2O*kgtoGg</f>
        <v>5.6079445071930599E-2</v>
      </c>
      <c r="Y171" s="23">
        <f>Constants!$H41*'Activity data'!Y19*Constants!$H59*EF!$H220*MMVolatEF*NtoN2O*kgtoGg</f>
        <v>6.2061568790031385E-2</v>
      </c>
      <c r="Z171" s="23">
        <f>Constants!$H41*'Activity data'!Z19*Constants!$H59*EF!$H220*MMVolatEF*NtoN2O*kgtoGg</f>
        <v>6.2878912050452387E-2</v>
      </c>
      <c r="AA171" s="23">
        <f>Constants!$H41*'Activity data'!AA19*Constants!$H59*EF!$H220*MMVolatEF*NtoN2O*kgtoGg</f>
        <v>6.0560791025763831E-2</v>
      </c>
      <c r="AB171" s="23">
        <f>Constants!$H41*'Activity data'!AB19*Constants!$H59*EF!$H220*MMVolatEF*NtoN2O*kgtoGg</f>
        <v>6.291984308956225E-2</v>
      </c>
      <c r="AC171" s="23">
        <f>Constants!$H41*'Activity data'!AC19*Constants!$H59*EF!$H220*MMVolatEF*NtoN2O*kgtoGg</f>
        <v>6.5824054338964127E-2</v>
      </c>
      <c r="AD171" s="23">
        <f>Constants!$H41*'Activity data'!AD19*Constants!$H59*EF!$H220*MMVolatEF*NtoN2O*kgtoGg</f>
        <v>6.8221895152752052E-2</v>
      </c>
      <c r="AE171" s="23">
        <f>Constants!$H41*'Activity data'!AE19*Constants!$H59*EF!$H220*MMVolatEF*NtoN2O*kgtoGg</f>
        <v>6.6894089196691014E-2</v>
      </c>
      <c r="AF171" s="23">
        <f>Constants!$H41*'Activity data'!AF19*Constants!$H59*EF!$H220*MMVolatEF*NtoN2O*kgtoGg</f>
        <v>6.6324384853436211E-2</v>
      </c>
      <c r="AG171" s="23">
        <f>Constants!$H41*'Activity data'!AG19*Constants!$H59*EF!$H220*MMVolatEF*NtoN2O*kgtoGg</f>
        <v>6.7715862797823587E-2</v>
      </c>
      <c r="AH171" s="23">
        <f>Constants!$H41*'Activity data'!AH19*Constants!$H59*EF!$H220*MMVolatEF*NtoN2O*kgtoGg</f>
        <v>6.7576457142857149E-2</v>
      </c>
      <c r="AI171" s="23">
        <f>Constants!$H41*'Activity data'!AI19*Constants!$H59*EF!$H220*MMVolatEF*NtoN2O*kgtoGg</f>
        <v>6.3107691428571422E-2</v>
      </c>
      <c r="AJ171" s="23">
        <f>Constants!$H41*'Activity data'!AJ19*Constants!$H59*EF!$H220*MMVolatEF*NtoN2O*kgtoGg</f>
        <v>6.9955163505545578E-2</v>
      </c>
      <c r="AK171" s="23">
        <f>Constants!$H41*'Activity data'!AK19*Constants!$H59*EF!$H220*MMVolatEF*NtoN2O*kgtoGg</f>
        <v>7.0622699809385819E-2</v>
      </c>
      <c r="AL171" s="23">
        <f>Constants!$H41*'Activity data'!AL19*Constants!$H59*EF!$H220*MMVolatEF*NtoN2O*kgtoGg</f>
        <v>7.0305505110631217E-2</v>
      </c>
      <c r="AM171" s="23">
        <f>Constants!$H41*'Activity data'!AM19*Constants!$H59*EF!$H220*MMVolatEF*NtoN2O*kgtoGg</f>
        <v>7.112752586133507E-2</v>
      </c>
      <c r="AN171" s="23">
        <f>Constants!$H41*'Activity data'!AN19*Constants!$H59*EF!$H220*MMVolatEF*NtoN2O*kgtoGg</f>
        <v>7.1939536567198745E-2</v>
      </c>
      <c r="AO171" s="23">
        <f>Constants!$H41*'Activity data'!AO19*Constants!$H59*EF!$H220*MMVolatEF*NtoN2O*kgtoGg</f>
        <v>7.2753794251868856E-2</v>
      </c>
      <c r="AP171" s="23">
        <f>Constants!$H41*'Activity data'!AP19*Constants!$H59*EF!$H220*MMVolatEF*NtoN2O*kgtoGg</f>
        <v>7.3559434692485048E-2</v>
      </c>
      <c r="AQ171" s="23">
        <f>Constants!$H41*'Activity data'!AQ19*Constants!$H59*EF!$H220*MMVolatEF*NtoN2O*kgtoGg</f>
        <v>7.4375070259287454E-2</v>
      </c>
      <c r="AR171" s="23">
        <f>Constants!$H41*'Activity data'!AR19*Constants!$H59*EF!$H220*MMVolatEF*NtoN2O*kgtoGg</f>
        <v>7.5284086827352256E-2</v>
      </c>
      <c r="AS171" s="23">
        <f>Constants!$H41*'Activity data'!AS19*Constants!$H59*EF!$H220*MMVolatEF*NtoN2O*kgtoGg</f>
        <v>7.6190453230423671E-2</v>
      </c>
      <c r="AT171" s="23">
        <f>Constants!$H41*'Activity data'!AT19*Constants!$H59*EF!$H220*MMVolatEF*NtoN2O*kgtoGg</f>
        <v>7.7110348940002793E-2</v>
      </c>
      <c r="AU171" s="23">
        <f>Constants!$H41*'Activity data'!AU19*Constants!$H59*EF!$H220*MMVolatEF*NtoN2O*kgtoGg</f>
        <v>7.8040290641651133E-2</v>
      </c>
      <c r="AV171" s="23">
        <f>Constants!$H41*'Activity data'!AV19*Constants!$H59*EF!$H220*MMVolatEF*NtoN2O*kgtoGg</f>
        <v>7.8981195258793824E-2</v>
      </c>
      <c r="AW171" s="23">
        <f>Constants!$H41*'Activity data'!AW19*Constants!$H59*EF!$H220*MMVolatEF*NtoN2O*kgtoGg</f>
        <v>7.9965452016356089E-2</v>
      </c>
      <c r="AX171" s="23">
        <f>Constants!$H41*'Activity data'!AX19*Constants!$H59*EF!$H220*MMVolatEF*NtoN2O*kgtoGg</f>
        <v>8.093168549924544E-2</v>
      </c>
      <c r="AY171" s="23">
        <f>Constants!$H41*'Activity data'!AY19*Constants!$H59*EF!$H220*MMVolatEF*NtoN2O*kgtoGg</f>
        <v>8.1938570412122005E-2</v>
      </c>
      <c r="AZ171" s="23">
        <f>Constants!$H41*'Activity data'!AZ19*Constants!$H59*EF!$H220*MMVolatEF*NtoN2O*kgtoGg</f>
        <v>8.2973874202680473E-2</v>
      </c>
      <c r="BA171" s="23">
        <f>Constants!$H41*'Activity data'!BA19*Constants!$H59*EF!$H220*MMVolatEF*NtoN2O*kgtoGg</f>
        <v>8.4039135032950976E-2</v>
      </c>
      <c r="BB171" s="23">
        <f>Constants!$H41*'Activity data'!BB19*Constants!$H59*EF!$H220*MMVolatEF*NtoN2O*kgtoGg</f>
        <v>8.5141685818726803E-2</v>
      </c>
      <c r="BC171" s="23">
        <f>Constants!$H41*'Activity data'!BC19*Constants!$H59*EF!$H220*MMVolatEF*NtoN2O*kgtoGg</f>
        <v>8.6264841943349657E-2</v>
      </c>
      <c r="BD171" s="23">
        <f>Constants!$H41*'Activity data'!BD19*Constants!$H59*EF!$H220*MMVolatEF*NtoN2O*kgtoGg</f>
        <v>8.7395652857027897E-2</v>
      </c>
      <c r="BE171" s="23">
        <f>Constants!$H41*'Activity data'!BE19*Constants!$H59*EF!$H220*MMVolatEF*NtoN2O*kgtoGg</f>
        <v>8.854726344513679E-2</v>
      </c>
      <c r="BF171" s="23">
        <f>Constants!$H41*'Activity data'!BF19*Constants!$H59*EF!$H220*MMVolatEF*NtoN2O*kgtoGg</f>
        <v>8.9731312924931902E-2</v>
      </c>
      <c r="BG171" s="23">
        <f>Constants!$H41*'Activity data'!BG19*Constants!$H59*EF!$H220*MMVolatEF*NtoN2O*kgtoGg</f>
        <v>9.1026579706965052E-2</v>
      </c>
      <c r="BH171" s="23">
        <f>Constants!$H41*'Activity data'!BH19*Constants!$H59*EF!$H220*MMVolatEF*NtoN2O*kgtoGg</f>
        <v>9.2346748772167392E-2</v>
      </c>
      <c r="BI171" s="23">
        <f>Constants!$H41*'Activity data'!BI19*Constants!$H59*EF!$H220*MMVolatEF*NtoN2O*kgtoGg</f>
        <v>9.3690400574338403E-2</v>
      </c>
      <c r="BJ171" s="23">
        <f>Constants!$H41*'Activity data'!BJ19*Constants!$H59*EF!$H220*MMVolatEF*NtoN2O*kgtoGg</f>
        <v>9.5061039073961975E-2</v>
      </c>
      <c r="BK171" s="23">
        <f>Constants!$H41*'Activity data'!BK19*Constants!$H59*EF!$H220*MMVolatEF*NtoN2O*kgtoGg</f>
        <v>9.6472556598125966E-2</v>
      </c>
      <c r="BL171" s="23">
        <f>Constants!$H41*'Activity data'!BL19*Constants!$H59*EF!$H220*MMVolatEF*NtoN2O*kgtoGg</f>
        <v>9.7893684624544008E-2</v>
      </c>
      <c r="BM171" s="23">
        <f>Constants!$H41*'Activity data'!BM19*Constants!$H59*EF!$H220*MMVolatEF*NtoN2O*kgtoGg</f>
        <v>9.935005969236195E-2</v>
      </c>
      <c r="BN171" s="23">
        <f>Constants!$H41*'Activity data'!BN19*Constants!$H59*EF!$H220*MMVolatEF*NtoN2O*kgtoGg</f>
        <v>0.10081527349941821</v>
      </c>
      <c r="BO171" s="23">
        <f>Constants!$H41*'Activity data'!BO19*Constants!$H59*EF!$H220*MMVolatEF*NtoN2O*kgtoGg</f>
        <v>0.10231892884192066</v>
      </c>
      <c r="BP171" s="23">
        <f>Constants!$H41*'Activity data'!BP19*Constants!$H59*EF!$H220*MMVolatEF*NtoN2O*kgtoGg</f>
        <v>0.10386423362355597</v>
      </c>
    </row>
    <row r="172" spans="1:68" x14ac:dyDescent="0.25">
      <c r="A172" t="str">
        <f t="shared" si="58"/>
        <v>3C Aggregated and non-CO2 emissions on land</v>
      </c>
      <c r="B172" t="str">
        <f t="shared" si="62"/>
        <v>3C6 Indirect N2O from manure management (N2O)</v>
      </c>
      <c r="C172" t="str">
        <f t="shared" si="63"/>
        <v>Volatilisation</v>
      </c>
      <c r="D172" t="str">
        <f>'Activity data'!D81</f>
        <v xml:space="preserve"> - Commercial broilers</v>
      </c>
      <c r="E172" t="str">
        <f t="shared" si="61"/>
        <v>Volatilisation - Commercial broilers</v>
      </c>
      <c r="F172" t="str">
        <f t="shared" si="47"/>
        <v>N2O</v>
      </c>
      <c r="G172" t="str">
        <f t="shared" si="48"/>
        <v>Gg N2O</v>
      </c>
      <c r="H172" s="23">
        <f>Constants!$H42*'Activity data'!H20*Constants!$H60*EF!$H221*MMVolatEF*NtoN2O*kgtoGg</f>
        <v>0.13300481081505974</v>
      </c>
      <c r="I172" s="23">
        <f>Constants!$H42*'Activity data'!I20*Constants!$H60*EF!$H221*MMVolatEF*NtoN2O*kgtoGg</f>
        <v>0.12502452232752509</v>
      </c>
      <c r="J172" s="23">
        <f>Constants!$H42*'Activity data'!J20*Constants!$H60*EF!$H221*MMVolatEF*NtoN2O*kgtoGg</f>
        <v>0.11815711721981632</v>
      </c>
      <c r="K172" s="23">
        <f>Constants!$H42*'Activity data'!K20*Constants!$H60*EF!$H221*MMVolatEF*NtoN2O*kgtoGg</f>
        <v>0.13288475431749616</v>
      </c>
      <c r="L172" s="23">
        <f>Constants!$H42*'Activity data'!L20*Constants!$H60*EF!$H221*MMVolatEF*NtoN2O*kgtoGg</f>
        <v>0.13163846288812139</v>
      </c>
      <c r="M172" s="23">
        <f>Constants!$H42*'Activity data'!M20*Constants!$H60*EF!$H221*MMVolatEF*NtoN2O*kgtoGg</f>
        <v>0.15067946452756478</v>
      </c>
      <c r="N172" s="23">
        <f>Constants!$H42*'Activity data'!N20*Constants!$H60*EF!$H221*MMVolatEF*NtoN2O*kgtoGg</f>
        <v>0.17520137856774748</v>
      </c>
      <c r="O172" s="23">
        <f>Constants!$H42*'Activity data'!O20*Constants!$H60*EF!$H221*MMVolatEF*NtoN2O*kgtoGg</f>
        <v>0.17833497655174868</v>
      </c>
      <c r="P172" s="23">
        <f>Constants!$H42*'Activity data'!P20*Constants!$H60*EF!$H221*MMVolatEF*NtoN2O*kgtoGg</f>
        <v>0.19540750250200264</v>
      </c>
      <c r="Q172" s="23">
        <f>Constants!$H42*'Activity data'!Q20*Constants!$H60*EF!$H221*MMVolatEF*NtoN2O*kgtoGg</f>
        <v>0.20400324067875486</v>
      </c>
      <c r="R172" s="23">
        <f>Constants!$H42*'Activity data'!R20*Constants!$H60*EF!$H221*MMVolatEF*NtoN2O*kgtoGg</f>
        <v>0.2194924541960066</v>
      </c>
      <c r="S172" s="23">
        <f>Constants!$H42*'Activity data'!S20*Constants!$H60*EF!$H221*MMVolatEF*NtoN2O*kgtoGg</f>
        <v>0.21194302789750966</v>
      </c>
      <c r="T172" s="23">
        <f>Constants!$H42*'Activity data'!T20*Constants!$H60*EF!$H221*MMVolatEF*NtoN2O*kgtoGg</f>
        <v>0.23490162161460634</v>
      </c>
      <c r="U172" s="23">
        <f>Constants!$H42*'Activity data'!U20*Constants!$H60*EF!$H221*MMVolatEF*NtoN2O*kgtoGg</f>
        <v>0.22342690340629309</v>
      </c>
      <c r="V172" s="23">
        <f>Constants!$H42*'Activity data'!V20*Constants!$H60*EF!$H221*MMVolatEF*NtoN2O*kgtoGg</f>
        <v>0.22882062376153647</v>
      </c>
      <c r="W172" s="23">
        <f>Constants!$H42*'Activity data'!W20*Constants!$H60*EF!$H221*MMVolatEF*NtoN2O*kgtoGg</f>
        <v>0.25318423090083292</v>
      </c>
      <c r="X172" s="23">
        <f>Constants!$H42*'Activity data'!X20*Constants!$H60*EF!$H221*MMVolatEF*NtoN2O*kgtoGg</f>
        <v>0.27080419841374809</v>
      </c>
      <c r="Y172" s="23">
        <f>Constants!$H42*'Activity data'!Y20*Constants!$H60*EF!$H221*MMVolatEF*NtoN2O*kgtoGg</f>
        <v>0.28333542117093263</v>
      </c>
      <c r="Z172" s="23">
        <f>Constants!$H42*'Activity data'!Z20*Constants!$H60*EF!$H221*MMVolatEF*NtoN2O*kgtoGg</f>
        <v>0.30167528975381169</v>
      </c>
      <c r="AA172" s="23">
        <f>Constants!$H42*'Activity data'!AA20*Constants!$H60*EF!$H221*MMVolatEF*NtoN2O*kgtoGg</f>
        <v>0.28466366211683397</v>
      </c>
      <c r="AB172" s="23">
        <f>Constants!$H42*'Activity data'!AB20*Constants!$H60*EF!$H221*MMVolatEF*NtoN2O*kgtoGg</f>
        <v>0.29182318020337894</v>
      </c>
      <c r="AC172" s="23">
        <f>Constants!$H42*'Activity data'!AC20*Constants!$H60*EF!$H221*MMVolatEF*NtoN2O*kgtoGg</f>
        <v>0.30182167573697893</v>
      </c>
      <c r="AD172" s="23">
        <f>Constants!$H42*'Activity data'!AD20*Constants!$H60*EF!$H221*MMVolatEF*NtoN2O*kgtoGg</f>
        <v>0.30854551920834883</v>
      </c>
      <c r="AE172" s="23">
        <f>Constants!$H42*'Activity data'!AE20*Constants!$H60*EF!$H221*MMVolatEF*NtoN2O*kgtoGg</f>
        <v>0.30046957158504495</v>
      </c>
      <c r="AF172" s="23">
        <f>Constants!$H42*'Activity data'!AF20*Constants!$H60*EF!$H221*MMVolatEF*NtoN2O*kgtoGg</f>
        <v>0.31413528247125444</v>
      </c>
      <c r="AG172" s="23">
        <f>Constants!$H42*'Activity data'!AG20*Constants!$H60*EF!$H221*MMVolatEF*NtoN2O*kgtoGg</f>
        <v>0.32680940621903676</v>
      </c>
      <c r="AH172" s="23">
        <f>Constants!$H42*'Activity data'!AH20*Constants!$H60*EF!$H221*MMVolatEF*NtoN2O*kgtoGg</f>
        <v>0.30390981719999993</v>
      </c>
      <c r="AI172" s="23">
        <f>Constants!$H42*'Activity data'!AI20*Constants!$H60*EF!$H221*MMVolatEF*NtoN2O*kgtoGg</f>
        <v>0.30352093529999996</v>
      </c>
      <c r="AJ172" s="23">
        <f>Constants!$H42*'Activity data'!AJ20*Constants!$H60*EF!$H221*MMVolatEF*NtoN2O*kgtoGg</f>
        <v>0.33672480312463804</v>
      </c>
      <c r="AK172" s="23">
        <f>Constants!$H42*'Activity data'!AK20*Constants!$H60*EF!$H221*MMVolatEF*NtoN2O*kgtoGg</f>
        <v>0.34279272324699495</v>
      </c>
      <c r="AL172" s="23">
        <f>Constants!$H42*'Activity data'!AL20*Constants!$H60*EF!$H221*MMVolatEF*NtoN2O*kgtoGg</f>
        <v>0.3488606433693518</v>
      </c>
      <c r="AM172" s="23">
        <f>Constants!$H42*'Activity data'!AM20*Constants!$H60*EF!$H221*MMVolatEF*NtoN2O*kgtoGg</f>
        <v>0.35501113515047944</v>
      </c>
      <c r="AN172" s="23">
        <f>Constants!$H42*'Activity data'!AN20*Constants!$H60*EF!$H221*MMVolatEF*NtoN2O*kgtoGg</f>
        <v>0.36116162681807878</v>
      </c>
      <c r="AO172" s="23">
        <f>Constants!$H42*'Activity data'!AO20*Constants!$H60*EF!$H221*MMVolatEF*NtoN2O*kgtoGg</f>
        <v>0.36731211848567796</v>
      </c>
      <c r="AP172" s="23">
        <f>Constants!$H42*'Activity data'!AP20*Constants!$H60*EF!$H221*MMVolatEF*NtoN2O*kgtoGg</f>
        <v>0.3734626101532772</v>
      </c>
      <c r="AQ172" s="23">
        <f>Constants!$H42*'Activity data'!AQ20*Constants!$H60*EF!$H221*MMVolatEF*NtoN2O*kgtoGg</f>
        <v>0.37961310193440473</v>
      </c>
      <c r="AR172" s="23">
        <f>Constants!$H42*'Activity data'!AR20*Constants!$H60*EF!$H221*MMVolatEF*NtoN2O*kgtoGg</f>
        <v>0.3862764998801177</v>
      </c>
      <c r="AS172" s="23">
        <f>Constants!$H42*'Activity data'!AS20*Constants!$H60*EF!$H221*MMVolatEF*NtoN2O*kgtoGg</f>
        <v>0.39293989782583066</v>
      </c>
      <c r="AT172" s="23">
        <f>Constants!$H42*'Activity data'!AT20*Constants!$H60*EF!$H221*MMVolatEF*NtoN2O*kgtoGg</f>
        <v>0.39960329577154341</v>
      </c>
      <c r="AU172" s="23">
        <f>Constants!$H42*'Activity data'!AU20*Constants!$H60*EF!$H221*MMVolatEF*NtoN2O*kgtoGg</f>
        <v>0.40626669371725627</v>
      </c>
      <c r="AV172" s="23">
        <f>Constants!$H42*'Activity data'!AV20*Constants!$H60*EF!$H221*MMVolatEF*NtoN2O*kgtoGg</f>
        <v>0.41293009166296929</v>
      </c>
      <c r="AW172" s="23">
        <f>Constants!$H42*'Activity data'!AW20*Constants!$H60*EF!$H221*MMVolatEF*NtoN2O*kgtoGg</f>
        <v>0.4193672663416913</v>
      </c>
      <c r="AX172" s="23">
        <f>Constants!$H42*'Activity data'!AX20*Constants!$H60*EF!$H221*MMVolatEF*NtoN2O*kgtoGg</f>
        <v>0.42580444090688485</v>
      </c>
      <c r="AY172" s="23">
        <f>Constants!$H42*'Activity data'!AY20*Constants!$H60*EF!$H221*MMVolatEF*NtoN2O*kgtoGg</f>
        <v>0.43224161558560709</v>
      </c>
      <c r="AZ172" s="23">
        <f>Constants!$H42*'Activity data'!AZ20*Constants!$H60*EF!$H221*MMVolatEF*NtoN2O*kgtoGg</f>
        <v>0.43867879015080097</v>
      </c>
      <c r="BA172" s="23">
        <f>Constants!$H42*'Activity data'!BA20*Constants!$H60*EF!$H221*MMVolatEF*NtoN2O*kgtoGg</f>
        <v>0.44511596471599463</v>
      </c>
      <c r="BB172" s="23">
        <f>Constants!$H42*'Activity data'!BB20*Constants!$H60*EF!$H221*MMVolatEF*NtoN2O*kgtoGg</f>
        <v>0.45180621483862382</v>
      </c>
      <c r="BC172" s="23">
        <f>Constants!$H42*'Activity data'!BC20*Constants!$H60*EF!$H221*MMVolatEF*NtoN2O*kgtoGg</f>
        <v>0.45849646496125279</v>
      </c>
      <c r="BD172" s="23">
        <f>Constants!$H42*'Activity data'!BD20*Constants!$H60*EF!$H221*MMVolatEF*NtoN2O*kgtoGg</f>
        <v>0.46518671497035374</v>
      </c>
      <c r="BE172" s="23">
        <f>Constants!$H42*'Activity data'!BE20*Constants!$H60*EF!$H221*MMVolatEF*NtoN2O*kgtoGg</f>
        <v>0.4718769650929826</v>
      </c>
      <c r="BF172" s="23">
        <f>Constants!$H42*'Activity data'!BF20*Constants!$H60*EF!$H221*MMVolatEF*NtoN2O*kgtoGg</f>
        <v>0.47856721521561157</v>
      </c>
      <c r="BG172" s="23">
        <f>Constants!$H42*'Activity data'!BG20*Constants!$H60*EF!$H221*MMVolatEF*NtoN2O*kgtoGg</f>
        <v>0.48620432540562492</v>
      </c>
      <c r="BH172" s="23">
        <f>Constants!$H42*'Activity data'!BH20*Constants!$H60*EF!$H221*MMVolatEF*NtoN2O*kgtoGg</f>
        <v>0.49384143548210951</v>
      </c>
      <c r="BI172" s="23">
        <f>Constants!$H42*'Activity data'!BI20*Constants!$H60*EF!$H221*MMVolatEF*NtoN2O*kgtoGg</f>
        <v>0.50147854567212269</v>
      </c>
      <c r="BJ172" s="23">
        <f>Constants!$H42*'Activity data'!BJ20*Constants!$H60*EF!$H221*MMVolatEF*NtoN2O*kgtoGg</f>
        <v>0.5091156558621357</v>
      </c>
      <c r="BK172" s="23">
        <f>Constants!$H42*'Activity data'!BK20*Constants!$H60*EF!$H221*MMVolatEF*NtoN2O*kgtoGg</f>
        <v>0.51675276605214859</v>
      </c>
      <c r="BL172" s="23">
        <f>Constants!$H42*'Activity data'!BL20*Constants!$H60*EF!$H221*MMVolatEF*NtoN2O*kgtoGg</f>
        <v>0.5241203309014929</v>
      </c>
      <c r="BM172" s="23">
        <f>Constants!$H42*'Activity data'!BM20*Constants!$H60*EF!$H221*MMVolatEF*NtoN2O*kgtoGg</f>
        <v>0.53148789575083666</v>
      </c>
      <c r="BN172" s="23">
        <f>Constants!$H42*'Activity data'!BN20*Constants!$H60*EF!$H221*MMVolatEF*NtoN2O*kgtoGg</f>
        <v>0.53885546071370904</v>
      </c>
      <c r="BO172" s="23">
        <f>Constants!$H42*'Activity data'!BO20*Constants!$H60*EF!$H221*MMVolatEF*NtoN2O*kgtoGg</f>
        <v>0.5462230255630528</v>
      </c>
      <c r="BP172" s="23">
        <f>Constants!$H42*'Activity data'!BP20*Constants!$H60*EF!$H221*MMVolatEF*NtoN2O*kgtoGg</f>
        <v>0.55359059041239678</v>
      </c>
    </row>
    <row r="173" spans="1:68" x14ac:dyDescent="0.25">
      <c r="A173" t="str">
        <f t="shared" si="58"/>
        <v>3C Aggregated and non-CO2 emissions on land</v>
      </c>
      <c r="B173" t="str">
        <f>B172</f>
        <v>3C6 Indirect N2O from manure management (N2O)</v>
      </c>
      <c r="C173" t="str">
        <f>'IPCC Categories'!C81</f>
        <v>Leaching/runoff</v>
      </c>
      <c r="D173" t="str">
        <f>D157</f>
        <v xml:space="preserve"> - TMR</v>
      </c>
      <c r="E173" t="str">
        <f t="shared" ref="E173:E188" si="64">C173&amp;D173</f>
        <v>Leaching/runoff - TMR</v>
      </c>
      <c r="F173" t="str">
        <f t="shared" si="47"/>
        <v>N2O</v>
      </c>
      <c r="G173" t="str">
        <f t="shared" si="48"/>
        <v>Gg N2O</v>
      </c>
      <c r="H173" s="23">
        <f>Constants!$H27*'Activity data'!H5*Constants!$H45*FracLEACHMM*MMLeachEF*NtoN2O*kgtoGg</f>
        <v>7.3742305268764158E-2</v>
      </c>
      <c r="I173" s="23">
        <f>Constants!$H27*'Activity data'!I5*Constants!$H45*FracLEACHMM*MMLeachEF*NtoN2O*kgtoGg</f>
        <v>8.4896547684682147E-2</v>
      </c>
      <c r="J173" s="23">
        <f>Constants!$H27*'Activity data'!J5*Constants!$H45*FracLEACHMM*MMLeachEF*NtoN2O*kgtoGg</f>
        <v>7.3446498482406364E-2</v>
      </c>
      <c r="K173" s="23">
        <f>Constants!$H27*'Activity data'!K5*Constants!$H45*FracLEACHMM*MMLeachEF*NtoN2O*kgtoGg</f>
        <v>7.7896894964800331E-2</v>
      </c>
      <c r="L173" s="23">
        <f>Constants!$H27*'Activity data'!L5*Constants!$H45*FracLEACHMM*MMLeachEF*NtoN2O*kgtoGg</f>
        <v>7.2263271336975257E-2</v>
      </c>
      <c r="M173" s="23">
        <f>Constants!$H27*'Activity data'!M5*Constants!$H45*FracLEACHMM*MMLeachEF*NtoN2O*kgtoGg</f>
        <v>7.7305281392084785E-2</v>
      </c>
      <c r="N173" s="23">
        <f>Constants!$H27*'Activity data'!N5*Constants!$H45*FracLEACHMM*MMLeachEF*NtoN2O*kgtoGg</f>
        <v>7.7601088178442565E-2</v>
      </c>
      <c r="O173" s="23">
        <f>Constants!$H27*'Activity data'!O5*Constants!$H45*FracLEACHMM*MMLeachEF*NtoN2O*kgtoGg</f>
        <v>7.4812527574463092E-2</v>
      </c>
      <c r="P173" s="23">
        <f>Constants!$H27*'Activity data'!P5*Constants!$H45*FracLEACHMM*MMLeachEF*NtoN2O*kgtoGg</f>
        <v>7.3925107215389751E-2</v>
      </c>
      <c r="Q173" s="23">
        <f>Constants!$H27*'Activity data'!Q5*Constants!$H45*FracLEACHMM*MMLeachEF*NtoN2O*kgtoGg</f>
        <v>7.2615580543199124E-2</v>
      </c>
      <c r="R173" s="23">
        <f>Constants!$H27*'Activity data'!R5*Constants!$H45*FracLEACHMM*MMLeachEF*NtoN2O*kgtoGg</f>
        <v>9.3501533863112316E-2</v>
      </c>
      <c r="S173" s="23">
        <f>Constants!$H27*'Activity data'!S5*Constants!$H45*FracLEACHMM*MMLeachEF*NtoN2O*kgtoGg</f>
        <v>9.3205727076754535E-2</v>
      </c>
      <c r="T173" s="23">
        <f>Constants!$H27*'Activity data'!T5*Constants!$H45*FracLEACHMM*MMLeachEF*NtoN2O*kgtoGg</f>
        <v>8.127706914149542E-2</v>
      </c>
      <c r="U173" s="23">
        <f>Constants!$H27*'Activity data'!U5*Constants!$H45*FracLEACHMM*MMLeachEF*NtoN2O*kgtoGg</f>
        <v>7.3925107215389751E-2</v>
      </c>
      <c r="V173" s="23">
        <f>Constants!$H27*'Activity data'!V5*Constants!$H45*FracLEACHMM*MMLeachEF*NtoN2O*kgtoGg</f>
        <v>7.1375850977901931E-2</v>
      </c>
      <c r="W173" s="23">
        <f>Constants!$H27*'Activity data'!W5*Constants!$H45*FracLEACHMM*MMLeachEF*NtoN2O*kgtoGg</f>
        <v>7.6417861033011458E-2</v>
      </c>
      <c r="X173" s="23">
        <f>Constants!$H27*'Activity data'!X5*Constants!$H45*FracLEACHMM*MMLeachEF*NtoN2O*kgtoGg</f>
        <v>7.4756025154596978E-2</v>
      </c>
      <c r="Y173" s="23">
        <f>Constants!$H27*'Activity data'!Y5*Constants!$H45*FracLEACHMM*MMLeachEF*NtoN2O*kgtoGg</f>
        <v>7.4220914001747532E-2</v>
      </c>
      <c r="Z173" s="23">
        <f>Constants!$H27*'Activity data'!Z5*Constants!$H45*FracLEACHMM*MMLeachEF*NtoN2O*kgtoGg</f>
        <v>9.0895775205758408E-2</v>
      </c>
      <c r="AA173" s="23">
        <f>Constants!$H27*'Activity data'!AA5*Constants!$H45*FracLEACHMM*MMLeachEF*NtoN2O*kgtoGg</f>
        <v>9.3149224656888435E-2</v>
      </c>
      <c r="AB173" s="23">
        <f>Constants!$H27*'Activity data'!AB5*Constants!$H45*FracLEACHMM*MMLeachEF*NtoN2O*kgtoGg</f>
        <v>9.3149224656888435E-2</v>
      </c>
      <c r="AC173" s="23">
        <f>Constants!$H27*'Activity data'!AC5*Constants!$H45*FracLEACHMM*MMLeachEF*NtoN2O*kgtoGg</f>
        <v>8.9769050480193388E-2</v>
      </c>
      <c r="AD173" s="23">
        <f>Constants!$H27*'Activity data'!AD5*Constants!$H45*FracLEACHMM*MMLeachEF*NtoN2O*kgtoGg</f>
        <v>8.6445378723364427E-2</v>
      </c>
      <c r="AE173" s="23">
        <f>Constants!$H27*'Activity data'!AE5*Constants!$H45*FracLEACHMM*MMLeachEF*NtoN2O*kgtoGg</f>
        <v>9.3205727076754535E-2</v>
      </c>
      <c r="AF173" s="23">
        <f>Constants!$H27*'Activity data'!AF5*Constants!$H45*FracLEACHMM*MMLeachEF*NtoN2O*kgtoGg</f>
        <v>8.8107214601778922E-2</v>
      </c>
      <c r="AG173" s="23">
        <f>Constants!$H27*'Activity data'!AG5*Constants!$H45*FracLEACHMM*MMLeachEF*NtoN2O*kgtoGg</f>
        <v>8.9177436907477828E-2</v>
      </c>
      <c r="AH173" s="23">
        <f>Constants!$H27*'Activity data'!AH5*Constants!$H45*FracLEACHMM*MMLeachEF*NtoN2O*kgtoGg</f>
        <v>9.2501108664306789E-2</v>
      </c>
      <c r="AI173" s="23">
        <f>Constants!$H27*'Activity data'!AI5*Constants!$H45*FracLEACHMM*MMLeachEF*NtoN2O*kgtoGg</f>
        <v>9.9500761384188605E-2</v>
      </c>
      <c r="AJ173" s="23">
        <f>Constants!$H27*'Activity data'!AJ5*Constants!$H45*FracLEACHMM*MMLeachEF*NtoN2O*kgtoGg</f>
        <v>9.0823903281599075E-2</v>
      </c>
      <c r="AK173" s="23">
        <f>Constants!$H27*'Activity data'!AK5*Constants!$H45*FracLEACHMM*MMLeachEF*NtoN2O*kgtoGg</f>
        <v>9.1145705444301853E-2</v>
      </c>
      <c r="AL173" s="23">
        <f>Constants!$H27*'Activity data'!AL5*Constants!$H45*FracLEACHMM*MMLeachEF*NtoN2O*kgtoGg</f>
        <v>9.096543752673189E-2</v>
      </c>
      <c r="AM173" s="23">
        <f>Constants!$H27*'Activity data'!AM5*Constants!$H45*FracLEACHMM*MMLeachEF*NtoN2O*kgtoGg</f>
        <v>9.1365752012665988E-2</v>
      </c>
      <c r="AN173" s="23">
        <f>Constants!$H27*'Activity data'!AN5*Constants!$H45*FracLEACHMM*MMLeachEF*NtoN2O*kgtoGg</f>
        <v>9.176096282697653E-2</v>
      </c>
      <c r="AO173" s="23">
        <f>Constants!$H27*'Activity data'!AO5*Constants!$H45*FracLEACHMM*MMLeachEF*NtoN2O*kgtoGg</f>
        <v>9.215731927479183E-2</v>
      </c>
      <c r="AP173" s="23">
        <f>Constants!$H27*'Activity data'!AP5*Constants!$H45*FracLEACHMM*MMLeachEF*NtoN2O*kgtoGg</f>
        <v>9.2549282177159159E-2</v>
      </c>
      <c r="AQ173" s="23">
        <f>Constants!$H27*'Activity data'!AQ5*Constants!$H45*FracLEACHMM*MMLeachEF*NtoN2O*kgtoGg</f>
        <v>9.2946341144798925E-2</v>
      </c>
      <c r="AR173" s="23">
        <f>Constants!$H27*'Activity data'!AR5*Constants!$H45*FracLEACHMM*MMLeachEF*NtoN2O*kgtoGg</f>
        <v>9.3389443359504984E-2</v>
      </c>
      <c r="AS173" s="23">
        <f>Constants!$H27*'Activity data'!AS5*Constants!$H45*FracLEACHMM*MMLeachEF*NtoN2O*kgtoGg</f>
        <v>9.3831194374190463E-2</v>
      </c>
      <c r="AT173" s="23">
        <f>Constants!$H27*'Activity data'!AT5*Constants!$H45*FracLEACHMM*MMLeachEF*NtoN2O*kgtoGg</f>
        <v>9.4279843374200326E-2</v>
      </c>
      <c r="AU173" s="23">
        <f>Constants!$H27*'Activity data'!AU5*Constants!$H45*FracLEACHMM*MMLeachEF*NtoN2O*kgtoGg</f>
        <v>9.4733614374057126E-2</v>
      </c>
      <c r="AV173" s="23">
        <f>Constants!$H27*'Activity data'!AV5*Constants!$H45*FracLEACHMM*MMLeachEF*NtoN2O*kgtoGg</f>
        <v>9.5192974871805031E-2</v>
      </c>
      <c r="AW173" s="23">
        <f>Constants!$H27*'Activity data'!AW5*Constants!$H45*FracLEACHMM*MMLeachEF*NtoN2O*kgtoGg</f>
        <v>9.5675130054335741E-2</v>
      </c>
      <c r="AX173" s="23">
        <f>Constants!$H27*'Activity data'!AX5*Constants!$H45*FracLEACHMM*MMLeachEF*NtoN2O*kgtoGg</f>
        <v>9.6148095979499359E-2</v>
      </c>
      <c r="AY173" s="23">
        <f>Constants!$H27*'Activity data'!AY5*Constants!$H45*FracLEACHMM*MMLeachEF*NtoN2O*kgtoGg</f>
        <v>9.6641788241420432E-2</v>
      </c>
      <c r="AZ173" s="23">
        <f>Constants!$H27*'Activity data'!AZ5*Constants!$H45*FracLEACHMM*MMLeachEF*NtoN2O*kgtoGg</f>
        <v>9.7149970012154585E-2</v>
      </c>
      <c r="BA173" s="23">
        <f>Constants!$H27*'Activity data'!BA5*Constants!$H45*FracLEACHMM*MMLeachEF*NtoN2O*kgtoGg</f>
        <v>9.7673425531042662E-2</v>
      </c>
      <c r="BB173" s="23">
        <f>Constants!$H27*'Activity data'!BB5*Constants!$H45*FracLEACHMM*MMLeachEF*NtoN2O*kgtoGg</f>
        <v>9.8215120080295051E-2</v>
      </c>
      <c r="BC173" s="23">
        <f>Constants!$H27*'Activity data'!BC5*Constants!$H45*FracLEACHMM*MMLeachEF*NtoN2O*kgtoGg</f>
        <v>9.8767320365735045E-2</v>
      </c>
      <c r="BD173" s="23">
        <f>Constants!$H27*'Activity data'!BD5*Constants!$H45*FracLEACHMM*MMLeachEF*NtoN2O*kgtoGg</f>
        <v>9.9323423484422912E-2</v>
      </c>
      <c r="BE173" s="23">
        <f>Constants!$H27*'Activity data'!BE5*Constants!$H45*FracLEACHMM*MMLeachEF*NtoN2O*kgtoGg</f>
        <v>9.9890131421931205E-2</v>
      </c>
      <c r="BF173" s="23">
        <f>Constants!$H27*'Activity data'!BF5*Constants!$H45*FracLEACHMM*MMLeachEF*NtoN2O*kgtoGg</f>
        <v>0.10047337849237016</v>
      </c>
      <c r="BG173" s="23">
        <f>Constants!$H27*'Activity data'!BG5*Constants!$H45*FracLEACHMM*MMLeachEF*NtoN2O*kgtoGg</f>
        <v>0.10111043650111261</v>
      </c>
      <c r="BH173" s="23">
        <f>Constants!$H27*'Activity data'!BH5*Constants!$H45*FracLEACHMM*MMLeachEF*NtoN2O*kgtoGg</f>
        <v>0.10176019106517671</v>
      </c>
      <c r="BI173" s="23">
        <f>Constants!$H27*'Activity data'!BI5*Constants!$H45*FracLEACHMM*MMLeachEF*NtoN2O*kgtoGg</f>
        <v>0.10242191842106133</v>
      </c>
      <c r="BJ173" s="23">
        <f>Constants!$H27*'Activity data'!BJ5*Constants!$H45*FracLEACHMM*MMLeachEF*NtoN2O*kgtoGg</f>
        <v>0.10309740508108139</v>
      </c>
      <c r="BK173" s="23">
        <f>Constants!$H27*'Activity data'!BK5*Constants!$H45*FracLEACHMM*MMLeachEF*NtoN2O*kgtoGg</f>
        <v>0.10379373411843933</v>
      </c>
      <c r="BL173" s="23">
        <f>Constants!$H27*'Activity data'!BL5*Constants!$H45*FracLEACHMM*MMLeachEF*NtoN2O*kgtoGg</f>
        <v>0.10449578689540177</v>
      </c>
      <c r="BM173" s="23">
        <f>Constants!$H27*'Activity data'!BM5*Constants!$H45*FracLEACHMM*MMLeachEF*NtoN2O*kgtoGg</f>
        <v>0.10521581055462378</v>
      </c>
      <c r="BN173" s="23">
        <f>Constants!$H27*'Activity data'!BN5*Constants!$H45*FracLEACHMM*MMLeachEF*NtoN2O*kgtoGg</f>
        <v>0.10594034068938638</v>
      </c>
      <c r="BO173" s="23">
        <f>Constants!$H27*'Activity data'!BO5*Constants!$H45*FracLEACHMM*MMLeachEF*NtoN2O*kgtoGg</f>
        <v>0.10668447043569573</v>
      </c>
      <c r="BP173" s="23">
        <f>Constants!$H27*'Activity data'!BP5*Constants!$H45*FracLEACHMM*MMLeachEF*NtoN2O*kgtoGg</f>
        <v>0.1074498353591181</v>
      </c>
    </row>
    <row r="174" spans="1:68" x14ac:dyDescent="0.25">
      <c r="A174" t="str">
        <f t="shared" si="58"/>
        <v>3C Aggregated and non-CO2 emissions on land</v>
      </c>
      <c r="B174" t="str">
        <f t="shared" ref="B174:B185" si="65">B173</f>
        <v>3C6 Indirect N2O from manure management (N2O)</v>
      </c>
      <c r="C174" t="str">
        <f>C173</f>
        <v>Leaching/runoff</v>
      </c>
      <c r="D174" t="str">
        <f t="shared" ref="D174:D187" si="66">D158</f>
        <v xml:space="preserve"> - Pasture</v>
      </c>
      <c r="E174" t="str">
        <f t="shared" si="64"/>
        <v>Leaching/runoff - Pasture</v>
      </c>
      <c r="F174" t="str">
        <f t="shared" si="47"/>
        <v>N2O</v>
      </c>
      <c r="G174" t="str">
        <f t="shared" si="48"/>
        <v>Gg N2O</v>
      </c>
      <c r="H174" s="23">
        <f>Constants!$H28*'Activity data'!H6*Constants!$H46*FracLEACHMM*MMLeachEF*NtoN2O*kgtoGg</f>
        <v>2.2025932152541016E-2</v>
      </c>
      <c r="I174" s="23">
        <f>Constants!$H28*'Activity data'!I6*Constants!$H46*FracLEACHMM*MMLeachEF*NtoN2O*kgtoGg</f>
        <v>2.5357569070733093E-2</v>
      </c>
      <c r="J174" s="23">
        <f>Constants!$H28*'Activity data'!J6*Constants!$H46*FracLEACHMM*MMLeachEF*NtoN2O*kgtoGg</f>
        <v>2.1937578253339852E-2</v>
      </c>
      <c r="K174" s="23">
        <f>Constants!$H28*'Activity data'!K6*Constants!$H46*FracLEACHMM*MMLeachEF*NtoN2O*kgtoGg</f>
        <v>2.3266857703119107E-2</v>
      </c>
      <c r="L174" s="23">
        <f>Constants!$H28*'Activity data'!L6*Constants!$H46*FracLEACHMM*MMLeachEF*NtoN2O*kgtoGg</f>
        <v>2.1584162656535212E-2</v>
      </c>
      <c r="M174" s="23">
        <f>Constants!$H28*'Activity data'!M6*Constants!$H46*FracLEACHMM*MMLeachEF*NtoN2O*kgtoGg</f>
        <v>2.3090149904716788E-2</v>
      </c>
      <c r="N174" s="23">
        <f>Constants!$H28*'Activity data'!N6*Constants!$H46*FracLEACHMM*MMLeachEF*NtoN2O*kgtoGg</f>
        <v>2.3178503803917949E-2</v>
      </c>
      <c r="O174" s="23">
        <f>Constants!$H28*'Activity data'!O6*Constants!$H46*FracLEACHMM*MMLeachEF*NtoN2O*kgtoGg</f>
        <v>2.234559457436993E-2</v>
      </c>
      <c r="P174" s="23">
        <f>Constants!$H28*'Activity data'!P6*Constants!$H46*FracLEACHMM*MMLeachEF*NtoN2O*kgtoGg</f>
        <v>2.2080532876766451E-2</v>
      </c>
      <c r="Q174" s="23">
        <f>Constants!$H28*'Activity data'!Q6*Constants!$H46*FracLEACHMM*MMLeachEF*NtoN2O*kgtoGg</f>
        <v>2.1689393143224225E-2</v>
      </c>
      <c r="R174" s="23">
        <f>Constants!$H28*'Activity data'!R6*Constants!$H46*FracLEACHMM*MMLeachEF*NtoN2O*kgtoGg</f>
        <v>2.7927774071090448E-2</v>
      </c>
      <c r="S174" s="23">
        <f>Constants!$H28*'Activity data'!S6*Constants!$H46*FracLEACHMM*MMLeachEF*NtoN2O*kgtoGg</f>
        <v>2.7839420171889291E-2</v>
      </c>
      <c r="T174" s="23">
        <f>Constants!$H28*'Activity data'!T6*Constants!$H46*FracLEACHMM*MMLeachEF*NtoN2O*kgtoGg</f>
        <v>2.4276474731069451E-2</v>
      </c>
      <c r="U174" s="23">
        <f>Constants!$H28*'Activity data'!U6*Constants!$H46*FracLEACHMM*MMLeachEF*NtoN2O*kgtoGg</f>
        <v>2.2080532876766451E-2</v>
      </c>
      <c r="V174" s="23">
        <f>Constants!$H28*'Activity data'!V6*Constants!$H46*FracLEACHMM*MMLeachEF*NtoN2O*kgtoGg</f>
        <v>2.1319100958931726E-2</v>
      </c>
      <c r="W174" s="23">
        <f>Constants!$H28*'Activity data'!W6*Constants!$H46*FracLEACHMM*MMLeachEF*NtoN2O*kgtoGg</f>
        <v>2.2825088207113309E-2</v>
      </c>
      <c r="X174" s="23">
        <f>Constants!$H28*'Activity data'!X6*Constants!$H46*FracLEACHMM*MMLeachEF*NtoN2O*kgtoGg</f>
        <v>2.2328717986882064E-2</v>
      </c>
      <c r="Y174" s="23">
        <f>Constants!$H28*'Activity data'!Y6*Constants!$H46*FracLEACHMM*MMLeachEF*NtoN2O*kgtoGg</f>
        <v>2.2168886775967608E-2</v>
      </c>
      <c r="Z174" s="23">
        <f>Constants!$H28*'Activity data'!Z6*Constants!$H46*FracLEACHMM*MMLeachEF*NtoN2O*kgtoGg</f>
        <v>2.7149465565767861E-2</v>
      </c>
      <c r="AA174" s="23">
        <f>Constants!$H28*'Activity data'!AA6*Constants!$H46*FracLEACHMM*MMLeachEF*NtoN2O*kgtoGg</f>
        <v>2.7822543584401425E-2</v>
      </c>
      <c r="AB174" s="23">
        <f>Constants!$H28*'Activity data'!AB6*Constants!$H46*FracLEACHMM*MMLeachEF*NtoN2O*kgtoGg</f>
        <v>2.7822543584401425E-2</v>
      </c>
      <c r="AC174" s="23">
        <f>Constants!$H28*'Activity data'!AC6*Constants!$H46*FracLEACHMM*MMLeachEF*NtoN2O*kgtoGg</f>
        <v>2.681292655645108E-2</v>
      </c>
      <c r="AD174" s="23">
        <f>Constants!$H28*'Activity data'!AD6*Constants!$H46*FracLEACHMM*MMLeachEF*NtoN2O*kgtoGg</f>
        <v>2.5820186115988606E-2</v>
      </c>
      <c r="AE174" s="23">
        <f>Constants!$H28*'Activity data'!AE6*Constants!$H46*FracLEACHMM*MMLeachEF*NtoN2O*kgtoGg</f>
        <v>2.7839420171889291E-2</v>
      </c>
      <c r="AF174" s="23">
        <f>Constants!$H28*'Activity data'!AF6*Constants!$H46*FracLEACHMM*MMLeachEF*NtoN2O*kgtoGg</f>
        <v>2.6316556336219848E-2</v>
      </c>
      <c r="AG174" s="23">
        <f>Constants!$H28*'Activity data'!AG6*Constants!$H46*FracLEACHMM*MMLeachEF*NtoN2O*kgtoGg</f>
        <v>2.6636218758048759E-2</v>
      </c>
      <c r="AH174" s="23">
        <f>Constants!$H28*'Activity data'!AH6*Constants!$H46*FracLEACHMM*MMLeachEF*NtoN2O*kgtoGg</f>
        <v>2.762895919851124E-2</v>
      </c>
      <c r="AI174" s="23">
        <f>Constants!$H28*'Activity data'!AI6*Constants!$H46*FracLEACHMM*MMLeachEF*NtoN2O*kgtoGg</f>
        <v>2.9719670566125223E-2</v>
      </c>
      <c r="AJ174" s="23">
        <f>Constants!$H28*'Activity data'!AJ6*Constants!$H46*FracLEACHMM*MMLeachEF*NtoN2O*kgtoGg</f>
        <v>2.7082608447207012E-2</v>
      </c>
      <c r="AK174" s="23">
        <f>Constants!$H28*'Activity data'!AK6*Constants!$H46*FracLEACHMM*MMLeachEF*NtoN2O*kgtoGg</f>
        <v>2.7178566027260823E-2</v>
      </c>
      <c r="AL174" s="23">
        <f>Constants!$H28*'Activity data'!AL6*Constants!$H46*FracLEACHMM*MMLeachEF*NtoN2O*kgtoGg</f>
        <v>2.7124812276863159E-2</v>
      </c>
      <c r="AM174" s="23">
        <f>Constants!$H28*'Activity data'!AM6*Constants!$H46*FracLEACHMM*MMLeachEF*NtoN2O*kgtoGg</f>
        <v>2.724418129852571E-2</v>
      </c>
      <c r="AN174" s="23">
        <f>Constants!$H28*'Activity data'!AN6*Constants!$H46*FracLEACHMM*MMLeachEF*NtoN2O*kgtoGg</f>
        <v>2.7362028465971137E-2</v>
      </c>
      <c r="AO174" s="23">
        <f>Constants!$H28*'Activity data'!AO6*Constants!$H46*FracLEACHMM*MMLeachEF*NtoN2O*kgtoGg</f>
        <v>2.7480217247710954E-2</v>
      </c>
      <c r="AP174" s="23">
        <f>Constants!$H28*'Activity data'!AP6*Constants!$H46*FracLEACHMM*MMLeachEF*NtoN2O*kgtoGg</f>
        <v>2.7597095926418829E-2</v>
      </c>
      <c r="AQ174" s="23">
        <f>Constants!$H28*'Activity data'!AQ6*Constants!$H46*FracLEACHMM*MMLeachEF*NtoN2O*kgtoGg</f>
        <v>2.7715494191220335E-2</v>
      </c>
      <c r="AR174" s="23">
        <f>Constants!$H28*'Activity data'!AR6*Constants!$H46*FracLEACHMM*MMLeachEF*NtoN2O*kgtoGg</f>
        <v>2.7847622005037882E-2</v>
      </c>
      <c r="AS174" s="23">
        <f>Constants!$H28*'Activity data'!AS6*Constants!$H46*FracLEACHMM*MMLeachEF*NtoN2O*kgtoGg</f>
        <v>2.7979346907069345E-2</v>
      </c>
      <c r="AT174" s="23">
        <f>Constants!$H28*'Activity data'!AT6*Constants!$H46*FracLEACHMM*MMLeachEF*NtoN2O*kgtoGg</f>
        <v>2.8113128706336706E-2</v>
      </c>
      <c r="AU174" s="23">
        <f>Constants!$H28*'Activity data'!AU6*Constants!$H46*FracLEACHMM*MMLeachEF*NtoN2O*kgtoGg</f>
        <v>2.8248437825079561E-2</v>
      </c>
      <c r="AV174" s="23">
        <f>Constants!$H28*'Activity data'!AV6*Constants!$H46*FracLEACHMM*MMLeachEF*NtoN2O*kgtoGg</f>
        <v>2.8385413665658103E-2</v>
      </c>
      <c r="AW174" s="23">
        <f>Constants!$H28*'Activity data'!AW6*Constants!$H46*FracLEACHMM*MMLeachEF*NtoN2O*kgtoGg</f>
        <v>2.8529186610306647E-2</v>
      </c>
      <c r="AX174" s="23">
        <f>Constants!$H28*'Activity data'!AX6*Constants!$H46*FracLEACHMM*MMLeachEF*NtoN2O*kgtoGg</f>
        <v>2.8670219427629675E-2</v>
      </c>
      <c r="AY174" s="23">
        <f>Constants!$H28*'Activity data'!AY6*Constants!$H46*FracLEACHMM*MMLeachEF*NtoN2O*kgtoGg</f>
        <v>2.8817432592225436E-2</v>
      </c>
      <c r="AZ174" s="23">
        <f>Constants!$H28*'Activity data'!AZ6*Constants!$H46*FracLEACHMM*MMLeachEF*NtoN2O*kgtoGg</f>
        <v>2.8968966356130405E-2</v>
      </c>
      <c r="BA174" s="23">
        <f>Constants!$H28*'Activity data'!BA6*Constants!$H46*FracLEACHMM*MMLeachEF*NtoN2O*kgtoGg</f>
        <v>2.9125054570194729E-2</v>
      </c>
      <c r="BB174" s="23">
        <f>Constants!$H28*'Activity data'!BB6*Constants!$H46*FracLEACHMM*MMLeachEF*NtoN2O*kgtoGg</f>
        <v>2.92865814463289E-2</v>
      </c>
      <c r="BC174" s="23">
        <f>Constants!$H28*'Activity data'!BC6*Constants!$H46*FracLEACHMM*MMLeachEF*NtoN2O*kgtoGg</f>
        <v>2.9451241008125521E-2</v>
      </c>
      <c r="BD174" s="23">
        <f>Constants!$H28*'Activity data'!BD6*Constants!$H46*FracLEACHMM*MMLeachEF*NtoN2O*kgtoGg</f>
        <v>2.9617064348408516E-2</v>
      </c>
      <c r="BE174" s="23">
        <f>Constants!$H28*'Activity data'!BE6*Constants!$H46*FracLEACHMM*MMLeachEF*NtoN2O*kgtoGg</f>
        <v>2.9786049919617402E-2</v>
      </c>
      <c r="BF174" s="23">
        <f>Constants!$H28*'Activity data'!BF6*Constants!$H46*FracLEACHMM*MMLeachEF*NtoN2O*kgtoGg</f>
        <v>2.9959967263685997E-2</v>
      </c>
      <c r="BG174" s="23">
        <f>Constants!$H28*'Activity data'!BG6*Constants!$H46*FracLEACHMM*MMLeachEF*NtoN2O*kgtoGg</f>
        <v>3.0149930389972646E-2</v>
      </c>
      <c r="BH174" s="23">
        <f>Constants!$H28*'Activity data'!BH6*Constants!$H46*FracLEACHMM*MMLeachEF*NtoN2O*kgtoGg</f>
        <v>3.0343679478147981E-2</v>
      </c>
      <c r="BI174" s="23">
        <f>Constants!$H28*'Activity data'!BI6*Constants!$H46*FracLEACHMM*MMLeachEF*NtoN2O*kgtoGg</f>
        <v>3.0540998710538409E-2</v>
      </c>
      <c r="BJ174" s="23">
        <f>Constants!$H28*'Activity data'!BJ6*Constants!$H46*FracLEACHMM*MMLeachEF*NtoN2O*kgtoGg</f>
        <v>3.0742420803882214E-2</v>
      </c>
      <c r="BK174" s="23">
        <f>Constants!$H28*'Activity data'!BK6*Constants!$H46*FracLEACHMM*MMLeachEF*NtoN2O*kgtoGg</f>
        <v>3.0950057846420635E-2</v>
      </c>
      <c r="BL174" s="23">
        <f>Constants!$H28*'Activity data'!BL6*Constants!$H46*FracLEACHMM*MMLeachEF*NtoN2O*kgtoGg</f>
        <v>3.1159401640078088E-2</v>
      </c>
      <c r="BM174" s="23">
        <f>Constants!$H28*'Activity data'!BM6*Constants!$H46*FracLEACHMM*MMLeachEF*NtoN2O*kgtoGg</f>
        <v>3.1374104137227715E-2</v>
      </c>
      <c r="BN174" s="23">
        <f>Constants!$H28*'Activity data'!BN6*Constants!$H46*FracLEACHMM*MMLeachEF*NtoN2O*kgtoGg</f>
        <v>3.1590150411820637E-2</v>
      </c>
      <c r="BO174" s="23">
        <f>Constants!$H28*'Activity data'!BO6*Constants!$H46*FracLEACHMM*MMLeachEF*NtoN2O*kgtoGg</f>
        <v>3.181204105762047E-2</v>
      </c>
      <c r="BP174" s="23">
        <f>Constants!$H28*'Activity data'!BP6*Constants!$H46*FracLEACHMM*MMLeachEF*NtoN2O*kgtoGg</f>
        <v>3.2040263780839129E-2</v>
      </c>
    </row>
    <row r="175" spans="1:68" x14ac:dyDescent="0.25">
      <c r="A175" t="str">
        <f t="shared" si="58"/>
        <v>3C Aggregated and non-CO2 emissions on land</v>
      </c>
      <c r="B175" t="str">
        <f t="shared" si="65"/>
        <v>3C6 Indirect N2O from manure management (N2O)</v>
      </c>
      <c r="C175" t="str">
        <f t="shared" ref="C175:C188" si="67">C174</f>
        <v>Leaching/runoff</v>
      </c>
      <c r="D175" t="str">
        <f t="shared" si="66"/>
        <v xml:space="preserve"> - Non-lactating</v>
      </c>
      <c r="E175" t="str">
        <f t="shared" si="64"/>
        <v>Leaching/runoff - Non-lactating</v>
      </c>
      <c r="F175" t="str">
        <f t="shared" si="47"/>
        <v>N2O</v>
      </c>
      <c r="G175" t="str">
        <f t="shared" si="48"/>
        <v>Gg N2O</v>
      </c>
      <c r="H175" s="23">
        <f>Constants!$H29*'Activity data'!H7*Constants!$H47*FracLEACHMM*MMLeachEF*NtoN2O*kgtoGg</f>
        <v>1.3979514898089494E-3</v>
      </c>
      <c r="I175" s="23">
        <f>Constants!$H29*'Activity data'!I7*Constants!$H47*FracLEACHMM*MMLeachEF*NtoN2O*kgtoGg</f>
        <v>1.5889950208478596E-3</v>
      </c>
      <c r="J175" s="23">
        <f>Constants!$H29*'Activity data'!J7*Constants!$H47*FracLEACHMM*MMLeachEF*NtoN2O*kgtoGg</f>
        <v>1.3744848308576839E-3</v>
      </c>
      <c r="K175" s="23">
        <f>Constants!$H29*'Activity data'!K7*Constants!$H47*FracLEACHMM*MMLeachEF*NtoN2O*kgtoGg</f>
        <v>1.4384418628230538E-3</v>
      </c>
      <c r="L175" s="23">
        <f>Constants!$H29*'Activity data'!L7*Constants!$H47*FracLEACHMM*MMLeachEF*NtoN2O*kgtoGg</f>
        <v>1.280618195052625E-3</v>
      </c>
      <c r="M175" s="23">
        <f>Constants!$H29*'Activity data'!M7*Constants!$H47*FracLEACHMM*MMLeachEF*NtoN2O*kgtoGg</f>
        <v>1.3915085449205237E-3</v>
      </c>
      <c r="N175" s="23">
        <f>Constants!$H29*'Activity data'!N7*Constants!$H47*FracLEACHMM*MMLeachEF*NtoN2O*kgtoGg</f>
        <v>1.4149752038717883E-3</v>
      </c>
      <c r="O175" s="23">
        <f>Constants!$H29*'Activity data'!O7*Constants!$H47*FracLEACHMM*MMLeachEF*NtoN2O*kgtoGg</f>
        <v>1.367214321112061E-3</v>
      </c>
      <c r="P175" s="23">
        <f>Constants!$H29*'Activity data'!P7*Constants!$H47*FracLEACHMM*MMLeachEF*NtoN2O*kgtoGg</f>
        <v>1.2968143442582665E-3</v>
      </c>
      <c r="Q175" s="23">
        <f>Constants!$H29*'Activity data'!Q7*Constants!$H47*FracLEACHMM*MMLeachEF*NtoN2O*kgtoGg</f>
        <v>1.3663867562548632E-3</v>
      </c>
      <c r="R175" s="23">
        <f>Constants!$H29*'Activity data'!R7*Constants!$H47*FracLEACHMM*MMLeachEF*NtoN2O*kgtoGg</f>
        <v>1.6934424258273329E-3</v>
      </c>
      <c r="S175" s="23">
        <f>Constants!$H29*'Activity data'!S7*Constants!$H47*FracLEACHMM*MMLeachEF*NtoN2O*kgtoGg</f>
        <v>1.669975766876068E-3</v>
      </c>
      <c r="T175" s="23">
        <f>Constants!$H29*'Activity data'!T7*Constants!$H47*FracLEACHMM*MMLeachEF*NtoN2O*kgtoGg</f>
        <v>1.5331360634853108E-3</v>
      </c>
      <c r="U175" s="23">
        <f>Constants!$H29*'Activity data'!U7*Constants!$H47*FracLEACHMM*MMLeachEF*NtoN2O*kgtoGg</f>
        <v>1.2968143442582665E-3</v>
      </c>
      <c r="V175" s="23">
        <f>Constants!$H29*'Activity data'!V7*Constants!$H47*FracLEACHMM*MMLeachEF*NtoN2O*kgtoGg</f>
        <v>1.21021821819883E-3</v>
      </c>
      <c r="W175" s="23">
        <f>Constants!$H29*'Activity data'!W7*Constants!$H47*FracLEACHMM*MMLeachEF*NtoN2O*kgtoGg</f>
        <v>1.3211085680667292E-3</v>
      </c>
      <c r="X175" s="23">
        <f>Constants!$H29*'Activity data'!X7*Constants!$H47*FracLEACHMM*MMLeachEF*NtoN2O*kgtoGg</f>
        <v>1.3049124188610874E-3</v>
      </c>
      <c r="Y175" s="23">
        <f>Constants!$H29*'Activity data'!Y7*Constants!$H47*FracLEACHMM*MMLeachEF*NtoN2O*kgtoGg</f>
        <v>1.3202810032095314E-3</v>
      </c>
      <c r="Z175" s="23">
        <f>Constants!$H29*'Activity data'!Z7*Constants!$H47*FracLEACHMM*MMLeachEF*NtoN2O*kgtoGg</f>
        <v>1.5445443975169234E-3</v>
      </c>
      <c r="AA175" s="23">
        <f>Constants!$H29*'Activity data'!AA7*Constants!$H47*FracLEACHMM*MMLeachEF*NtoN2O*kgtoGg</f>
        <v>1.6076738646250944E-3</v>
      </c>
      <c r="AB175" s="23">
        <f>Constants!$H29*'Activity data'!AB7*Constants!$H47*FracLEACHMM*MMLeachEF*NtoN2O*kgtoGg</f>
        <v>1.6076738646250944E-3</v>
      </c>
      <c r="AC175" s="23">
        <f>Constants!$H29*'Activity data'!AC7*Constants!$H47*FracLEACHMM*MMLeachEF*NtoN2O*kgtoGg</f>
        <v>1.5129796639628376E-3</v>
      </c>
      <c r="AD175" s="23">
        <f>Constants!$H29*'Activity data'!AD7*Constants!$H47*FracLEACHMM*MMLeachEF*NtoN2O*kgtoGg</f>
        <v>1.4805873655515534E-3</v>
      </c>
      <c r="AE175" s="23">
        <f>Constants!$H29*'Activity data'!AE7*Constants!$H47*FracLEACHMM*MMLeachEF*NtoN2O*kgtoGg</f>
        <v>1.669975766876068E-3</v>
      </c>
      <c r="AF175" s="23">
        <f>Constants!$H29*'Activity data'!AF7*Constants!$H47*FracLEACHMM*MMLeachEF*NtoN2O*kgtoGg</f>
        <v>1.4967835147571954E-3</v>
      </c>
      <c r="AG175" s="23">
        <f>Constants!$H29*'Activity data'!AG7*Constants!$H47*FracLEACHMM*MMLeachEF*NtoN2O*kgtoGg</f>
        <v>1.4660463460603073E-3</v>
      </c>
      <c r="AH175" s="23">
        <f>Constants!$H29*'Activity data'!AH7*Constants!$H47*FracLEACHMM*MMLeachEF*NtoN2O*kgtoGg</f>
        <v>1.4984386444715908E-3</v>
      </c>
      <c r="AI175" s="23">
        <f>Constants!$H29*'Activity data'!AI7*Constants!$H47*FracLEACHMM*MMLeachEF*NtoN2O*kgtoGg</f>
        <v>1.6489918024963962E-3</v>
      </c>
      <c r="AJ175" s="23">
        <f>Constants!$H29*'Activity data'!AJ7*Constants!$H47*FracLEACHMM*MMLeachEF*NtoN2O*kgtoGg</f>
        <v>1.571489238597379E-3</v>
      </c>
      <c r="AK175" s="23">
        <f>Constants!$H29*'Activity data'!AK7*Constants!$H47*FracLEACHMM*MMLeachEF*NtoN2O*kgtoGg</f>
        <v>1.5760020576931267E-3</v>
      </c>
      <c r="AL175" s="23">
        <f>Constants!$H29*'Activity data'!AL7*Constants!$H47*FracLEACHMM*MMLeachEF*NtoN2O*kgtoGg</f>
        <v>1.5734740557246877E-3</v>
      </c>
      <c r="AM175" s="23">
        <f>Constants!$H29*'Activity data'!AM7*Constants!$H47*FracLEACHMM*MMLeachEF*NtoN2O*kgtoGg</f>
        <v>1.5790878988426308E-3</v>
      </c>
      <c r="AN175" s="23">
        <f>Constants!$H29*'Activity data'!AN7*Constants!$H47*FracLEACHMM*MMLeachEF*NtoN2O*kgtoGg</f>
        <v>1.5846301702018011E-3</v>
      </c>
      <c r="AO175" s="23">
        <f>Constants!$H29*'Activity data'!AO7*Constants!$H47*FracLEACHMM*MMLeachEF*NtoN2O*kgtoGg</f>
        <v>1.5901885074466493E-3</v>
      </c>
      <c r="AP175" s="23">
        <f>Constants!$H29*'Activity data'!AP7*Constants!$H47*FracLEACHMM*MMLeachEF*NtoN2O*kgtoGg</f>
        <v>1.5956852314455558E-3</v>
      </c>
      <c r="AQ175" s="23">
        <f>Constants!$H29*'Activity data'!AQ7*Constants!$H47*FracLEACHMM*MMLeachEF*NtoN2O*kgtoGg</f>
        <v>1.6012534205349423E-3</v>
      </c>
      <c r="AR175" s="23">
        <f>Constants!$H29*'Activity data'!AR7*Constants!$H47*FracLEACHMM*MMLeachEF*NtoN2O*kgtoGg</f>
        <v>1.6074673008864575E-3</v>
      </c>
      <c r="AS175" s="23">
        <f>Constants!$H29*'Activity data'!AS7*Constants!$H47*FracLEACHMM*MMLeachEF*NtoN2O*kgtoGg</f>
        <v>1.6136622325733524E-3</v>
      </c>
      <c r="AT175" s="23">
        <f>Constants!$H29*'Activity data'!AT7*Constants!$H47*FracLEACHMM*MMLeachEF*NtoN2O*kgtoGg</f>
        <v>1.6199538987247779E-3</v>
      </c>
      <c r="AU175" s="23">
        <f>Constants!$H29*'Activity data'!AU7*Constants!$H47*FracLEACHMM*MMLeachEF*NtoN2O*kgtoGg</f>
        <v>1.6263173936623245E-3</v>
      </c>
      <c r="AV175" s="23">
        <f>Constants!$H29*'Activity data'!AV7*Constants!$H47*FracLEACHMM*MMLeachEF*NtoN2O*kgtoGg</f>
        <v>1.6327592733832623E-3</v>
      </c>
      <c r="AW175" s="23">
        <f>Constants!$H29*'Activity data'!AW7*Constants!$H47*FracLEACHMM*MMLeachEF*NtoN2O*kgtoGg</f>
        <v>1.6395208162410337E-3</v>
      </c>
      <c r="AX175" s="23">
        <f>Constants!$H29*'Activity data'!AX7*Constants!$H47*FracLEACHMM*MMLeachEF*NtoN2O*kgtoGg</f>
        <v>1.646153492792335E-3</v>
      </c>
      <c r="AY175" s="23">
        <f>Constants!$H29*'Activity data'!AY7*Constants!$H47*FracLEACHMM*MMLeachEF*NtoN2O*kgtoGg</f>
        <v>1.6530768268318205E-3</v>
      </c>
      <c r="AZ175" s="23">
        <f>Constants!$H29*'Activity data'!AZ7*Constants!$H47*FracLEACHMM*MMLeachEF*NtoN2O*kgtoGg</f>
        <v>1.6602033556898574E-3</v>
      </c>
      <c r="BA175" s="23">
        <f>Constants!$H29*'Activity data'!BA7*Constants!$H47*FracLEACHMM*MMLeachEF*NtoN2O*kgtoGg</f>
        <v>1.6675440772113432E-3</v>
      </c>
      <c r="BB175" s="23">
        <f>Constants!$H29*'Activity data'!BB7*Constants!$H47*FracLEACHMM*MMLeachEF*NtoN2O*kgtoGg</f>
        <v>1.6751405752752379E-3</v>
      </c>
      <c r="BC175" s="23">
        <f>Constants!$H29*'Activity data'!BC7*Constants!$H47*FracLEACHMM*MMLeachEF*NtoN2O*kgtoGg</f>
        <v>1.6828844013946195E-3</v>
      </c>
      <c r="BD175" s="23">
        <f>Constants!$H29*'Activity data'!BD7*Constants!$H47*FracLEACHMM*MMLeachEF*NtoN2O*kgtoGg</f>
        <v>1.6906829592170463E-3</v>
      </c>
      <c r="BE175" s="23">
        <f>Constants!$H29*'Activity data'!BE7*Constants!$H47*FracLEACHMM*MMLeachEF*NtoN2O*kgtoGg</f>
        <v>1.6986302345884097E-3</v>
      </c>
      <c r="BF175" s="23">
        <f>Constants!$H29*'Activity data'!BF7*Constants!$H47*FracLEACHMM*MMLeachEF*NtoN2O*kgtoGg</f>
        <v>1.7068094478507123E-3</v>
      </c>
      <c r="BG175" s="23">
        <f>Constants!$H29*'Activity data'!BG7*Constants!$H47*FracLEACHMM*MMLeachEF*NtoN2O*kgtoGg</f>
        <v>1.7157432832320711E-3</v>
      </c>
      <c r="BH175" s="23">
        <f>Constants!$H29*'Activity data'!BH7*Constants!$H47*FracLEACHMM*MMLeachEF*NtoN2O*kgtoGg</f>
        <v>1.7248551698012316E-3</v>
      </c>
      <c r="BI175" s="23">
        <f>Constants!$H29*'Activity data'!BI7*Constants!$H47*FracLEACHMM*MMLeachEF*NtoN2O*kgtoGg</f>
        <v>1.7341349578012051E-3</v>
      </c>
      <c r="BJ175" s="23">
        <f>Constants!$H29*'Activity data'!BJ7*Constants!$H47*FracLEACHMM*MMLeachEF*NtoN2O*kgtoGg</f>
        <v>1.7436077005343769E-3</v>
      </c>
      <c r="BK175" s="23">
        <f>Constants!$H29*'Activity data'!BK7*Constants!$H47*FracLEACHMM*MMLeachEF*NtoN2O*kgtoGg</f>
        <v>1.7533727280603577E-3</v>
      </c>
      <c r="BL175" s="23">
        <f>Constants!$H29*'Activity data'!BL7*Constants!$H47*FracLEACHMM*MMLeachEF*NtoN2O*kgtoGg</f>
        <v>1.7632180229194393E-3</v>
      </c>
      <c r="BM175" s="23">
        <f>Constants!$H29*'Activity data'!BM7*Constants!$H47*FracLEACHMM*MMLeachEF*NtoN2O*kgtoGg</f>
        <v>1.7733153339239292E-3</v>
      </c>
      <c r="BN175" s="23">
        <f>Constants!$H29*'Activity data'!BN7*Constants!$H47*FracLEACHMM*MMLeachEF*NtoN2O*kgtoGg</f>
        <v>1.7834758418588041E-3</v>
      </c>
      <c r="BO175" s="23">
        <f>Constants!$H29*'Activity data'!BO7*Constants!$H47*FracLEACHMM*MMLeachEF*NtoN2O*kgtoGg</f>
        <v>1.7939112065582042E-3</v>
      </c>
      <c r="BP175" s="23">
        <f>Constants!$H29*'Activity data'!BP7*Constants!$H47*FracLEACHMM*MMLeachEF*NtoN2O*kgtoGg</f>
        <v>1.8046443645103663E-3</v>
      </c>
    </row>
    <row r="176" spans="1:68" x14ac:dyDescent="0.25">
      <c r="A176" t="str">
        <f t="shared" si="58"/>
        <v>3C Aggregated and non-CO2 emissions on land</v>
      </c>
      <c r="B176" t="str">
        <f t="shared" si="65"/>
        <v>3C6 Indirect N2O from manure management (N2O)</v>
      </c>
      <c r="C176" t="str">
        <f t="shared" si="67"/>
        <v>Leaching/runoff</v>
      </c>
      <c r="D176" t="str">
        <f t="shared" si="66"/>
        <v xml:space="preserve"> - Commercial cattle</v>
      </c>
      <c r="E176" t="str">
        <f t="shared" si="64"/>
        <v>Leaching/runoff - Commercial cattle</v>
      </c>
      <c r="F176" t="str">
        <f t="shared" si="47"/>
        <v>N2O</v>
      </c>
      <c r="G176" t="str">
        <f t="shared" si="48"/>
        <v>Gg N2O</v>
      </c>
      <c r="H176" s="23">
        <f>Constants!$H30*'Activity data'!H8*Constants!$H48*FracLEACHMM*MMLeachEF*NtoN2O*kgtoGg</f>
        <v>3.4690652670041754E-2</v>
      </c>
      <c r="I176" s="23">
        <f>Constants!$H30*'Activity data'!I8*Constants!$H48*FracLEACHMM*MMLeachEF*NtoN2O*kgtoGg</f>
        <v>3.3193333041221122E-2</v>
      </c>
      <c r="J176" s="23">
        <f>Constants!$H30*'Activity data'!J8*Constants!$H48*FracLEACHMM*MMLeachEF*NtoN2O*kgtoGg</f>
        <v>3.3181272656772016E-2</v>
      </c>
      <c r="K176" s="23">
        <f>Constants!$H30*'Activity data'!K8*Constants!$H48*FracLEACHMM*MMLeachEF*NtoN2O*kgtoGg</f>
        <v>3.104225915494201E-2</v>
      </c>
      <c r="L176" s="23">
        <f>Constants!$H30*'Activity data'!L8*Constants!$H48*FracLEACHMM*MMLeachEF*NtoN2O*kgtoGg</f>
        <v>3.1978083922954904E-2</v>
      </c>
      <c r="M176" s="23">
        <f>Constants!$H30*'Activity data'!M8*Constants!$H48*FracLEACHMM*MMLeachEF*NtoN2O*kgtoGg</f>
        <v>3.2705167353371874E-2</v>
      </c>
      <c r="N176" s="23">
        <f>Constants!$H30*'Activity data'!N8*Constants!$H48*FracLEACHMM*MMLeachEF*NtoN2O*kgtoGg</f>
        <v>3.4061884272349123E-2</v>
      </c>
      <c r="O176" s="23">
        <f>Constants!$H30*'Activity data'!O8*Constants!$H48*FracLEACHMM*MMLeachEF*NtoN2O*kgtoGg</f>
        <v>3.5352192745309145E-2</v>
      </c>
      <c r="P176" s="23">
        <f>Constants!$H30*'Activity data'!P8*Constants!$H48*FracLEACHMM*MMLeachEF*NtoN2O*kgtoGg</f>
        <v>3.565838402476177E-2</v>
      </c>
      <c r="Q176" s="23">
        <f>Constants!$H30*'Activity data'!Q8*Constants!$H48*FracLEACHMM*MMLeachEF*NtoN2O*kgtoGg</f>
        <v>3.5081368416034292E-2</v>
      </c>
      <c r="R176" s="23">
        <f>Constants!$H30*'Activity data'!R8*Constants!$H48*FracLEACHMM*MMLeachEF*NtoN2O*kgtoGg</f>
        <v>3.2698246626430616E-2</v>
      </c>
      <c r="S176" s="23">
        <f>Constants!$H30*'Activity data'!S8*Constants!$H48*FracLEACHMM*MMLeachEF*NtoN2O*kgtoGg</f>
        <v>3.2868160650378141E-2</v>
      </c>
      <c r="T176" s="23">
        <f>Constants!$H30*'Activity data'!T8*Constants!$H48*FracLEACHMM*MMLeachEF*NtoN2O*kgtoGg</f>
        <v>3.0633427388426761E-2</v>
      </c>
      <c r="U176" s="23">
        <f>Constants!$H30*'Activity data'!U8*Constants!$H48*FracLEACHMM*MMLeachEF*NtoN2O*kgtoGg</f>
        <v>3.1434705082669871E-2</v>
      </c>
      <c r="V176" s="23">
        <f>Constants!$H30*'Activity data'!V8*Constants!$H48*FracLEACHMM*MMLeachEF*NtoN2O*kgtoGg</f>
        <v>3.1724510523335088E-2</v>
      </c>
      <c r="W176" s="23">
        <f>Constants!$H30*'Activity data'!W8*Constants!$H48*FracLEACHMM*MMLeachEF*NtoN2O*kgtoGg</f>
        <v>3.1993604670874635E-2</v>
      </c>
      <c r="X176" s="23">
        <f>Constants!$H30*'Activity data'!X8*Constants!$H48*FracLEACHMM*MMLeachEF*NtoN2O*kgtoGg</f>
        <v>3.1264791058722347E-2</v>
      </c>
      <c r="Y176" s="23">
        <f>Constants!$H30*'Activity data'!Y8*Constants!$H48*FracLEACHMM*MMLeachEF*NtoN2O*kgtoGg</f>
        <v>3.2180769624477204E-2</v>
      </c>
      <c r="Z176" s="23">
        <f>Constants!$H30*'Activity data'!Z8*Constants!$H48*FracLEACHMM*MMLeachEF*NtoN2O*kgtoGg</f>
        <v>3.1286531555542049E-2</v>
      </c>
      <c r="AA176" s="23">
        <f>Constants!$H30*'Activity data'!AA8*Constants!$H48*FracLEACHMM*MMLeachEF*NtoN2O*kgtoGg</f>
        <v>3.0761209366798613E-2</v>
      </c>
      <c r="AB176" s="23">
        <f>Constants!$H30*'Activity data'!AB8*Constants!$H48*FracLEACHMM*MMLeachEF*NtoN2O*kgtoGg</f>
        <v>3.0664507898168103E-2</v>
      </c>
      <c r="AC176" s="23">
        <f>Constants!$H30*'Activity data'!AC8*Constants!$H48*FracLEACHMM*MMLeachEF*NtoN2O*kgtoGg</f>
        <v>3.0554397945153043E-2</v>
      </c>
      <c r="AD176" s="23">
        <f>Constants!$H30*'Activity data'!AD8*Constants!$H48*FracLEACHMM*MMLeachEF*NtoN2O*kgtoGg</f>
        <v>3.6157573684275537E-2</v>
      </c>
      <c r="AE176" s="23">
        <f>Constants!$H30*'Activity data'!AE8*Constants!$H48*FracLEACHMM*MMLeachEF*NtoN2O*kgtoGg</f>
        <v>3.0004969405692524E-2</v>
      </c>
      <c r="AF176" s="23">
        <f>Constants!$H30*'Activity data'!AF8*Constants!$H48*FracLEACHMM*MMLeachEF*NtoN2O*kgtoGg</f>
        <v>3.0694619845388994E-2</v>
      </c>
      <c r="AG176" s="23">
        <f>Constants!$H30*'Activity data'!AG8*Constants!$H48*FracLEACHMM*MMLeachEF*NtoN2O*kgtoGg</f>
        <v>2.9990461322964932E-2</v>
      </c>
      <c r="AH176" s="23">
        <f>Constants!$H30*'Activity data'!AH8*Constants!$H48*FracLEACHMM*MMLeachEF*NtoN2O*kgtoGg</f>
        <v>2.8553921960751953E-2</v>
      </c>
      <c r="AI176" s="23">
        <f>Constants!$H30*'Activity data'!AI8*Constants!$H48*FracLEACHMM*MMLeachEF*NtoN2O*kgtoGg</f>
        <v>2.6565541134060337E-2</v>
      </c>
      <c r="AJ176" s="23">
        <f>Constants!$H30*'Activity data'!AJ8*Constants!$H48*FracLEACHMM*MMLeachEF*NtoN2O*kgtoGg</f>
        <v>2.9765462293978216E-2</v>
      </c>
      <c r="AK176" s="23">
        <f>Constants!$H30*'Activity data'!AK8*Constants!$H48*FracLEACHMM*MMLeachEF*NtoN2O*kgtoGg</f>
        <v>2.9675071645899182E-2</v>
      </c>
      <c r="AL176" s="23">
        <f>Constants!$H30*'Activity data'!AL8*Constants!$H48*FracLEACHMM*MMLeachEF*NtoN2O*kgtoGg</f>
        <v>2.9715964715048719E-2</v>
      </c>
      <c r="AM176" s="23">
        <f>Constants!$H30*'Activity data'!AM8*Constants!$H48*FracLEACHMM*MMLeachEF*NtoN2O*kgtoGg</f>
        <v>2.960495931301594E-2</v>
      </c>
      <c r="AN176" s="23">
        <f>Constants!$H30*'Activity data'!AN8*Constants!$H48*FracLEACHMM*MMLeachEF*NtoN2O*kgtoGg</f>
        <v>2.949528844388451E-2</v>
      </c>
      <c r="AO176" s="23">
        <f>Constants!$H30*'Activity data'!AO8*Constants!$H48*FracLEACHMM*MMLeachEF*NtoN2O*kgtoGg</f>
        <v>2.9385318008953432E-2</v>
      </c>
      <c r="AP176" s="23">
        <f>Constants!$H30*'Activity data'!AP8*Constants!$H48*FracLEACHMM*MMLeachEF*NtoN2O*kgtoGg</f>
        <v>2.927649641957376E-2</v>
      </c>
      <c r="AQ176" s="23">
        <f>Constants!$H30*'Activity data'!AQ8*Constants!$H48*FracLEACHMM*MMLeachEF*NtoN2O*kgtoGg</f>
        <v>2.9166342286238274E-2</v>
      </c>
      <c r="AR176" s="23">
        <f>Constants!$H30*'Activity data'!AR8*Constants!$H48*FracLEACHMM*MMLeachEF*NtoN2O*kgtoGg</f>
        <v>2.9043620729888326E-2</v>
      </c>
      <c r="AS176" s="23">
        <f>Constants!$H30*'Activity data'!AS8*Constants!$H48*FracLEACHMM*MMLeachEF*NtoN2O*kgtoGg</f>
        <v>2.8921252491866611E-2</v>
      </c>
      <c r="AT176" s="23">
        <f>Constants!$H30*'Activity data'!AT8*Constants!$H48*FracLEACHMM*MMLeachEF*NtoN2O*kgtoGg</f>
        <v>2.8797080535220048E-2</v>
      </c>
      <c r="AU176" s="23">
        <f>Constants!$H30*'Activity data'!AU8*Constants!$H48*FracLEACHMM*MMLeachEF*NtoN2O*kgtoGg</f>
        <v>2.867156925323627E-2</v>
      </c>
      <c r="AV176" s="23">
        <f>Constants!$H30*'Activity data'!AV8*Constants!$H48*FracLEACHMM*MMLeachEF*NtoN2O*kgtoGg</f>
        <v>2.8544596402261622E-2</v>
      </c>
      <c r="AW176" s="23">
        <f>Constants!$H30*'Activity data'!AW8*Constants!$H48*FracLEACHMM*MMLeachEF*NtoN2O*kgtoGg</f>
        <v>2.8411895884184659E-2</v>
      </c>
      <c r="AX176" s="23">
        <f>Constants!$H30*'Activity data'!AX8*Constants!$H48*FracLEACHMM*MMLeachEF*NtoN2O*kgtoGg</f>
        <v>2.8281598217764822E-2</v>
      </c>
      <c r="AY176" s="23">
        <f>Constants!$H30*'Activity data'!AY8*Constants!$H48*FracLEACHMM*MMLeachEF*NtoN2O*kgtoGg</f>
        <v>2.814588092826922E-2</v>
      </c>
      <c r="AZ176" s="23">
        <f>Constants!$H30*'Activity data'!AZ8*Constants!$H48*FracLEACHMM*MMLeachEF*NtoN2O*kgtoGg</f>
        <v>2.8006374851921145E-2</v>
      </c>
      <c r="BA176" s="23">
        <f>Constants!$H30*'Activity data'!BA8*Constants!$H48*FracLEACHMM*MMLeachEF*NtoN2O*kgtoGg</f>
        <v>2.7862874921901166E-2</v>
      </c>
      <c r="BB176" s="23">
        <f>Constants!$H30*'Activity data'!BB8*Constants!$H48*FracLEACHMM*MMLeachEF*NtoN2O*kgtoGg</f>
        <v>2.7714345331687231E-2</v>
      </c>
      <c r="BC176" s="23">
        <f>Constants!$H30*'Activity data'!BC8*Constants!$H48*FracLEACHMM*MMLeachEF*NtoN2O*kgtoGg</f>
        <v>2.7563068650672377E-2</v>
      </c>
      <c r="BD176" s="23">
        <f>Constants!$H30*'Activity data'!BD8*Constants!$H48*FracLEACHMM*MMLeachEF*NtoN2O*kgtoGg</f>
        <v>2.7410771438026626E-2</v>
      </c>
      <c r="BE176" s="23">
        <f>Constants!$H30*'Activity data'!BE8*Constants!$H48*FracLEACHMM*MMLeachEF*NtoN2O*kgtoGg</f>
        <v>2.7255701225856209E-2</v>
      </c>
      <c r="BF176" s="23">
        <f>Constants!$H30*'Activity data'!BF8*Constants!$H48*FracLEACHMM*MMLeachEF*NtoN2O*kgtoGg</f>
        <v>2.7096306281071399E-2</v>
      </c>
      <c r="BG176" s="23">
        <f>Constants!$H30*'Activity data'!BG8*Constants!$H48*FracLEACHMM*MMLeachEF*NtoN2O*kgtoGg</f>
        <v>2.6921866214735194E-2</v>
      </c>
      <c r="BH176" s="23">
        <f>Constants!$H30*'Activity data'!BH8*Constants!$H48*FracLEACHMM*MMLeachEF*NtoN2O*kgtoGg</f>
        <v>2.6744106191712757E-2</v>
      </c>
      <c r="BI176" s="23">
        <f>Constants!$H30*'Activity data'!BI8*Constants!$H48*FracLEACHMM*MMLeachEF*NtoN2O*kgtoGg</f>
        <v>2.656321546495748E-2</v>
      </c>
      <c r="BJ176" s="23">
        <f>Constants!$H30*'Activity data'!BJ8*Constants!$H48*FracLEACHMM*MMLeachEF*NtoN2O*kgtoGg</f>
        <v>2.6378726888690033E-2</v>
      </c>
      <c r="BK176" s="23">
        <f>Constants!$H30*'Activity data'!BK8*Constants!$H48*FracLEACHMM*MMLeachEF*NtoN2O*kgtoGg</f>
        <v>2.6188788346610425E-2</v>
      </c>
      <c r="BL176" s="23">
        <f>Constants!$H30*'Activity data'!BL8*Constants!$H48*FracLEACHMM*MMLeachEF*NtoN2O*kgtoGg</f>
        <v>2.5997630511938537E-2</v>
      </c>
      <c r="BM176" s="23">
        <f>Constants!$H30*'Activity data'!BM8*Constants!$H48*FracLEACHMM*MMLeachEF*NtoN2O*kgtoGg</f>
        <v>2.5801773563900583E-2</v>
      </c>
      <c r="BN176" s="23">
        <f>Constants!$H30*'Activity data'!BN8*Constants!$H48*FracLEACHMM*MMLeachEF*NtoN2O*kgtoGg</f>
        <v>2.5604738240686591E-2</v>
      </c>
      <c r="BO176" s="23">
        <f>Constants!$H30*'Activity data'!BO8*Constants!$H48*FracLEACHMM*MMLeachEF*NtoN2O*kgtoGg</f>
        <v>2.5402577916197787E-2</v>
      </c>
      <c r="BP176" s="23">
        <f>Constants!$H30*'Activity data'!BP8*Constants!$H48*FracLEACHMM*MMLeachEF*NtoN2O*kgtoGg</f>
        <v>2.5194864914708424E-2</v>
      </c>
    </row>
    <row r="177" spans="1:68" x14ac:dyDescent="0.25">
      <c r="A177" t="str">
        <f t="shared" si="58"/>
        <v>3C Aggregated and non-CO2 emissions on land</v>
      </c>
      <c r="B177" t="str">
        <f t="shared" si="65"/>
        <v>3C6 Indirect N2O from manure management (N2O)</v>
      </c>
      <c r="C177" t="str">
        <f t="shared" si="67"/>
        <v>Leaching/runoff</v>
      </c>
      <c r="D177" t="str">
        <f t="shared" si="66"/>
        <v xml:space="preserve"> - Subsistence cattle</v>
      </c>
      <c r="E177" t="str">
        <f t="shared" si="64"/>
        <v>Leaching/runoff - Subsistence cattle</v>
      </c>
      <c r="F177" t="str">
        <f t="shared" si="47"/>
        <v>N2O</v>
      </c>
      <c r="G177" t="str">
        <f t="shared" si="48"/>
        <v>Gg N2O</v>
      </c>
      <c r="H177" s="23">
        <f>Constants!$H31*'Activity data'!H9*Constants!$H49*FracLEACHMM*MMLeachEF*NtoN2O*kgtoGg</f>
        <v>4.3343828228009279E-2</v>
      </c>
      <c r="I177" s="23">
        <f>Constants!$H31*'Activity data'!I9*Constants!$H49*FracLEACHMM*MMLeachEF*NtoN2O*kgtoGg</f>
        <v>4.669554780978856E-2</v>
      </c>
      <c r="J177" s="23">
        <f>Constants!$H31*'Activity data'!J9*Constants!$H49*FracLEACHMM*MMLeachEF*NtoN2O*kgtoGg</f>
        <v>4.7152600480031191E-2</v>
      </c>
      <c r="K177" s="23">
        <f>Constants!$H31*'Activity data'!K9*Constants!$H49*FracLEACHMM*MMLeachEF*NtoN2O*kgtoGg</f>
        <v>4.7152600480031184E-2</v>
      </c>
      <c r="L177" s="23">
        <f>Constants!$H31*'Activity data'!L9*Constants!$H49*FracLEACHMM*MMLeachEF*NtoN2O*kgtoGg</f>
        <v>4.1439442101998333E-2</v>
      </c>
      <c r="M177" s="23">
        <f>Constants!$H31*'Activity data'!M9*Constants!$H49*FracLEACHMM*MMLeachEF*NtoN2O*kgtoGg</f>
        <v>4.0906213986715255E-2</v>
      </c>
      <c r="N177" s="23">
        <f>Constants!$H31*'Activity data'!N9*Constants!$H49*FracLEACHMM*MMLeachEF*NtoN2O*kgtoGg</f>
        <v>4.1896494772240972E-2</v>
      </c>
      <c r="O177" s="23">
        <f>Constants!$H31*'Activity data'!O9*Constants!$H49*FracLEACHMM*MMLeachEF*NtoN2O*kgtoGg</f>
        <v>4.3115301892887967E-2</v>
      </c>
      <c r="P177" s="23">
        <f>Constants!$H31*'Activity data'!P9*Constants!$H49*FracLEACHMM*MMLeachEF*NtoN2O*kgtoGg</f>
        <v>4.5019688018898933E-2</v>
      </c>
      <c r="Q177" s="23">
        <f>Constants!$H31*'Activity data'!Q9*Constants!$H49*FracLEACHMM*MMLeachEF*NtoN2O*kgtoGg</f>
        <v>4.6619372364748113E-2</v>
      </c>
      <c r="R177" s="23">
        <f>Constants!$H31*'Activity data'!R9*Constants!$H49*FracLEACHMM*MMLeachEF*NtoN2O*kgtoGg</f>
        <v>4.7914354930435575E-2</v>
      </c>
      <c r="S177" s="23">
        <f>Constants!$H31*'Activity data'!S9*Constants!$H49*FracLEACHMM*MMLeachEF*NtoN2O*kgtoGg</f>
        <v>4.6924074144909886E-2</v>
      </c>
      <c r="T177" s="23">
        <f>Constants!$H31*'Activity data'!T9*Constants!$H49*FracLEACHMM*MMLeachEF*NtoN2O*kgtoGg</f>
        <v>5.0656670951891337E-2</v>
      </c>
      <c r="U177" s="23">
        <f>Constants!$H31*'Activity data'!U9*Constants!$H49*FracLEACHMM*MMLeachEF*NtoN2O*kgtoGg</f>
        <v>5.0580495506850912E-2</v>
      </c>
      <c r="V177" s="23">
        <f>Constants!$H31*'Activity data'!V9*Constants!$H49*FracLEACHMM*MMLeachEF*NtoN2O*kgtoGg</f>
        <v>4.9514039276284783E-2</v>
      </c>
      <c r="W177" s="23">
        <f>Constants!$H31*'Activity data'!W9*Constants!$H49*FracLEACHMM*MMLeachEF*NtoN2O*kgtoGg</f>
        <v>4.8904635715961257E-2</v>
      </c>
      <c r="X177" s="23">
        <f>Constants!$H31*'Activity data'!X9*Constants!$H49*FracLEACHMM*MMLeachEF*NtoN2O*kgtoGg</f>
        <v>5.0047267391567847E-2</v>
      </c>
      <c r="Y177" s="23">
        <f>Constants!$H31*'Activity data'!Y9*Constants!$H49*FracLEACHMM*MMLeachEF*NtoN2O*kgtoGg</f>
        <v>5.1723127182457473E-2</v>
      </c>
      <c r="Z177" s="23">
        <f>Constants!$H31*'Activity data'!Z9*Constants!$H49*FracLEACHMM*MMLeachEF*NtoN2O*kgtoGg</f>
        <v>5.2713407967983177E-2</v>
      </c>
      <c r="AA177" s="23">
        <f>Constants!$H31*'Activity data'!AA9*Constants!$H49*FracLEACHMM*MMLeachEF*NtoN2O*kgtoGg</f>
        <v>5.2561057077902311E-2</v>
      </c>
      <c r="AB177" s="23">
        <f>Constants!$H31*'Activity data'!AB9*Constants!$H49*FracLEACHMM*MMLeachEF*NtoN2O*kgtoGg</f>
        <v>5.19516535175788E-2</v>
      </c>
      <c r="AC177" s="23">
        <f>Constants!$H31*'Activity data'!AC9*Constants!$H49*FracLEACHMM*MMLeachEF*NtoN2O*kgtoGg</f>
        <v>5.1799302627497927E-2</v>
      </c>
      <c r="AD177" s="23">
        <f>Constants!$H31*'Activity data'!AD9*Constants!$H49*FracLEACHMM*MMLeachEF*NtoN2O*kgtoGg</f>
        <v>4.4867337128818047E-2</v>
      </c>
      <c r="AE177" s="23">
        <f>Constants!$H31*'Activity data'!AE9*Constants!$H49*FracLEACHMM*MMLeachEF*NtoN2O*kgtoGg</f>
        <v>5.3627513308468433E-2</v>
      </c>
      <c r="AF177" s="23">
        <f>Constants!$H31*'Activity data'!AF9*Constants!$H49*FracLEACHMM*MMLeachEF*NtoN2O*kgtoGg</f>
        <v>5.2713407967983177E-2</v>
      </c>
      <c r="AG177" s="23">
        <f>Constants!$H31*'Activity data'!AG9*Constants!$H49*FracLEACHMM*MMLeachEF*NtoN2O*kgtoGg</f>
        <v>5.2104004407659665E-2</v>
      </c>
      <c r="AH177" s="23">
        <f>Constants!$H31*'Activity data'!AH9*Constants!$H49*FracLEACHMM*MMLeachEF*NtoN2O*kgtoGg</f>
        <v>5.1646951737417041E-2</v>
      </c>
      <c r="AI177" s="23">
        <f>Constants!$H31*'Activity data'!AI9*Constants!$H49*FracLEACHMM*MMLeachEF*NtoN2O*kgtoGg</f>
        <v>5.1113723622133983E-2</v>
      </c>
      <c r="AJ177" s="23">
        <f>Constants!$H31*'Activity data'!AJ9*Constants!$H49*FracLEACHMM*MMLeachEF*NtoN2O*kgtoGg</f>
        <v>5.308554048543624E-2</v>
      </c>
      <c r="AK177" s="23">
        <f>Constants!$H31*'Activity data'!AK9*Constants!$H49*FracLEACHMM*MMLeachEF*NtoN2O*kgtoGg</f>
        <v>5.8328846880680456E-2</v>
      </c>
      <c r="AL177" s="23">
        <f>Constants!$H31*'Activity data'!AL9*Constants!$H49*FracLEACHMM*MMLeachEF*NtoN2O*kgtoGg</f>
        <v>5.8735586107436982E-2</v>
      </c>
      <c r="AM177" s="23">
        <f>Constants!$H31*'Activity data'!AM9*Constants!$H49*FracLEACHMM*MMLeachEF*NtoN2O*kgtoGg</f>
        <v>5.9147860201489565E-2</v>
      </c>
      <c r="AN177" s="23">
        <f>Constants!$H31*'Activity data'!AN9*Constants!$H49*FracLEACHMM*MMLeachEF*NtoN2O*kgtoGg</f>
        <v>5.9560134287932241E-2</v>
      </c>
      <c r="AO177" s="23">
        <f>Constants!$H31*'Activity data'!AO9*Constants!$H49*FracLEACHMM*MMLeachEF*NtoN2O*kgtoGg</f>
        <v>5.9972408374374904E-2</v>
      </c>
      <c r="AP177" s="23">
        <f>Constants!$H31*'Activity data'!AP9*Constants!$H49*FracLEACHMM*MMLeachEF*NtoN2O*kgtoGg</f>
        <v>6.038468246081756E-2</v>
      </c>
      <c r="AQ177" s="23">
        <f>Constants!$H31*'Activity data'!AQ9*Constants!$H49*FracLEACHMM*MMLeachEF*NtoN2O*kgtoGg</f>
        <v>6.0796956554870156E-2</v>
      </c>
      <c r="AR177" s="23">
        <f>Constants!$H31*'Activity data'!AR9*Constants!$H49*FracLEACHMM*MMLeachEF*NtoN2O*kgtoGg</f>
        <v>6.1243611302025512E-2</v>
      </c>
      <c r="AS177" s="23">
        <f>Constants!$H31*'Activity data'!AS9*Constants!$H49*FracLEACHMM*MMLeachEF*NtoN2O*kgtoGg</f>
        <v>6.1690266049180861E-2</v>
      </c>
      <c r="AT177" s="23">
        <f>Constants!$H31*'Activity data'!AT9*Constants!$H49*FracLEACHMM*MMLeachEF*NtoN2O*kgtoGg</f>
        <v>6.2136920796336217E-2</v>
      </c>
      <c r="AU177" s="23">
        <f>Constants!$H31*'Activity data'!AU9*Constants!$H49*FracLEACHMM*MMLeachEF*NtoN2O*kgtoGg</f>
        <v>6.2583575543491587E-2</v>
      </c>
      <c r="AV177" s="23">
        <f>Constants!$H31*'Activity data'!AV9*Constants!$H49*FracLEACHMM*MMLeachEF*NtoN2O*kgtoGg</f>
        <v>6.3030230290646957E-2</v>
      </c>
      <c r="AW177" s="23">
        <f>Constants!$H31*'Activity data'!AW9*Constants!$H49*FracLEACHMM*MMLeachEF*NtoN2O*kgtoGg</f>
        <v>6.3461721048357039E-2</v>
      </c>
      <c r="AX177" s="23">
        <f>Constants!$H31*'Activity data'!AX9*Constants!$H49*FracLEACHMM*MMLeachEF*NtoN2O*kgtoGg</f>
        <v>6.3893211798457195E-2</v>
      </c>
      <c r="AY177" s="23">
        <f>Constants!$H31*'Activity data'!AY9*Constants!$H49*FracLEACHMM*MMLeachEF*NtoN2O*kgtoGg</f>
        <v>6.4324702556167276E-2</v>
      </c>
      <c r="AZ177" s="23">
        <f>Constants!$H31*'Activity data'!AZ9*Constants!$H49*FracLEACHMM*MMLeachEF*NtoN2O*kgtoGg</f>
        <v>6.4756193306267473E-2</v>
      </c>
      <c r="BA177" s="23">
        <f>Constants!$H31*'Activity data'!BA9*Constants!$H49*FracLEACHMM*MMLeachEF*NtoN2O*kgtoGg</f>
        <v>6.5187684056367601E-2</v>
      </c>
      <c r="BB177" s="23">
        <f>Constants!$H31*'Activity data'!BB9*Constants!$H49*FracLEACHMM*MMLeachEF*NtoN2O*kgtoGg</f>
        <v>6.5636138733887156E-2</v>
      </c>
      <c r="BC177" s="23">
        <f>Constants!$H31*'Activity data'!BC9*Constants!$H49*FracLEACHMM*MMLeachEF*NtoN2O*kgtoGg</f>
        <v>6.6084593411406684E-2</v>
      </c>
      <c r="BD177" s="23">
        <f>Constants!$H31*'Activity data'!BD9*Constants!$H49*FracLEACHMM*MMLeachEF*NtoN2O*kgtoGg</f>
        <v>6.6533048081316284E-2</v>
      </c>
      <c r="BE177" s="23">
        <f>Constants!$H31*'Activity data'!BE9*Constants!$H49*FracLEACHMM*MMLeachEF*NtoN2O*kgtoGg</f>
        <v>6.6981502758835812E-2</v>
      </c>
      <c r="BF177" s="23">
        <f>Constants!$H31*'Activity data'!BF9*Constants!$H49*FracLEACHMM*MMLeachEF*NtoN2O*kgtoGg</f>
        <v>6.7429957436355367E-2</v>
      </c>
      <c r="BG177" s="23">
        <f>Constants!$H31*'Activity data'!BG9*Constants!$H49*FracLEACHMM*MMLeachEF*NtoN2O*kgtoGg</f>
        <v>6.7941881164865783E-2</v>
      </c>
      <c r="BH177" s="23">
        <f>Constants!$H31*'Activity data'!BH9*Constants!$H49*FracLEACHMM*MMLeachEF*NtoN2O*kgtoGg</f>
        <v>6.8453804885766245E-2</v>
      </c>
      <c r="BI177" s="23">
        <f>Constants!$H31*'Activity data'!BI9*Constants!$H49*FracLEACHMM*MMLeachEF*NtoN2O*kgtoGg</f>
        <v>6.8965728614276661E-2</v>
      </c>
      <c r="BJ177" s="23">
        <f>Constants!$H31*'Activity data'!BJ9*Constants!$H49*FracLEACHMM*MMLeachEF*NtoN2O*kgtoGg</f>
        <v>6.947765234278705E-2</v>
      </c>
      <c r="BK177" s="23">
        <f>Constants!$H31*'Activity data'!BK9*Constants!$H49*FracLEACHMM*MMLeachEF*NtoN2O*kgtoGg</f>
        <v>6.9989576071297452E-2</v>
      </c>
      <c r="BL177" s="23">
        <f>Constants!$H31*'Activity data'!BL9*Constants!$H49*FracLEACHMM*MMLeachEF*NtoN2O*kgtoGg</f>
        <v>7.0483431885064646E-2</v>
      </c>
      <c r="BM177" s="23">
        <f>Constants!$H31*'Activity data'!BM9*Constants!$H49*FracLEACHMM*MMLeachEF*NtoN2O*kgtoGg</f>
        <v>7.097728769883177E-2</v>
      </c>
      <c r="BN177" s="23">
        <f>Constants!$H31*'Activity data'!BN9*Constants!$H49*FracLEACHMM*MMLeachEF*NtoN2O*kgtoGg</f>
        <v>7.1471143520208877E-2</v>
      </c>
      <c r="BO177" s="23">
        <f>Constants!$H31*'Activity data'!BO9*Constants!$H49*FracLEACHMM*MMLeachEF*NtoN2O*kgtoGg</f>
        <v>7.1964999333976043E-2</v>
      </c>
      <c r="BP177" s="23">
        <f>Constants!$H31*'Activity data'!BP9*Constants!$H49*FracLEACHMM*MMLeachEF*NtoN2O*kgtoGg</f>
        <v>7.2458855147743181E-2</v>
      </c>
    </row>
    <row r="178" spans="1:68" x14ac:dyDescent="0.25">
      <c r="A178" t="str">
        <f t="shared" si="58"/>
        <v>3C Aggregated and non-CO2 emissions on land</v>
      </c>
      <c r="B178" t="str">
        <f t="shared" si="65"/>
        <v>3C6 Indirect N2O from manure management (N2O)</v>
      </c>
      <c r="C178" t="str">
        <f t="shared" si="67"/>
        <v>Leaching/runoff</v>
      </c>
      <c r="D178" t="str">
        <f t="shared" si="66"/>
        <v xml:space="preserve"> - Feedlot</v>
      </c>
      <c r="E178" t="str">
        <f t="shared" si="64"/>
        <v>Leaching/runoff - Feedlot</v>
      </c>
      <c r="F178" t="str">
        <f t="shared" si="47"/>
        <v>N2O</v>
      </c>
      <c r="G178" t="str">
        <f t="shared" si="48"/>
        <v>Gg N2O</v>
      </c>
      <c r="H178" s="23">
        <f>Constants!$H32*'Activity data'!H10*Constants!$H50*FracLEACHMM*MMLeachEF*NtoN2O*kgtoGg</f>
        <v>3.2554021499999995E-2</v>
      </c>
      <c r="I178" s="23">
        <f>Constants!$H32*'Activity data'!I10*Constants!$H50*FracLEACHMM*MMLeachEF*NtoN2O*kgtoGg</f>
        <v>3.2554021499999995E-2</v>
      </c>
      <c r="J178" s="23">
        <f>Constants!$H32*'Activity data'!J10*Constants!$H50*FracLEACHMM*MMLeachEF*NtoN2O*kgtoGg</f>
        <v>3.2554021499999995E-2</v>
      </c>
      <c r="K178" s="23">
        <f>Constants!$H32*'Activity data'!K10*Constants!$H50*FracLEACHMM*MMLeachEF*NtoN2O*kgtoGg</f>
        <v>3.2554021499999995E-2</v>
      </c>
      <c r="L178" s="23">
        <f>Constants!$H32*'Activity data'!L10*Constants!$H50*FracLEACHMM*MMLeachEF*NtoN2O*kgtoGg</f>
        <v>3.2554021499999995E-2</v>
      </c>
      <c r="M178" s="23">
        <f>Constants!$H32*'Activity data'!M10*Constants!$H50*FracLEACHMM*MMLeachEF*NtoN2O*kgtoGg</f>
        <v>3.2554021499999995E-2</v>
      </c>
      <c r="N178" s="23">
        <f>Constants!$H32*'Activity data'!N10*Constants!$H50*FracLEACHMM*MMLeachEF*NtoN2O*kgtoGg</f>
        <v>3.2554021499999995E-2</v>
      </c>
      <c r="O178" s="23">
        <f>Constants!$H32*'Activity data'!O10*Constants!$H50*FracLEACHMM*MMLeachEF*NtoN2O*kgtoGg</f>
        <v>3.2554021499999995E-2</v>
      </c>
      <c r="P178" s="23">
        <f>Constants!$H32*'Activity data'!P10*Constants!$H50*FracLEACHMM*MMLeachEF*NtoN2O*kgtoGg</f>
        <v>3.2554021499999995E-2</v>
      </c>
      <c r="Q178" s="23">
        <f>Constants!$H32*'Activity data'!Q10*Constants!$H50*FracLEACHMM*MMLeachEF*NtoN2O*kgtoGg</f>
        <v>3.2554021499999995E-2</v>
      </c>
      <c r="R178" s="23">
        <f>Constants!$H32*'Activity data'!R10*Constants!$H50*FracLEACHMM*MMLeachEF*NtoN2O*kgtoGg</f>
        <v>3.2554021499999995E-2</v>
      </c>
      <c r="S178" s="23">
        <f>Constants!$H32*'Activity data'!S10*Constants!$H50*FracLEACHMM*MMLeachEF*NtoN2O*kgtoGg</f>
        <v>3.2554021499999995E-2</v>
      </c>
      <c r="T178" s="23">
        <f>Constants!$H32*'Activity data'!T10*Constants!$H50*FracLEACHMM*MMLeachEF*NtoN2O*kgtoGg</f>
        <v>3.2554021499999995E-2</v>
      </c>
      <c r="U178" s="23">
        <f>Constants!$H32*'Activity data'!U10*Constants!$H50*FracLEACHMM*MMLeachEF*NtoN2O*kgtoGg</f>
        <v>3.2554021499999995E-2</v>
      </c>
      <c r="V178" s="23">
        <f>Constants!$H32*'Activity data'!V10*Constants!$H50*FracLEACHMM*MMLeachEF*NtoN2O*kgtoGg</f>
        <v>3.2554021499999995E-2</v>
      </c>
      <c r="W178" s="23">
        <f>Constants!$H32*'Activity data'!W10*Constants!$H50*FracLEACHMM*MMLeachEF*NtoN2O*kgtoGg</f>
        <v>3.2554021499999995E-2</v>
      </c>
      <c r="X178" s="23">
        <f>Constants!$H32*'Activity data'!X10*Constants!$H50*FracLEACHMM*MMLeachEF*NtoN2O*kgtoGg</f>
        <v>3.2554021499999995E-2</v>
      </c>
      <c r="Y178" s="23">
        <f>Constants!$H32*'Activity data'!Y10*Constants!$H50*FracLEACHMM*MMLeachEF*NtoN2O*kgtoGg</f>
        <v>3.2554021499999995E-2</v>
      </c>
      <c r="Z178" s="23">
        <f>Constants!$H32*'Activity data'!Z10*Constants!$H50*FracLEACHMM*MMLeachEF*NtoN2O*kgtoGg</f>
        <v>3.0317695864706243E-2</v>
      </c>
      <c r="AA178" s="23">
        <f>Constants!$H32*'Activity data'!AA10*Constants!$H50*FracLEACHMM*MMLeachEF*NtoN2O*kgtoGg</f>
        <v>3.1067342637581243E-2</v>
      </c>
      <c r="AB178" s="23">
        <f>Constants!$H32*'Activity data'!AB10*Constants!$H50*FracLEACHMM*MMLeachEF*NtoN2O*kgtoGg</f>
        <v>3.0990059132174997E-2</v>
      </c>
      <c r="AC178" s="23">
        <f>Constants!$H32*'Activity data'!AC10*Constants!$H50*FracLEACHMM*MMLeachEF*NtoN2O*kgtoGg</f>
        <v>3.5793934653262499E-2</v>
      </c>
      <c r="AD178" s="23">
        <f>Constants!$H32*'Activity data'!AD10*Constants!$H50*FracLEACHMM*MMLeachEF*NtoN2O*kgtoGg</f>
        <v>3.7535846087024996E-2</v>
      </c>
      <c r="AE178" s="23">
        <f>Constants!$H32*'Activity data'!AE10*Constants!$H50*FracLEACHMM*MMLeachEF*NtoN2O*kgtoGg</f>
        <v>3.8960110364175002E-2</v>
      </c>
      <c r="AF178" s="23">
        <f>Constants!$H32*'Activity data'!AF10*Constants!$H50*FracLEACHMM*MMLeachEF*NtoN2O*kgtoGg</f>
        <v>4.0384426314374999E-2</v>
      </c>
      <c r="AG178" s="23">
        <f>Constants!$H32*'Activity data'!AG10*Constants!$H50*FracLEACHMM*MMLeachEF*NtoN2O*kgtoGg</f>
        <v>4.1808664754999995E-2</v>
      </c>
      <c r="AH178" s="23">
        <f>Constants!$H32*'Activity data'!AH10*Constants!$H50*FracLEACHMM*MMLeachEF*NtoN2O*kgtoGg</f>
        <v>4.4035979902199991E-2</v>
      </c>
      <c r="AI178" s="23">
        <f>Constants!$H32*'Activity data'!AI10*Constants!$H50*FracLEACHMM*MMLeachEF*NtoN2O*kgtoGg</f>
        <v>4.5853501926374995E-2</v>
      </c>
      <c r="AJ178" s="23">
        <f>Constants!$H32*'Activity data'!AJ10*Constants!$H50*FracLEACHMM*MMLeachEF*NtoN2O*kgtoGg</f>
        <v>4.0881201364113315E-2</v>
      </c>
      <c r="AK178" s="23">
        <f>Constants!$H32*'Activity data'!AK10*Constants!$H50*FracLEACHMM*MMLeachEF*NtoN2O*kgtoGg</f>
        <v>4.1349070047973259E-2</v>
      </c>
      <c r="AL178" s="23">
        <f>Constants!$H32*'Activity data'!AL10*Constants!$H50*FracLEACHMM*MMLeachEF*NtoN2O*kgtoGg</f>
        <v>4.1137404495744267E-2</v>
      </c>
      <c r="AM178" s="23">
        <f>Constants!$H32*'Activity data'!AM10*Constants!$H50*FracLEACHMM*MMLeachEF*NtoN2O*kgtoGg</f>
        <v>4.1711976671673479E-2</v>
      </c>
      <c r="AN178" s="23">
        <f>Constants!$H32*'Activity data'!AN10*Constants!$H50*FracLEACHMM*MMLeachEF*NtoN2O*kgtoGg</f>
        <v>4.2279641206542547E-2</v>
      </c>
      <c r="AO178" s="23">
        <f>Constants!$H32*'Activity data'!AO10*Constants!$H50*FracLEACHMM*MMLeachEF*NtoN2O*kgtoGg</f>
        <v>4.2848856316160144E-2</v>
      </c>
      <c r="AP178" s="23">
        <f>Constants!$H32*'Activity data'!AP10*Constants!$H50*FracLEACHMM*MMLeachEF*NtoN2O*kgtoGg</f>
        <v>4.3412124916182827E-2</v>
      </c>
      <c r="AQ178" s="23">
        <f>Constants!$H32*'Activity data'!AQ10*Constants!$H50*FracLEACHMM*MMLeachEF*NtoN2O*kgtoGg</f>
        <v>4.3982290862336272E-2</v>
      </c>
      <c r="AR178" s="23">
        <f>Constants!$H32*'Activity data'!AR10*Constants!$H50*FracLEACHMM*MMLeachEF*NtoN2O*kgtoGg</f>
        <v>4.4617506720070747E-2</v>
      </c>
      <c r="AS178" s="23">
        <f>Constants!$H32*'Activity data'!AS10*Constants!$H50*FracLEACHMM*MMLeachEF*NtoN2O*kgtoGg</f>
        <v>4.5250893775990772E-2</v>
      </c>
      <c r="AT178" s="23">
        <f>Constants!$H32*'Activity data'!AT10*Constants!$H50*FracLEACHMM*MMLeachEF*NtoN2O*kgtoGg</f>
        <v>4.5893617012998114E-2</v>
      </c>
      <c r="AU178" s="23">
        <f>Constants!$H32*'Activity data'!AU10*Constants!$H50*FracLEACHMM*MMLeachEF*NtoN2O*kgtoGg</f>
        <v>4.6543272697068198E-2</v>
      </c>
      <c r="AV178" s="23">
        <f>Constants!$H32*'Activity data'!AV10*Constants!$H50*FracLEACHMM*MMLeachEF*NtoN2O*kgtoGg</f>
        <v>4.7200493570399217E-2</v>
      </c>
      <c r="AW178" s="23">
        <f>Constants!$H32*'Activity data'!AW10*Constants!$H50*FracLEACHMM*MMLeachEF*NtoN2O*kgtoGg</f>
        <v>4.7887361272530488E-2</v>
      </c>
      <c r="AX178" s="23">
        <f>Constants!$H32*'Activity data'!AX10*Constants!$H50*FracLEACHMM*MMLeachEF*NtoN2O*kgtoGg</f>
        <v>4.856179163666037E-2</v>
      </c>
      <c r="AY178" s="23">
        <f>Constants!$H32*'Activity data'!AY10*Constants!$H50*FracLEACHMM*MMLeachEF*NtoN2O*kgtoGg</f>
        <v>4.9264274370912159E-2</v>
      </c>
      <c r="AZ178" s="23">
        <f>Constants!$H32*'Activity data'!AZ10*Constants!$H50*FracLEACHMM*MMLeachEF*NtoN2O*kgtoGg</f>
        <v>4.9986368146303264E-2</v>
      </c>
      <c r="BA178" s="23">
        <f>Constants!$H32*'Activity data'!BA10*Constants!$H50*FracLEACHMM*MMLeachEF*NtoN2O*kgtoGg</f>
        <v>5.072913440386722E-2</v>
      </c>
      <c r="BB178" s="23">
        <f>Constants!$H32*'Activity data'!BB10*Constants!$H50*FracLEACHMM*MMLeachEF*NtoN2O*kgtoGg</f>
        <v>5.1497934554817541E-2</v>
      </c>
      <c r="BC178" s="23">
        <f>Constants!$H32*'Activity data'!BC10*Constants!$H50*FracLEACHMM*MMLeachEF*NtoN2O*kgtoGg</f>
        <v>5.2280953851053087E-2</v>
      </c>
      <c r="BD178" s="23">
        <f>Constants!$H32*'Activity data'!BD10*Constants!$H50*FracLEACHMM*MMLeachEF*NtoN2O*kgtoGg</f>
        <v>5.3069255494535172E-2</v>
      </c>
      <c r="BE178" s="23">
        <f>Constants!$H32*'Activity data'!BE10*Constants!$H50*FracLEACHMM*MMLeachEF*NtoN2O*kgtoGg</f>
        <v>5.387191038877398E-2</v>
      </c>
      <c r="BF178" s="23">
        <f>Constants!$H32*'Activity data'!BF10*Constants!$H50*FracLEACHMM*MMLeachEF*NtoN2O*kgtoGg</f>
        <v>5.4696950419078863E-2</v>
      </c>
      <c r="BG178" s="23">
        <f>Constants!$H32*'Activity data'!BG10*Constants!$H50*FracLEACHMM*MMLeachEF*NtoN2O*kgtoGg</f>
        <v>5.5599865111955082E-2</v>
      </c>
      <c r="BH178" s="23">
        <f>Constants!$H32*'Activity data'!BH10*Constants!$H50*FracLEACHMM*MMLeachEF*NtoN2O*kgtoGg</f>
        <v>5.6519964146334277E-2</v>
      </c>
      <c r="BI178" s="23">
        <f>Constants!$H32*'Activity data'!BI10*Constants!$H50*FracLEACHMM*MMLeachEF*NtoN2O*kgtoGg</f>
        <v>5.7456267934923824E-2</v>
      </c>
      <c r="BJ178" s="23">
        <f>Constants!$H32*'Activity data'!BJ10*Constants!$H50*FracLEACHMM*MMLeachEF*NtoN2O*kgtoGg</f>
        <v>5.8411194458848903E-2</v>
      </c>
      <c r="BK178" s="23">
        <f>Constants!$H32*'Activity data'!BK10*Constants!$H50*FracLEACHMM*MMLeachEF*NtoN2O*kgtoGg</f>
        <v>5.9394330409145123E-2</v>
      </c>
      <c r="BL178" s="23">
        <f>Constants!$H32*'Activity data'!BL10*Constants!$H50*FracLEACHMM*MMLeachEF*NtoN2O*kgtoGg</f>
        <v>6.0383777508133236E-2</v>
      </c>
      <c r="BM178" s="23">
        <f>Constants!$H32*'Activity data'!BM10*Constants!$H50*FracLEACHMM*MMLeachEF*NtoN2O*kgtoGg</f>
        <v>6.1397547565664276E-2</v>
      </c>
      <c r="BN178" s="23">
        <f>Constants!$H32*'Activity data'!BN10*Constants!$H50*FracLEACHMM*MMLeachEF*NtoN2O*kgtoGg</f>
        <v>6.2417416980312661E-2</v>
      </c>
      <c r="BO178" s="23">
        <f>Constants!$H32*'Activity data'!BO10*Constants!$H50*FracLEACHMM*MMLeachEF*NtoN2O*kgtoGg</f>
        <v>6.3463813780837625E-2</v>
      </c>
      <c r="BP178" s="23">
        <f>Constants!$H32*'Activity data'!BP10*Constants!$H50*FracLEACHMM*MMLeachEF*NtoN2O*kgtoGg</f>
        <v>6.4538951648445989E-2</v>
      </c>
    </row>
    <row r="179" spans="1:68" x14ac:dyDescent="0.25">
      <c r="A179" t="str">
        <f t="shared" si="58"/>
        <v>3C Aggregated and non-CO2 emissions on land</v>
      </c>
      <c r="B179" t="str">
        <f t="shared" si="65"/>
        <v>3C6 Indirect N2O from manure management (N2O)</v>
      </c>
      <c r="C179" t="str">
        <f t="shared" si="67"/>
        <v>Leaching/runoff</v>
      </c>
      <c r="D179" t="str">
        <f t="shared" si="66"/>
        <v xml:space="preserve"> - Commercial sheep</v>
      </c>
      <c r="E179" t="str">
        <f t="shared" si="64"/>
        <v>Leaching/runoff - Commercial sheep</v>
      </c>
      <c r="F179" t="str">
        <f t="shared" si="47"/>
        <v>N2O</v>
      </c>
      <c r="G179" t="str">
        <f t="shared" si="48"/>
        <v>Gg N2O</v>
      </c>
      <c r="H179" s="23">
        <f>Constants!$H33*'Activity data'!H11*Constants!$H51*FracLEACHMM*MMLeachEF*NtoN2O*kgtoGg</f>
        <v>6.9270979206507962E-3</v>
      </c>
      <c r="I179" s="23">
        <f>Constants!$H33*'Activity data'!I11*Constants!$H51*FracLEACHMM*MMLeachEF*NtoN2O*kgtoGg</f>
        <v>6.6156222878065631E-3</v>
      </c>
      <c r="J179" s="23">
        <f>Constants!$H33*'Activity data'!J11*Constants!$H51*FracLEACHMM*MMLeachEF*NtoN2O*kgtoGg</f>
        <v>6.3422723815345083E-3</v>
      </c>
      <c r="K179" s="23">
        <f>Constants!$H33*'Activity data'!K11*Constants!$H51*FracLEACHMM*MMLeachEF*NtoN2O*kgtoGg</f>
        <v>5.9314387945930795E-3</v>
      </c>
      <c r="L179" s="23">
        <f>Constants!$H33*'Activity data'!L11*Constants!$H51*FracLEACHMM*MMLeachEF*NtoN2O*kgtoGg</f>
        <v>5.9732615613177133E-3</v>
      </c>
      <c r="M179" s="23">
        <f>Constants!$H33*'Activity data'!M11*Constants!$H51*FracLEACHMM*MMLeachEF*NtoN2O*kgtoGg</f>
        <v>5.8877675077922183E-3</v>
      </c>
      <c r="N179" s="23">
        <f>Constants!$H33*'Activity data'!N11*Constants!$H51*FracLEACHMM*MMLeachEF*NtoN2O*kgtoGg</f>
        <v>5.90740803360213E-3</v>
      </c>
      <c r="O179" s="23">
        <f>Constants!$H33*'Activity data'!O11*Constants!$H51*FracLEACHMM*MMLeachEF*NtoN2O*kgtoGg</f>
        <v>5.7789358883043596E-3</v>
      </c>
      <c r="P179" s="23">
        <f>Constants!$H33*'Activity data'!P11*Constants!$H51*FracLEACHMM*MMLeachEF*NtoN2O*kgtoGg</f>
        <v>5.7948793739618174E-3</v>
      </c>
      <c r="Q179" s="23">
        <f>Constants!$H33*'Activity data'!Q11*Constants!$H51*FracLEACHMM*MMLeachEF*NtoN2O*kgtoGg</f>
        <v>5.6525433280923453E-3</v>
      </c>
      <c r="R179" s="23">
        <f>Constants!$H33*'Activity data'!R11*Constants!$H51*FracLEACHMM*MMLeachEF*NtoN2O*kgtoGg</f>
        <v>5.449899314735971E-3</v>
      </c>
      <c r="S179" s="23">
        <f>Constants!$H33*'Activity data'!S11*Constants!$H51*FracLEACHMM*MMLeachEF*NtoN2O*kgtoGg</f>
        <v>5.3140330891332929E-3</v>
      </c>
      <c r="T179" s="23">
        <f>Constants!$H33*'Activity data'!T11*Constants!$H51*FracLEACHMM*MMLeachEF*NtoN2O*kgtoGg</f>
        <v>5.2253041254744018E-3</v>
      </c>
      <c r="U179" s="23">
        <f>Constants!$H33*'Activity data'!U11*Constants!$H51*FracLEACHMM*MMLeachEF*NtoN2O*kgtoGg</f>
        <v>5.2435582612271421E-3</v>
      </c>
      <c r="V179" s="23">
        <f>Constants!$H33*'Activity data'!V11*Constants!$H51*FracLEACHMM*MMLeachEF*NtoN2O*kgtoGg</f>
        <v>5.1502079973776843E-3</v>
      </c>
      <c r="W179" s="23">
        <f>Constants!$H33*'Activity data'!W11*Constants!$H51*FracLEACHMM*MMLeachEF*NtoN2O*kgtoGg</f>
        <v>5.1379615518726812E-3</v>
      </c>
      <c r="X179" s="23">
        <f>Constants!$H33*'Activity data'!X11*Constants!$H51*FracLEACHMM*MMLeachEF*NtoN2O*kgtoGg</f>
        <v>5.0707216340999273E-3</v>
      </c>
      <c r="Y179" s="23">
        <f>Constants!$H33*'Activity data'!Y11*Constants!$H51*FracLEACHMM*MMLeachEF*NtoN2O*kgtoGg</f>
        <v>5.0658692688998318E-3</v>
      </c>
      <c r="Z179" s="23">
        <f>Constants!$H33*'Activity data'!Z11*Constants!$H51*FracLEACHMM*MMLeachEF*NtoN2O*kgtoGg</f>
        <v>5.0822748845763448E-3</v>
      </c>
      <c r="AA179" s="23">
        <f>Constants!$H33*'Activity data'!AA11*Constants!$H51*FracLEACHMM*MMLeachEF*NtoN2O*kgtoGg</f>
        <v>5.0642518138331325E-3</v>
      </c>
      <c r="AB179" s="23">
        <f>Constants!$H33*'Activity data'!AB11*Constants!$H51*FracLEACHMM*MMLeachEF*NtoN2O*kgtoGg</f>
        <v>4.9662802497931072E-3</v>
      </c>
      <c r="AC179" s="23">
        <f>Constants!$H33*'Activity data'!AC11*Constants!$H51*FracLEACHMM*MMLeachEF*NtoN2O*kgtoGg</f>
        <v>4.9274613281923407E-3</v>
      </c>
      <c r="AD179" s="23">
        <f>Constants!$H33*'Activity data'!AD11*Constants!$H51*FracLEACHMM*MMLeachEF*NtoN2O*kgtoGg</f>
        <v>4.9510299591642359E-3</v>
      </c>
      <c r="AE179" s="23">
        <f>Constants!$H33*'Activity data'!AE11*Constants!$H51*FracLEACHMM*MMLeachEF*NtoN2O*kgtoGg</f>
        <v>4.9884624907078293E-3</v>
      </c>
      <c r="AF179" s="23">
        <f>Constants!$H33*'Activity data'!AF11*Constants!$H51*FracLEACHMM*MMLeachEF*NtoN2O*kgtoGg</f>
        <v>4.8990403320203525E-3</v>
      </c>
      <c r="AG179" s="23">
        <f>Constants!$H33*'Activity data'!AG11*Constants!$H51*FracLEACHMM*MMLeachEF*NtoN2O*kgtoGg</f>
        <v>4.8599903454100606E-3</v>
      </c>
      <c r="AH179" s="23">
        <f>Constants!$H33*'Activity data'!AH11*Constants!$H51*FracLEACHMM*MMLeachEF*NtoN2O*kgtoGg</f>
        <v>4.7225066647406848E-3</v>
      </c>
      <c r="AI179" s="23">
        <f>Constants!$H33*'Activity data'!AI11*Constants!$H51*FracLEACHMM*MMLeachEF*NtoN2O*kgtoGg</f>
        <v>4.6078984200146169E-3</v>
      </c>
      <c r="AJ179" s="23">
        <f>Constants!$H33*'Activity data'!AJ11*Constants!$H51*FracLEACHMM*MMLeachEF*NtoN2O*kgtoGg</f>
        <v>4.9003765918443753E-3</v>
      </c>
      <c r="AK179" s="23">
        <f>Constants!$H33*'Activity data'!AK11*Constants!$H51*FracLEACHMM*MMLeachEF*NtoN2O*kgtoGg</f>
        <v>4.8850591261151008E-3</v>
      </c>
      <c r="AL179" s="23">
        <f>Constants!$H33*'Activity data'!AL11*Constants!$H51*FracLEACHMM*MMLeachEF*NtoN2O*kgtoGg</f>
        <v>4.8341870094122229E-3</v>
      </c>
      <c r="AM179" s="23">
        <f>Constants!$H33*'Activity data'!AM11*Constants!$H51*FracLEACHMM*MMLeachEF*NtoN2O*kgtoGg</f>
        <v>4.8239109351413999E-3</v>
      </c>
      <c r="AN179" s="23">
        <f>Constants!$H33*'Activity data'!AN11*Constants!$H51*FracLEACHMM*MMLeachEF*NtoN2O*kgtoGg</f>
        <v>4.813273439402862E-3</v>
      </c>
      <c r="AO179" s="23">
        <f>Constants!$H33*'Activity data'!AO11*Constants!$H51*FracLEACHMM*MMLeachEF*NtoN2O*kgtoGg</f>
        <v>4.8027170729747631E-3</v>
      </c>
      <c r="AP179" s="23">
        <f>Constants!$H33*'Activity data'!AP11*Constants!$H51*FracLEACHMM*MMLeachEF*NtoN2O*kgtoGg</f>
        <v>4.7918495727406968E-3</v>
      </c>
      <c r="AQ179" s="23">
        <f>Constants!$H33*'Activity data'!AQ11*Constants!$H51*FracLEACHMM*MMLeachEF*NtoN2O*kgtoGg</f>
        <v>4.7813429553221314E-3</v>
      </c>
      <c r="AR179" s="23">
        <f>Constants!$H33*'Activity data'!AR11*Constants!$H51*FracLEACHMM*MMLeachEF*NtoN2O*kgtoGg</f>
        <v>4.7708759158341645E-3</v>
      </c>
      <c r="AS179" s="23">
        <f>Constants!$H33*'Activity data'!AS11*Constants!$H51*FracLEACHMM*MMLeachEF*NtoN2O*kgtoGg</f>
        <v>4.7603131896143775E-3</v>
      </c>
      <c r="AT179" s="23">
        <f>Constants!$H33*'Activity data'!AT11*Constants!$H51*FracLEACHMM*MMLeachEF*NtoN2O*kgtoGg</f>
        <v>4.7502389518950319E-3</v>
      </c>
      <c r="AU179" s="23">
        <f>Constants!$H33*'Activity data'!AU11*Constants!$H51*FracLEACHMM*MMLeachEF*NtoN2O*kgtoGg</f>
        <v>4.7405274342898745E-3</v>
      </c>
      <c r="AV179" s="23">
        <f>Constants!$H33*'Activity data'!AV11*Constants!$H51*FracLEACHMM*MMLeachEF*NtoN2O*kgtoGg</f>
        <v>4.7312117431926922E-3</v>
      </c>
      <c r="AW179" s="23">
        <f>Constants!$H33*'Activity data'!AW11*Constants!$H51*FracLEACHMM*MMLeachEF*NtoN2O*kgtoGg</f>
        <v>4.7249309541735965E-3</v>
      </c>
      <c r="AX179" s="23">
        <f>Constants!$H33*'Activity data'!AX11*Constants!$H51*FracLEACHMM*MMLeachEF*NtoN2O*kgtoGg</f>
        <v>4.717999418389701E-3</v>
      </c>
      <c r="AY179" s="23">
        <f>Constants!$H33*'Activity data'!AY11*Constants!$H51*FracLEACHMM*MMLeachEF*NtoN2O*kgtoGg</f>
        <v>4.7125356404754187E-3</v>
      </c>
      <c r="AZ179" s="23">
        <f>Constants!$H33*'Activity data'!AZ11*Constants!$H51*FracLEACHMM*MMLeachEF*NtoN2O*kgtoGg</f>
        <v>4.7080979539512119E-3</v>
      </c>
      <c r="BA179" s="23">
        <f>Constants!$H33*'Activity data'!BA11*Constants!$H51*FracLEACHMM*MMLeachEF*NtoN2O*kgtoGg</f>
        <v>4.7047418948850204E-3</v>
      </c>
      <c r="BB179" s="23">
        <f>Constants!$H33*'Activity data'!BB11*Constants!$H51*FracLEACHMM*MMLeachEF*NtoN2O*kgtoGg</f>
        <v>4.7010881508233113E-3</v>
      </c>
      <c r="BC179" s="23">
        <f>Constants!$H33*'Activity data'!BC11*Constants!$H51*FracLEACHMM*MMLeachEF*NtoN2O*kgtoGg</f>
        <v>4.6981783821507892E-3</v>
      </c>
      <c r="BD179" s="23">
        <f>Constants!$H33*'Activity data'!BD11*Constants!$H51*FracLEACHMM*MMLeachEF*NtoN2O*kgtoGg</f>
        <v>4.6955449976671323E-3</v>
      </c>
      <c r="BE179" s="23">
        <f>Constants!$H33*'Activity data'!BE11*Constants!$H51*FracLEACHMM*MMLeachEF*NtoN2O*kgtoGg</f>
        <v>4.6936626045065242E-3</v>
      </c>
      <c r="BF179" s="23">
        <f>Constants!$H33*'Activity data'!BF11*Constants!$H51*FracLEACHMM*MMLeachEF*NtoN2O*kgtoGg</f>
        <v>4.6929514484338438E-3</v>
      </c>
      <c r="BG179" s="23">
        <f>Constants!$H33*'Activity data'!BG11*Constants!$H51*FracLEACHMM*MMLeachEF*NtoN2O*kgtoGg</f>
        <v>4.690104738548472E-3</v>
      </c>
      <c r="BH179" s="23">
        <f>Constants!$H33*'Activity data'!BH11*Constants!$H51*FracLEACHMM*MMLeachEF*NtoN2O*kgtoGg</f>
        <v>4.6881571500581361E-3</v>
      </c>
      <c r="BI179" s="23">
        <f>Constants!$H33*'Activity data'!BI11*Constants!$H51*FracLEACHMM*MMLeachEF*NtoN2O*kgtoGg</f>
        <v>4.6870574274198605E-3</v>
      </c>
      <c r="BJ179" s="23">
        <f>Constants!$H33*'Activity data'!BJ11*Constants!$H51*FracLEACHMM*MMLeachEF*NtoN2O*kgtoGg</f>
        <v>4.6869320852025624E-3</v>
      </c>
      <c r="BK179" s="23">
        <f>Constants!$H33*'Activity data'!BK11*Constants!$H51*FracLEACHMM*MMLeachEF*NtoN2O*kgtoGg</f>
        <v>4.6882827191105664E-3</v>
      </c>
      <c r="BL179" s="23">
        <f>Constants!$H33*'Activity data'!BL11*Constants!$H51*FracLEACHMM*MMLeachEF*NtoN2O*kgtoGg</f>
        <v>4.691731417651889E-3</v>
      </c>
      <c r="BM179" s="23">
        <f>Constants!$H33*'Activity data'!BM11*Constants!$H51*FracLEACHMM*MMLeachEF*NtoN2O*kgtoGg</f>
        <v>4.6964527442017994E-3</v>
      </c>
      <c r="BN179" s="23">
        <f>Constants!$H33*'Activity data'!BN11*Constants!$H51*FracLEACHMM*MMLeachEF*NtoN2O*kgtoGg</f>
        <v>4.7014932011147986E-3</v>
      </c>
      <c r="BO179" s="23">
        <f>Constants!$H33*'Activity data'!BO11*Constants!$H51*FracLEACHMM*MMLeachEF*NtoN2O*kgtoGg</f>
        <v>4.7079216270247519E-3</v>
      </c>
      <c r="BP179" s="23">
        <f>Constants!$H33*'Activity data'!BP11*Constants!$H51*FracLEACHMM*MMLeachEF*NtoN2O*kgtoGg</f>
        <v>4.7158538456128218E-3</v>
      </c>
    </row>
    <row r="180" spans="1:68" x14ac:dyDescent="0.25">
      <c r="A180" t="str">
        <f t="shared" si="58"/>
        <v>3C Aggregated and non-CO2 emissions on land</v>
      </c>
      <c r="B180" t="str">
        <f t="shared" si="65"/>
        <v>3C6 Indirect N2O from manure management (N2O)</v>
      </c>
      <c r="C180" t="str">
        <f t="shared" si="67"/>
        <v>Leaching/runoff</v>
      </c>
      <c r="D180" t="str">
        <f t="shared" si="66"/>
        <v xml:space="preserve"> - Subsistence sheep</v>
      </c>
      <c r="E180" t="str">
        <f t="shared" si="64"/>
        <v>Leaching/runoff - Subsistence sheep</v>
      </c>
      <c r="F180" t="str">
        <f t="shared" si="47"/>
        <v>N2O</v>
      </c>
      <c r="G180" t="str">
        <f t="shared" si="48"/>
        <v>Gg N2O</v>
      </c>
      <c r="H180" s="23">
        <f>Constants!$H34*'Activity data'!H12*Constants!$H52*FracLEACHMM*MMLeachEF*NtoN2O*kgtoGg</f>
        <v>5.3816678004133863E-3</v>
      </c>
      <c r="I180" s="23">
        <f>Constants!$H34*'Activity data'!I12*Constants!$H52*FracLEACHMM*MMLeachEF*NtoN2O*kgtoGg</f>
        <v>5.1396821372839546E-3</v>
      </c>
      <c r="J180" s="23">
        <f>Constants!$H34*'Activity data'!J12*Constants!$H52*FracLEACHMM*MMLeachEF*NtoN2O*kgtoGg</f>
        <v>4.9273163809915805E-3</v>
      </c>
      <c r="K180" s="23">
        <f>Constants!$H34*'Activity data'!K12*Constants!$H52*FracLEACHMM*MMLeachEF*NtoN2O*kgtoGg</f>
        <v>4.6081394454989032E-3</v>
      </c>
      <c r="L180" s="23">
        <f>Constants!$H34*'Activity data'!L12*Constants!$H52*FracLEACHMM*MMLeachEF*NtoN2O*kgtoGg</f>
        <v>4.640631585726222E-3</v>
      </c>
      <c r="M180" s="23">
        <f>Constants!$H34*'Activity data'!M12*Constants!$H52*FracLEACHMM*MMLeachEF*NtoN2O*kgtoGg</f>
        <v>4.574211188576453E-3</v>
      </c>
      <c r="N180" s="23">
        <f>Constants!$H34*'Activity data'!N12*Constants!$H52*FracLEACHMM*MMLeachEF*NtoN2O*kgtoGg</f>
        <v>4.5894699284622113E-3</v>
      </c>
      <c r="O180" s="23">
        <f>Constants!$H34*'Activity data'!O12*Constants!$H52*FracLEACHMM*MMLeachEF*NtoN2O*kgtoGg</f>
        <v>4.4896598181506653E-3</v>
      </c>
      <c r="P180" s="23">
        <f>Constants!$H34*'Activity data'!P12*Constants!$H52*FracLEACHMM*MMLeachEF*NtoN2O*kgtoGg</f>
        <v>4.5020463246461771E-3</v>
      </c>
      <c r="Q180" s="23">
        <f>Constants!$H34*'Activity data'!Q12*Constants!$H52*FracLEACHMM*MMLeachEF*NtoN2O*kgtoGg</f>
        <v>4.3914653391211545E-3</v>
      </c>
      <c r="R180" s="23">
        <f>Constants!$H34*'Activity data'!R12*Constants!$H52*FracLEACHMM*MMLeachEF*NtoN2O*kgtoGg</f>
        <v>4.2340310464175105E-3</v>
      </c>
      <c r="S180" s="23">
        <f>Constants!$H34*'Activity data'!S12*Constants!$H52*FracLEACHMM*MMLeachEF*NtoN2O*kgtoGg</f>
        <v>4.1284764693254421E-3</v>
      </c>
      <c r="T180" s="23">
        <f>Constants!$H34*'Activity data'!T12*Constants!$H52*FracLEACHMM*MMLeachEF*NtoN2O*kgtoGg</f>
        <v>4.0595428679591952E-3</v>
      </c>
      <c r="U180" s="23">
        <f>Constants!$H34*'Activity data'!U12*Constants!$H52*FracLEACHMM*MMLeachEF*NtoN2O*kgtoGg</f>
        <v>4.0737245203236053E-3</v>
      </c>
      <c r="V180" s="23">
        <f>Constants!$H34*'Activity data'!V12*Constants!$H52*FracLEACHMM*MMLeachEF*NtoN2O*kgtoGg</f>
        <v>4.0012006272195314E-3</v>
      </c>
      <c r="W180" s="23">
        <f>Constants!$H34*'Activity data'!W12*Constants!$H52*FracLEACHMM*MMLeachEF*NtoN2O*kgtoGg</f>
        <v>3.9916863541142947E-3</v>
      </c>
      <c r="X180" s="23">
        <f>Constants!$H34*'Activity data'!X12*Constants!$H52*FracLEACHMM*MMLeachEF*NtoN2O*kgtoGg</f>
        <v>3.939447609328935E-3</v>
      </c>
      <c r="Y180" s="23">
        <f>Constants!$H34*'Activity data'!Y12*Constants!$H52*FracLEACHMM*MMLeachEF*NtoN2O*kgtoGg</f>
        <v>3.9356778030042172E-3</v>
      </c>
      <c r="Z180" s="23">
        <f>Constants!$H34*'Activity data'!Z12*Constants!$H52*FracLEACHMM*MMLeachEF*NtoN2O*kgtoGg</f>
        <v>3.9484233386734985E-3</v>
      </c>
      <c r="AA180" s="23">
        <f>Constants!$H34*'Activity data'!AA12*Constants!$H52*FracLEACHMM*MMLeachEF*NtoN2O*kgtoGg</f>
        <v>3.9344212008959783E-3</v>
      </c>
      <c r="AB180" s="23">
        <f>Constants!$H34*'Activity data'!AB12*Constants!$H52*FracLEACHMM*MMLeachEF*NtoN2O*kgtoGg</f>
        <v>3.8583070160540809E-3</v>
      </c>
      <c r="AC180" s="23">
        <f>Constants!$H34*'Activity data'!AC12*Constants!$H52*FracLEACHMM*MMLeachEF*NtoN2O*kgtoGg</f>
        <v>3.8281485654563466E-3</v>
      </c>
      <c r="AD180" s="23">
        <f>Constants!$H34*'Activity data'!AD12*Constants!$H52*FracLEACHMM*MMLeachEF*NtoN2O*kgtoGg</f>
        <v>3.846459053319257E-3</v>
      </c>
      <c r="AE180" s="23">
        <f>Constants!$H34*'Activity data'!AE12*Constants!$H52*FracLEACHMM*MMLeachEF*NtoN2O*kgtoGg</f>
        <v>3.8755404163956422E-3</v>
      </c>
      <c r="AF180" s="23">
        <f>Constants!$H34*'Activity data'!AF12*Constants!$H52*FracLEACHMM*MMLeachEF*NtoN2O*kgtoGg</f>
        <v>3.8060682712687207E-3</v>
      </c>
      <c r="AG180" s="23">
        <f>Constants!$H34*'Activity data'!AG12*Constants!$H52*FracLEACHMM*MMLeachEF*NtoN2O*kgtoGg</f>
        <v>3.7757303060840961E-3</v>
      </c>
      <c r="AH180" s="23">
        <f>Constants!$H34*'Activity data'!AH12*Constants!$H52*FracLEACHMM*MMLeachEF*NtoN2O*kgtoGg</f>
        <v>3.66891912688379E-3</v>
      </c>
      <c r="AI180" s="23">
        <f>Constants!$H34*'Activity data'!AI12*Constants!$H52*FracLEACHMM*MMLeachEF*NtoN2O*kgtoGg</f>
        <v>3.5798798917857201E-3</v>
      </c>
      <c r="AJ180" s="23">
        <f>Constants!$H34*'Activity data'!AJ12*Constants!$H52*FracLEACHMM*MMLeachEF*NtoN2O*kgtoGg</f>
        <v>3.819115237436312E-3</v>
      </c>
      <c r="AK180" s="23">
        <f>Constants!$H34*'Activity data'!AK12*Constants!$H52*FracLEACHMM*MMLeachEF*NtoN2O*kgtoGg</f>
        <v>3.8071775494506717E-3</v>
      </c>
      <c r="AL180" s="23">
        <f>Constants!$H34*'Activity data'!AL12*Constants!$H52*FracLEACHMM*MMLeachEF*NtoN2O*kgtoGg</f>
        <v>3.7675302953225002E-3</v>
      </c>
      <c r="AM180" s="23">
        <f>Constants!$H34*'Activity data'!AM12*Constants!$H52*FracLEACHMM*MMLeachEF*NtoN2O*kgtoGg</f>
        <v>3.7595216227045525E-3</v>
      </c>
      <c r="AN180" s="23">
        <f>Constants!$H34*'Activity data'!AN12*Constants!$H52*FracLEACHMM*MMLeachEF*NtoN2O*kgtoGg</f>
        <v>3.7512312757685996E-3</v>
      </c>
      <c r="AO180" s="23">
        <f>Constants!$H34*'Activity data'!AO12*Constants!$H52*FracLEACHMM*MMLeachEF*NtoN2O*kgtoGg</f>
        <v>3.7430041570723329E-3</v>
      </c>
      <c r="AP180" s="23">
        <f>Constants!$H34*'Activity data'!AP12*Constants!$H52*FracLEACHMM*MMLeachEF*NtoN2O*kgtoGg</f>
        <v>3.7345345558164123E-3</v>
      </c>
      <c r="AQ180" s="23">
        <f>Constants!$H34*'Activity data'!AQ12*Constants!$H52*FracLEACHMM*MMLeachEF*NtoN2O*kgtoGg</f>
        <v>3.7263462090791556E-3</v>
      </c>
      <c r="AR180" s="23">
        <f>Constants!$H34*'Activity data'!AR12*Constants!$H52*FracLEACHMM*MMLeachEF*NtoN2O*kgtoGg</f>
        <v>3.718188707456552E-3</v>
      </c>
      <c r="AS180" s="23">
        <f>Constants!$H34*'Activity data'!AS12*Constants!$H52*FracLEACHMM*MMLeachEF*NtoN2O*kgtoGg</f>
        <v>3.7099566322478851E-3</v>
      </c>
      <c r="AT180" s="23">
        <f>Constants!$H34*'Activity data'!AT12*Constants!$H52*FracLEACHMM*MMLeachEF*NtoN2O*kgtoGg</f>
        <v>3.7021052612239641E-3</v>
      </c>
      <c r="AU180" s="23">
        <f>Constants!$H34*'Activity data'!AU12*Constants!$H52*FracLEACHMM*MMLeachEF*NtoN2O*kgtoGg</f>
        <v>3.694536576619964E-3</v>
      </c>
      <c r="AV180" s="23">
        <f>Constants!$H34*'Activity data'!AV12*Constants!$H52*FracLEACHMM*MMLeachEF*NtoN2O*kgtoGg</f>
        <v>3.6872763799494258E-3</v>
      </c>
      <c r="AW180" s="23">
        <f>Constants!$H34*'Activity data'!AW12*Constants!$H52*FracLEACHMM*MMLeachEF*NtoN2O*kgtoGg</f>
        <v>3.6823814383880201E-3</v>
      </c>
      <c r="AX180" s="23">
        <f>Constants!$H34*'Activity data'!AX12*Constants!$H52*FracLEACHMM*MMLeachEF*NtoN2O*kgtoGg</f>
        <v>3.6769793364403534E-3</v>
      </c>
      <c r="AY180" s="23">
        <f>Constants!$H34*'Activity data'!AY12*Constants!$H52*FracLEACHMM*MMLeachEF*NtoN2O*kgtoGg</f>
        <v>3.6727211336073031E-3</v>
      </c>
      <c r="AZ180" s="23">
        <f>Constants!$H34*'Activity data'!AZ12*Constants!$H52*FracLEACHMM*MMLeachEF*NtoN2O*kgtoGg</f>
        <v>3.669262616510521E-3</v>
      </c>
      <c r="BA180" s="23">
        <f>Constants!$H34*'Activity data'!BA12*Constants!$H52*FracLEACHMM*MMLeachEF*NtoN2O*kgtoGg</f>
        <v>3.6666470672609484E-3</v>
      </c>
      <c r="BB180" s="23">
        <f>Constants!$H34*'Activity data'!BB12*Constants!$H52*FracLEACHMM*MMLeachEF*NtoN2O*kgtoGg</f>
        <v>3.6637995168006445E-3</v>
      </c>
      <c r="BC180" s="23">
        <f>Constants!$H34*'Activity data'!BC12*Constants!$H52*FracLEACHMM*MMLeachEF*NtoN2O*kgtoGg</f>
        <v>3.661531784583259E-3</v>
      </c>
      <c r="BD180" s="23">
        <f>Constants!$H34*'Activity data'!BD12*Constants!$H52*FracLEACHMM*MMLeachEF*NtoN2O*kgtoGg</f>
        <v>3.6594794527636389E-3</v>
      </c>
      <c r="BE180" s="23">
        <f>Constants!$H34*'Activity data'!BE12*Constants!$H52*FracLEACHMM*MMLeachEF*NtoN2O*kgtoGg</f>
        <v>3.6580124070646428E-3</v>
      </c>
      <c r="BF180" s="23">
        <f>Constants!$H34*'Activity data'!BF12*Constants!$H52*FracLEACHMM*MMLeachEF*NtoN2O*kgtoGg</f>
        <v>3.6574581666011883E-3</v>
      </c>
      <c r="BG180" s="23">
        <f>Constants!$H34*'Activity data'!BG12*Constants!$H52*FracLEACHMM*MMLeachEF*NtoN2O*kgtoGg</f>
        <v>3.6552395793363083E-3</v>
      </c>
      <c r="BH180" s="23">
        <f>Constants!$H34*'Activity data'!BH12*Constants!$H52*FracLEACHMM*MMLeachEF*NtoN2O*kgtoGg</f>
        <v>3.6537217235674108E-3</v>
      </c>
      <c r="BI180" s="23">
        <f>Constants!$H34*'Activity data'!BI12*Constants!$H52*FracLEACHMM*MMLeachEF*NtoN2O*kgtoGg</f>
        <v>3.6528646532165776E-3</v>
      </c>
      <c r="BJ180" s="23">
        <f>Constants!$H34*'Activity data'!BJ12*Constants!$H52*FracLEACHMM*MMLeachEF*NtoN2O*kgtoGg</f>
        <v>3.6527669675871155E-3</v>
      </c>
      <c r="BK180" s="23">
        <f>Constants!$H34*'Activity data'!BK12*Constants!$H52*FracLEACHMM*MMLeachEF*NtoN2O*kgtoGg</f>
        <v>3.6538195859811464E-3</v>
      </c>
      <c r="BL180" s="23">
        <f>Constants!$H34*'Activity data'!BL12*Constants!$H52*FracLEACHMM*MMLeachEF*NtoN2O*kgtoGg</f>
        <v>3.6565073339330911E-3</v>
      </c>
      <c r="BM180" s="23">
        <f>Constants!$H34*'Activity data'!BM12*Constants!$H52*FracLEACHMM*MMLeachEF*NtoN2O*kgtoGg</f>
        <v>3.660186906274059E-3</v>
      </c>
      <c r="BN180" s="23">
        <f>Constants!$H34*'Activity data'!BN12*Constants!$H52*FracLEACHMM*MMLeachEF*NtoN2O*kgtoGg</f>
        <v>3.6641151933024707E-3</v>
      </c>
      <c r="BO180" s="23">
        <f>Constants!$H34*'Activity data'!BO12*Constants!$H52*FracLEACHMM*MMLeachEF*NtoN2O*kgtoGg</f>
        <v>3.6691251958778427E-3</v>
      </c>
      <c r="BP180" s="23">
        <f>Constants!$H34*'Activity data'!BP12*Constants!$H52*FracLEACHMM*MMLeachEF*NtoN2O*kgtoGg</f>
        <v>3.6753071813454071E-3</v>
      </c>
    </row>
    <row r="181" spans="1:68" x14ac:dyDescent="0.25">
      <c r="A181" t="str">
        <f t="shared" si="58"/>
        <v>3C Aggregated and non-CO2 emissions on land</v>
      </c>
      <c r="B181" t="str">
        <f t="shared" si="65"/>
        <v>3C6 Indirect N2O from manure management (N2O)</v>
      </c>
      <c r="C181" t="str">
        <f t="shared" si="67"/>
        <v>Leaching/runoff</v>
      </c>
      <c r="D181" t="str">
        <f t="shared" si="66"/>
        <v xml:space="preserve"> - Commercial goats</v>
      </c>
      <c r="E181" t="str">
        <f t="shared" si="64"/>
        <v>Leaching/runoff - Commercial goats</v>
      </c>
      <c r="F181" t="str">
        <f t="shared" si="47"/>
        <v>N2O</v>
      </c>
      <c r="G181" t="str">
        <f t="shared" si="48"/>
        <v>Gg N2O</v>
      </c>
      <c r="H181" s="23">
        <f>Constants!$H35*'Activity data'!H13*Constants!$H53*FracLEACHMM*MMLeachEF*NtoN2O*kgtoGg</f>
        <v>7.2865318808700474E-4</v>
      </c>
      <c r="I181" s="23">
        <f>Constants!$H35*'Activity data'!I13*Constants!$H53*FracLEACHMM*MMLeachEF*NtoN2O*kgtoGg</f>
        <v>6.4433535341651871E-4</v>
      </c>
      <c r="J181" s="23">
        <f>Constants!$H35*'Activity data'!J13*Constants!$H53*FracLEACHMM*MMLeachEF*NtoN2O*kgtoGg</f>
        <v>6.0020639321514246E-4</v>
      </c>
      <c r="K181" s="23">
        <f>Constants!$H35*'Activity data'!K13*Constants!$H53*FracLEACHMM*MMLeachEF*NtoN2O*kgtoGg</f>
        <v>5.6710967306411041E-4</v>
      </c>
      <c r="L181" s="23">
        <f>Constants!$H35*'Activity data'!L13*Constants!$H53*FracLEACHMM*MMLeachEF*NtoN2O*kgtoGg</f>
        <v>6.138653570869968E-4</v>
      </c>
      <c r="M181" s="23">
        <f>Constants!$H35*'Activity data'!M13*Constants!$H53*FracLEACHMM*MMLeachEF*NtoN2O*kgtoGg</f>
        <v>6.2227087331583042E-4</v>
      </c>
      <c r="N181" s="23">
        <f>Constants!$H35*'Activity data'!N13*Constants!$H53*FracLEACHMM*MMLeachEF*NtoN2O*kgtoGg</f>
        <v>6.3198975145541928E-4</v>
      </c>
      <c r="O181" s="23">
        <f>Constants!$H35*'Activity data'!O13*Constants!$H53*FracLEACHMM*MMLeachEF*NtoN2O*kgtoGg</f>
        <v>6.2883768286960682E-4</v>
      </c>
      <c r="P181" s="23">
        <f>Constants!$H35*'Activity data'!P13*Constants!$H53*FracLEACHMM*MMLeachEF*NtoN2O*kgtoGg</f>
        <v>6.1990682187647121E-4</v>
      </c>
      <c r="Q181" s="23">
        <f>Constants!$H35*'Activity data'!Q13*Constants!$H53*FracLEACHMM*MMLeachEF*NtoN2O*kgtoGg</f>
        <v>6.1071328850118467E-4</v>
      </c>
      <c r="R181" s="23">
        <f>Constants!$H35*'Activity data'!R13*Constants!$H53*FracLEACHMM*MMLeachEF*NtoN2O*kgtoGg</f>
        <v>6.1859345996571587E-4</v>
      </c>
      <c r="S181" s="23">
        <f>Constants!$H35*'Activity data'!S13*Constants!$H53*FracLEACHMM*MMLeachEF*NtoN2O*kgtoGg</f>
        <v>6.3750587148059137E-4</v>
      </c>
      <c r="T181" s="23">
        <f>Constants!$H35*'Activity data'!T13*Constants!$H53*FracLEACHMM*MMLeachEF*NtoN2O*kgtoGg</f>
        <v>5.8208199884672053E-4</v>
      </c>
      <c r="U181" s="23">
        <f>Constants!$H35*'Activity data'!U13*Constants!$H53*FracLEACHMM*MMLeachEF*NtoN2O*kgtoGg</f>
        <v>5.6737234544626167E-4</v>
      </c>
      <c r="V181" s="23">
        <f>Constants!$H35*'Activity data'!V13*Constants!$H53*FracLEACHMM*MMLeachEF*NtoN2O*kgtoGg</f>
        <v>5.6842303497486597E-4</v>
      </c>
      <c r="W181" s="23">
        <f>Constants!$H35*'Activity data'!W13*Constants!$H53*FracLEACHMM*MMLeachEF*NtoN2O*kgtoGg</f>
        <v>5.6106820827463643E-4</v>
      </c>
      <c r="X181" s="23">
        <f>Constants!$H35*'Activity data'!X13*Constants!$H53*FracLEACHMM*MMLeachEF*NtoN2O*kgtoGg</f>
        <v>5.7288846547143355E-4</v>
      </c>
      <c r="Y181" s="23">
        <f>Constants!$H35*'Activity data'!Y13*Constants!$H53*FracLEACHMM*MMLeachEF*NtoN2O*kgtoGg</f>
        <v>5.558147606316157E-4</v>
      </c>
      <c r="Z181" s="23">
        <f>Constants!$H35*'Activity data'!Z13*Constants!$H53*FracLEACHMM*MMLeachEF*NtoN2O*kgtoGg</f>
        <v>5.5528941586731361E-4</v>
      </c>
      <c r="AA181" s="23">
        <f>Constants!$H35*'Activity data'!AA13*Constants!$H53*FracLEACHMM*MMLeachEF*NtoN2O*kgtoGg</f>
        <v>5.4557053772772487E-4</v>
      </c>
      <c r="AB181" s="23">
        <f>Constants!$H35*'Activity data'!AB13*Constants!$H53*FracLEACHMM*MMLeachEF*NtoN2O*kgtoGg</f>
        <v>5.3900372817394858E-4</v>
      </c>
      <c r="AC181" s="23">
        <f>Constants!$H35*'Activity data'!AC13*Constants!$H53*FracLEACHMM*MMLeachEF*NtoN2O*kgtoGg</f>
        <v>5.3401295291307879E-4</v>
      </c>
      <c r="AD181" s="23">
        <f>Constants!$H35*'Activity data'!AD13*Constants!$H53*FracLEACHMM*MMLeachEF*NtoN2O*kgtoGg</f>
        <v>5.3269959100232355E-4</v>
      </c>
      <c r="AE181" s="23">
        <f>Constants!$H35*'Activity data'!AE13*Constants!$H53*FracLEACHMM*MMLeachEF*NtoN2O*kgtoGg</f>
        <v>5.2665812621284936E-4</v>
      </c>
      <c r="AF181" s="23">
        <f>Constants!$H35*'Activity data'!AF13*Constants!$H53*FracLEACHMM*MMLeachEF*NtoN2O*kgtoGg</f>
        <v>5.2193002333413062E-4</v>
      </c>
      <c r="AG181" s="23">
        <f>Constants!$H35*'Activity data'!AG13*Constants!$H53*FracLEACHMM*MMLeachEF*NtoN2O*kgtoGg</f>
        <v>5.1483786901605235E-4</v>
      </c>
      <c r="AH181" s="23">
        <f>Constants!$H35*'Activity data'!AH13*Constants!$H53*FracLEACHMM*MMLeachEF*NtoN2O*kgtoGg</f>
        <v>4.9934019846914045E-4</v>
      </c>
      <c r="AI181" s="23">
        <f>Constants!$H35*'Activity data'!AI13*Constants!$H53*FracLEACHMM*MMLeachEF*NtoN2O*kgtoGg</f>
        <v>4.8410520030437988E-4</v>
      </c>
      <c r="AJ181" s="23">
        <f>Constants!$H35*'Activity data'!AJ13*Constants!$H53*FracLEACHMM*MMLeachEF*NtoN2O*kgtoGg</f>
        <v>5.5312755004738464E-4</v>
      </c>
      <c r="AK181" s="23">
        <f>Constants!$H35*'Activity data'!AK13*Constants!$H53*FracLEACHMM*MMLeachEF*NtoN2O*kgtoGg</f>
        <v>5.5153294896294173E-4</v>
      </c>
      <c r="AL181" s="23">
        <f>Constants!$H35*'Activity data'!AL13*Constants!$H53*FracLEACHMM*MMLeachEF*NtoN2O*kgtoGg</f>
        <v>5.4999248941078611E-4</v>
      </c>
      <c r="AM181" s="23">
        <f>Constants!$H35*'Activity data'!AM13*Constants!$H53*FracLEACHMM*MMLeachEF*NtoN2O*kgtoGg</f>
        <v>5.4836819487182119E-4</v>
      </c>
      <c r="AN181" s="23">
        <f>Constants!$H35*'Activity data'!AN13*Constants!$H53*FracLEACHMM*MMLeachEF*NtoN2O*kgtoGg</f>
        <v>5.4674445072465578E-4</v>
      </c>
      <c r="AO181" s="23">
        <f>Constants!$H35*'Activity data'!AO13*Constants!$H53*FracLEACHMM*MMLeachEF*NtoN2O*kgtoGg</f>
        <v>5.4512058303626419E-4</v>
      </c>
      <c r="AP181" s="23">
        <f>Constants!$H35*'Activity data'!AP13*Constants!$H53*FracLEACHMM*MMLeachEF*NtoN2O*kgtoGg</f>
        <v>5.4349718913289174E-4</v>
      </c>
      <c r="AQ181" s="23">
        <f>Constants!$H35*'Activity data'!AQ13*Constants!$H53*FracLEACHMM*MMLeachEF*NtoN2O*kgtoGg</f>
        <v>5.4187324565796327E-4</v>
      </c>
      <c r="AR181" s="23">
        <f>Constants!$H35*'Activity data'!AR13*Constants!$H53*FracLEACHMM*MMLeachEF*NtoN2O*kgtoGg</f>
        <v>5.4011248265826756E-4</v>
      </c>
      <c r="AS181" s="23">
        <f>Constants!$H35*'Activity data'!AS13*Constants!$H53*FracLEACHMM*MMLeachEF*NtoN2O*kgtoGg</f>
        <v>5.3835186536739315E-4</v>
      </c>
      <c r="AT181" s="23">
        <f>Constants!$H35*'Activity data'!AT13*Constants!$H53*FracLEACHMM*MMLeachEF*NtoN2O*kgtoGg</f>
        <v>5.3659050422120893E-4</v>
      </c>
      <c r="AU181" s="23">
        <f>Constants!$H35*'Activity data'!AU13*Constants!$H53*FracLEACHMM*MMLeachEF*NtoN2O*kgtoGg</f>
        <v>5.3482859073595678E-4</v>
      </c>
      <c r="AV181" s="23">
        <f>Constants!$H35*'Activity data'!AV13*Constants!$H53*FracLEACHMM*MMLeachEF*NtoN2O*kgtoGg</f>
        <v>5.3306607449823571E-4</v>
      </c>
      <c r="AW181" s="23">
        <f>Constants!$H35*'Activity data'!AW13*Constants!$H53*FracLEACHMM*MMLeachEF*NtoN2O*kgtoGg</f>
        <v>5.3135925607550327E-4</v>
      </c>
      <c r="AX181" s="23">
        <f>Constants!$H35*'Activity data'!AX13*Constants!$H53*FracLEACHMM*MMLeachEF*NtoN2O*kgtoGg</f>
        <v>5.2965342862026108E-4</v>
      </c>
      <c r="AY181" s="23">
        <f>Constants!$H35*'Activity data'!AY13*Constants!$H53*FracLEACHMM*MMLeachEF*NtoN2O*kgtoGg</f>
        <v>5.2794536607807046E-4</v>
      </c>
      <c r="AZ181" s="23">
        <f>Constants!$H35*'Activity data'!AZ13*Constants!$H53*FracLEACHMM*MMLeachEF*NtoN2O*kgtoGg</f>
        <v>5.2623574106564462E-4</v>
      </c>
      <c r="BA181" s="23">
        <f>Constants!$H35*'Activity data'!BA13*Constants!$H53*FracLEACHMM*MMLeachEF*NtoN2O*kgtoGg</f>
        <v>5.2452446898409197E-4</v>
      </c>
      <c r="BB181" s="23">
        <f>Constants!$H35*'Activity data'!BB13*Constants!$H53*FracLEACHMM*MMLeachEF*NtoN2O*kgtoGg</f>
        <v>5.2274617114954304E-4</v>
      </c>
      <c r="BC181" s="23">
        <f>Constants!$H35*'Activity data'!BC13*Constants!$H53*FracLEACHMM*MMLeachEF*NtoN2O*kgtoGg</f>
        <v>5.2096674041208417E-4</v>
      </c>
      <c r="BD181" s="23">
        <f>Constants!$H35*'Activity data'!BD13*Constants!$H53*FracLEACHMM*MMLeachEF*NtoN2O*kgtoGg</f>
        <v>5.1918688883552801E-4</v>
      </c>
      <c r="BE181" s="23">
        <f>Constants!$H35*'Activity data'!BE13*Constants!$H53*FracLEACHMM*MMLeachEF*NtoN2O*kgtoGg</f>
        <v>5.1740589364214214E-4</v>
      </c>
      <c r="BF181" s="23">
        <f>Constants!$H35*'Activity data'!BF13*Constants!$H53*FracLEACHMM*MMLeachEF*NtoN2O*kgtoGg</f>
        <v>5.1562311492483223E-4</v>
      </c>
      <c r="BG181" s="23">
        <f>Constants!$H35*'Activity data'!BG13*Constants!$H53*FracLEACHMM*MMLeachEF*NtoN2O*kgtoGg</f>
        <v>5.1359112116656895E-4</v>
      </c>
      <c r="BH181" s="23">
        <f>Constants!$H35*'Activity data'!BH13*Constants!$H53*FracLEACHMM*MMLeachEF*NtoN2O*kgtoGg</f>
        <v>5.1155775828408607E-4</v>
      </c>
      <c r="BI181" s="23">
        <f>Constants!$H35*'Activity data'!BI13*Constants!$H53*FracLEACHMM*MMLeachEF*NtoN2O*kgtoGg</f>
        <v>5.0952310426721087E-4</v>
      </c>
      <c r="BJ181" s="23">
        <f>Constants!$H35*'Activity data'!BJ13*Constants!$H53*FracLEACHMM*MMLeachEF*NtoN2O*kgtoGg</f>
        <v>5.0748696649370812E-4</v>
      </c>
      <c r="BK181" s="23">
        <f>Constants!$H35*'Activity data'!BK13*Constants!$H53*FracLEACHMM*MMLeachEF*NtoN2O*kgtoGg</f>
        <v>5.0544858114901978E-4</v>
      </c>
      <c r="BL181" s="23">
        <f>Constants!$H35*'Activity data'!BL13*Constants!$H53*FracLEACHMM*MMLeachEF*NtoN2O*kgtoGg</f>
        <v>5.0347887143181898E-4</v>
      </c>
      <c r="BM181" s="23">
        <f>Constants!$H35*'Activity data'!BM13*Constants!$H53*FracLEACHMM*MMLeachEF*NtoN2O*kgtoGg</f>
        <v>5.015072237957095E-4</v>
      </c>
      <c r="BN181" s="23">
        <f>Constants!$H35*'Activity data'!BN13*Constants!$H53*FracLEACHMM*MMLeachEF*NtoN2O*kgtoGg</f>
        <v>4.9953509016739792E-4</v>
      </c>
      <c r="BO181" s="23">
        <f>Constants!$H35*'Activity data'!BO13*Constants!$H53*FracLEACHMM*MMLeachEF*NtoN2O*kgtoGg</f>
        <v>4.9756084301272796E-4</v>
      </c>
      <c r="BP181" s="23">
        <f>Constants!$H35*'Activity data'!BP13*Constants!$H53*FracLEACHMM*MMLeachEF*NtoN2O*kgtoGg</f>
        <v>4.9558430592867853E-4</v>
      </c>
    </row>
    <row r="182" spans="1:68" x14ac:dyDescent="0.25">
      <c r="A182" t="str">
        <f t="shared" si="58"/>
        <v>3C Aggregated and non-CO2 emissions on land</v>
      </c>
      <c r="B182" t="str">
        <f t="shared" si="65"/>
        <v>3C6 Indirect N2O from manure management (N2O)</v>
      </c>
      <c r="C182" t="str">
        <f t="shared" si="67"/>
        <v>Leaching/runoff</v>
      </c>
      <c r="D182" t="str">
        <f t="shared" si="66"/>
        <v xml:space="preserve"> - Subsistence goats</v>
      </c>
      <c r="E182" t="str">
        <f t="shared" si="64"/>
        <v>Leaching/runoff - Subsistence goats</v>
      </c>
      <c r="F182" t="str">
        <f t="shared" si="47"/>
        <v>N2O</v>
      </c>
      <c r="G182" t="str">
        <f t="shared" si="48"/>
        <v>Gg N2O</v>
      </c>
      <c r="H182" s="23">
        <f>Constants!$H36*'Activity data'!H14*Constants!$H54*FracLEACHMM*MMLeachEF*NtoN2O*kgtoGg</f>
        <v>9.1435792098573387E-3</v>
      </c>
      <c r="I182" s="23">
        <f>Constants!$H36*'Activity data'!I14*Constants!$H54*FracLEACHMM*MMLeachEF*NtoN2O*kgtoGg</f>
        <v>8.0855082198197752E-3</v>
      </c>
      <c r="J182" s="23">
        <f>Constants!$H36*'Activity data'!J14*Constants!$H54*FracLEACHMM*MMLeachEF*NtoN2O*kgtoGg</f>
        <v>7.5317514399870309E-3</v>
      </c>
      <c r="K182" s="23">
        <f>Constants!$H36*'Activity data'!K14*Constants!$H54*FracLEACHMM*MMLeachEF*NtoN2O*kgtoGg</f>
        <v>7.1164338551124723E-3</v>
      </c>
      <c r="L182" s="23">
        <f>Constants!$H36*'Activity data'!L14*Constants!$H54*FracLEACHMM*MMLeachEF*NtoN2O*kgtoGg</f>
        <v>7.7031523480304998E-3</v>
      </c>
      <c r="M182" s="23">
        <f>Constants!$H36*'Activity data'!M14*Constants!$H54*FracLEACHMM*MMLeachEF*NtoN2O*kgtoGg</f>
        <v>7.808629829903403E-3</v>
      </c>
      <c r="N182" s="23">
        <f>Constants!$H36*'Activity data'!N14*Constants!$H54*FracLEACHMM*MMLeachEF*NtoN2O*kgtoGg</f>
        <v>7.9305881683189496E-3</v>
      </c>
      <c r="O182" s="23">
        <f>Constants!$H36*'Activity data'!O14*Constants!$H54*FracLEACHMM*MMLeachEF*NtoN2O*kgtoGg</f>
        <v>7.8910341126166086E-3</v>
      </c>
      <c r="P182" s="23">
        <f>Constants!$H36*'Activity data'!P14*Constants!$H54*FracLEACHMM*MMLeachEF*NtoN2O*kgtoGg</f>
        <v>7.7789642881266486E-3</v>
      </c>
      <c r="Q182" s="23">
        <f>Constants!$H36*'Activity data'!Q14*Constants!$H54*FracLEACHMM*MMLeachEF*NtoN2O*kgtoGg</f>
        <v>7.6635982923281606E-3</v>
      </c>
      <c r="R182" s="23">
        <f>Constants!$H36*'Activity data'!R14*Constants!$H54*FracLEACHMM*MMLeachEF*NtoN2O*kgtoGg</f>
        <v>7.7624834315840096E-3</v>
      </c>
      <c r="S182" s="23">
        <f>Constants!$H36*'Activity data'!S14*Constants!$H54*FracLEACHMM*MMLeachEF*NtoN2O*kgtoGg</f>
        <v>7.9998077657980407E-3</v>
      </c>
      <c r="T182" s="23">
        <f>Constants!$H36*'Activity data'!T14*Constants!$H54*FracLEACHMM*MMLeachEF*NtoN2O*kgtoGg</f>
        <v>7.3043156196985837E-3</v>
      </c>
      <c r="U182" s="23">
        <f>Constants!$H36*'Activity data'!U14*Constants!$H54*FracLEACHMM*MMLeachEF*NtoN2O*kgtoGg</f>
        <v>7.1197300264210003E-3</v>
      </c>
      <c r="V182" s="23">
        <f>Constants!$H36*'Activity data'!V14*Constants!$H54*FracLEACHMM*MMLeachEF*NtoN2O*kgtoGg</f>
        <v>7.1329147116551139E-3</v>
      </c>
      <c r="W182" s="23">
        <f>Constants!$H36*'Activity data'!W14*Constants!$H54*FracLEACHMM*MMLeachEF*NtoN2O*kgtoGg</f>
        <v>7.0406219150163226E-3</v>
      </c>
      <c r="X182" s="23">
        <f>Constants!$H36*'Activity data'!X14*Constants!$H54*FracLEACHMM*MMLeachEF*NtoN2O*kgtoGg</f>
        <v>7.1889496239000948E-3</v>
      </c>
      <c r="Y182" s="23">
        <f>Constants!$H36*'Activity data'!Y14*Constants!$H54*FracLEACHMM*MMLeachEF*NtoN2O*kgtoGg</f>
        <v>6.9746984888457595E-3</v>
      </c>
      <c r="Z182" s="23">
        <f>Constants!$H36*'Activity data'!Z14*Constants!$H54*FracLEACHMM*MMLeachEF*NtoN2O*kgtoGg</f>
        <v>6.9681061462287001E-3</v>
      </c>
      <c r="AA182" s="23">
        <f>Constants!$H36*'Activity data'!AA14*Constants!$H54*FracLEACHMM*MMLeachEF*NtoN2O*kgtoGg</f>
        <v>6.846147807813157E-3</v>
      </c>
      <c r="AB182" s="23">
        <f>Constants!$H36*'Activity data'!AB14*Constants!$H54*FracLEACHMM*MMLeachEF*NtoN2O*kgtoGg</f>
        <v>6.7637435250999514E-3</v>
      </c>
      <c r="AC182" s="23">
        <f>Constants!$H36*'Activity data'!AC14*Constants!$H54*FracLEACHMM*MMLeachEF*NtoN2O*kgtoGg</f>
        <v>6.7011162702379145E-3</v>
      </c>
      <c r="AD182" s="23">
        <f>Constants!$H36*'Activity data'!AD14*Constants!$H54*FracLEACHMM*MMLeachEF*NtoN2O*kgtoGg</f>
        <v>6.6846354136952738E-3</v>
      </c>
      <c r="AE182" s="23">
        <f>Constants!$H36*'Activity data'!AE14*Constants!$H54*FracLEACHMM*MMLeachEF*NtoN2O*kgtoGg</f>
        <v>6.6088234735991241E-3</v>
      </c>
      <c r="AF182" s="23">
        <f>Constants!$H36*'Activity data'!AF14*Constants!$H54*FracLEACHMM*MMLeachEF*NtoN2O*kgtoGg</f>
        <v>6.5494923900456161E-3</v>
      </c>
      <c r="AG182" s="23">
        <f>Constants!$H36*'Activity data'!AG14*Constants!$H54*FracLEACHMM*MMLeachEF*NtoN2O*kgtoGg</f>
        <v>6.4604957647153519E-3</v>
      </c>
      <c r="AH182" s="23">
        <f>Constants!$H36*'Activity data'!AH14*Constants!$H54*FracLEACHMM*MMLeachEF*NtoN2O*kgtoGg</f>
        <v>6.2660216575121863E-3</v>
      </c>
      <c r="AI182" s="23">
        <f>Constants!$H36*'Activity data'!AI14*Constants!$H54*FracLEACHMM*MMLeachEF*NtoN2O*kgtoGg</f>
        <v>6.0748437216175495E-3</v>
      </c>
      <c r="AJ182" s="23">
        <f>Constants!$H36*'Activity data'!AJ14*Constants!$H54*FracLEACHMM*MMLeachEF*NtoN2O*kgtoGg</f>
        <v>6.1829709684346245E-3</v>
      </c>
      <c r="AK182" s="23">
        <f>Constants!$H36*'Activity data'!AK14*Constants!$H54*FracLEACHMM*MMLeachEF*NtoN2O*kgtoGg</f>
        <v>6.1160398637028369E-3</v>
      </c>
      <c r="AL182" s="23">
        <f>Constants!$H36*'Activity data'!AL14*Constants!$H54*FracLEACHMM*MMLeachEF*NtoN2O*kgtoGg</f>
        <v>6.0491087589710484E-3</v>
      </c>
      <c r="AM182" s="23">
        <f>Constants!$H36*'Activity data'!AM14*Constants!$H54*FracLEACHMM*MMLeachEF*NtoN2O*kgtoGg</f>
        <v>5.9812668623650117E-3</v>
      </c>
      <c r="AN182" s="23">
        <f>Constants!$H36*'Activity data'!AN14*Constants!$H54*FracLEACHMM*MMLeachEF*NtoN2O*kgtoGg</f>
        <v>5.913424967011225E-3</v>
      </c>
      <c r="AO182" s="23">
        <f>Constants!$H36*'Activity data'!AO14*Constants!$H54*FracLEACHMM*MMLeachEF*NtoN2O*kgtoGg</f>
        <v>5.8455830716574383E-3</v>
      </c>
      <c r="AP182" s="23">
        <f>Constants!$H36*'Activity data'!AP14*Constants!$H54*FracLEACHMM*MMLeachEF*NtoN2O*kgtoGg</f>
        <v>5.7777411763036525E-3</v>
      </c>
      <c r="AQ182" s="23">
        <f>Constants!$H36*'Activity data'!AQ14*Constants!$H54*FracLEACHMM*MMLeachEF*NtoN2O*kgtoGg</f>
        <v>5.7098992796976132E-3</v>
      </c>
      <c r="AR182" s="23">
        <f>Constants!$H36*'Activity data'!AR14*Constants!$H54*FracLEACHMM*MMLeachEF*NtoN2O*kgtoGg</f>
        <v>5.6363998636240788E-3</v>
      </c>
      <c r="AS182" s="23">
        <f>Constants!$H36*'Activity data'!AS14*Constants!$H54*FracLEACHMM*MMLeachEF*NtoN2O*kgtoGg</f>
        <v>5.5629004475505452E-3</v>
      </c>
      <c r="AT182" s="23">
        <f>Constants!$H36*'Activity data'!AT14*Constants!$H54*FracLEACHMM*MMLeachEF*NtoN2O*kgtoGg</f>
        <v>5.4894010314770099E-3</v>
      </c>
      <c r="AU182" s="23">
        <f>Constants!$H36*'Activity data'!AU14*Constants!$H54*FracLEACHMM*MMLeachEF*NtoN2O*kgtoGg</f>
        <v>5.4159016154034763E-3</v>
      </c>
      <c r="AV182" s="23">
        <f>Constants!$H36*'Activity data'!AV14*Constants!$H54*FracLEACHMM*MMLeachEF*NtoN2O*kgtoGg</f>
        <v>5.3424021993299427E-3</v>
      </c>
      <c r="AW182" s="23">
        <f>Constants!$H36*'Activity data'!AW14*Constants!$H54*FracLEACHMM*MMLeachEF*NtoN2O*kgtoGg</f>
        <v>5.2713980984336693E-3</v>
      </c>
      <c r="AX182" s="23">
        <f>Constants!$H36*'Activity data'!AX14*Constants!$H54*FracLEACHMM*MMLeachEF*NtoN2O*kgtoGg</f>
        <v>5.200393998789651E-3</v>
      </c>
      <c r="AY182" s="23">
        <f>Constants!$H36*'Activity data'!AY14*Constants!$H54*FracLEACHMM*MMLeachEF*NtoN2O*kgtoGg</f>
        <v>5.1293898978933775E-3</v>
      </c>
      <c r="AZ182" s="23">
        <f>Constants!$H36*'Activity data'!AZ14*Constants!$H54*FracLEACHMM*MMLeachEF*NtoN2O*kgtoGg</f>
        <v>5.0583857982493584E-3</v>
      </c>
      <c r="BA182" s="23">
        <f>Constants!$H36*'Activity data'!BA14*Constants!$H54*FracLEACHMM*MMLeachEF*NtoN2O*kgtoGg</f>
        <v>4.9873816986053402E-3</v>
      </c>
      <c r="BB182" s="23">
        <f>Constants!$H36*'Activity data'!BB14*Constants!$H54*FracLEACHMM*MMLeachEF*NtoN2O*kgtoGg</f>
        <v>4.91358609440981E-3</v>
      </c>
      <c r="BC182" s="23">
        <f>Constants!$H36*'Activity data'!BC14*Constants!$H54*FracLEACHMM*MMLeachEF*NtoN2O*kgtoGg</f>
        <v>4.8397904902142816E-3</v>
      </c>
      <c r="BD182" s="23">
        <f>Constants!$H36*'Activity data'!BD14*Constants!$H54*FracLEACHMM*MMLeachEF*NtoN2O*kgtoGg</f>
        <v>4.7659948872710058E-3</v>
      </c>
      <c r="BE182" s="23">
        <f>Constants!$H36*'Activity data'!BE14*Constants!$H54*FracLEACHMM*MMLeachEF*NtoN2O*kgtoGg</f>
        <v>4.6921992830754782E-3</v>
      </c>
      <c r="BF182" s="23">
        <f>Constants!$H36*'Activity data'!BF14*Constants!$H54*FracLEACHMM*MMLeachEF*NtoN2O*kgtoGg</f>
        <v>4.6184036788799489E-3</v>
      </c>
      <c r="BG182" s="23">
        <f>Constants!$H36*'Activity data'!BG14*Constants!$H54*FracLEACHMM*MMLeachEF*NtoN2O*kgtoGg</f>
        <v>4.5341639045143253E-3</v>
      </c>
      <c r="BH182" s="23">
        <f>Constants!$H36*'Activity data'!BH14*Constants!$H54*FracLEACHMM*MMLeachEF*NtoN2O*kgtoGg</f>
        <v>4.4499241314009588E-3</v>
      </c>
      <c r="BI182" s="23">
        <f>Constants!$H36*'Activity data'!BI14*Constants!$H54*FracLEACHMM*MMLeachEF*NtoN2O*kgtoGg</f>
        <v>4.3656843570353361E-3</v>
      </c>
      <c r="BJ182" s="23">
        <f>Constants!$H36*'Activity data'!BJ14*Constants!$H54*FracLEACHMM*MMLeachEF*NtoN2O*kgtoGg</f>
        <v>4.2814445826697151E-3</v>
      </c>
      <c r="BK182" s="23">
        <f>Constants!$H36*'Activity data'!BK14*Constants!$H54*FracLEACHMM*MMLeachEF*NtoN2O*kgtoGg</f>
        <v>4.1972048083040942E-3</v>
      </c>
      <c r="BL182" s="23">
        <f>Constants!$H36*'Activity data'!BL14*Constants!$H54*FracLEACHMM*MMLeachEF*NtoN2O*kgtoGg</f>
        <v>4.1159382054803658E-3</v>
      </c>
      <c r="BM182" s="23">
        <f>Constants!$H36*'Activity data'!BM14*Constants!$H54*FracLEACHMM*MMLeachEF*NtoN2O*kgtoGg</f>
        <v>4.0346716026566426E-3</v>
      </c>
      <c r="BN182" s="23">
        <f>Constants!$H36*'Activity data'!BN14*Constants!$H54*FracLEACHMM*MMLeachEF*NtoN2O*kgtoGg</f>
        <v>3.9534049985806632E-3</v>
      </c>
      <c r="BO182" s="23">
        <f>Constants!$H36*'Activity data'!BO14*Constants!$H54*FracLEACHMM*MMLeachEF*NtoN2O*kgtoGg</f>
        <v>3.8721383957569387E-3</v>
      </c>
      <c r="BP182" s="23">
        <f>Constants!$H36*'Activity data'!BP14*Constants!$H54*FracLEACHMM*MMLeachEF*NtoN2O*kgtoGg</f>
        <v>3.7908717929332121E-3</v>
      </c>
    </row>
    <row r="183" spans="1:68" x14ac:dyDescent="0.25">
      <c r="A183" t="str">
        <f t="shared" si="58"/>
        <v>3C Aggregated and non-CO2 emissions on land</v>
      </c>
      <c r="B183" t="str">
        <f t="shared" si="65"/>
        <v>3C6 Indirect N2O from manure management (N2O)</v>
      </c>
      <c r="C183" t="str">
        <f t="shared" si="67"/>
        <v>Leaching/runoff</v>
      </c>
      <c r="D183" t="str">
        <f t="shared" si="66"/>
        <v xml:space="preserve"> - Horses</v>
      </c>
      <c r="E183" t="str">
        <f t="shared" si="64"/>
        <v>Leaching/runoff - Horses</v>
      </c>
      <c r="F183" t="str">
        <f t="shared" si="47"/>
        <v>N2O</v>
      </c>
      <c r="G183" t="str">
        <f t="shared" si="48"/>
        <v>Gg N2O</v>
      </c>
      <c r="H183" s="23">
        <f>Constants!$H37*'Activity data'!H15*Constants!$H55*FracLEACHMM*MMLeachEF*NtoN2O*kgtoGg</f>
        <v>0</v>
      </c>
      <c r="I183" s="23">
        <f>Constants!$H37*'Activity data'!I15*Constants!$H55*FracLEACHMM*MMLeachEF*NtoN2O*kgtoGg</f>
        <v>0</v>
      </c>
      <c r="J183" s="23">
        <f>Constants!$H37*'Activity data'!J15*Constants!$H55*FracLEACHMM*MMLeachEF*NtoN2O*kgtoGg</f>
        <v>0</v>
      </c>
      <c r="K183" s="23">
        <f>Constants!$H37*'Activity data'!K15*Constants!$H55*FracLEACHMM*MMLeachEF*NtoN2O*kgtoGg</f>
        <v>0</v>
      </c>
      <c r="L183" s="23">
        <f>Constants!$H37*'Activity data'!L15*Constants!$H55*FracLEACHMM*MMLeachEF*NtoN2O*kgtoGg</f>
        <v>0</v>
      </c>
      <c r="M183" s="23">
        <f>Constants!$H37*'Activity data'!M15*Constants!$H55*FracLEACHMM*MMLeachEF*NtoN2O*kgtoGg</f>
        <v>0</v>
      </c>
      <c r="N183" s="23">
        <f>Constants!$H37*'Activity data'!N15*Constants!$H55*FracLEACHMM*MMLeachEF*NtoN2O*kgtoGg</f>
        <v>0</v>
      </c>
      <c r="O183" s="23">
        <f>Constants!$H37*'Activity data'!O15*Constants!$H55*FracLEACHMM*MMLeachEF*NtoN2O*kgtoGg</f>
        <v>0</v>
      </c>
      <c r="P183" s="23">
        <f>Constants!$H37*'Activity data'!P15*Constants!$H55*FracLEACHMM*MMLeachEF*NtoN2O*kgtoGg</f>
        <v>0</v>
      </c>
      <c r="Q183" s="23">
        <f>Constants!$H37*'Activity data'!Q15*Constants!$H55*FracLEACHMM*MMLeachEF*NtoN2O*kgtoGg</f>
        <v>0</v>
      </c>
      <c r="R183" s="23">
        <f>Constants!$H37*'Activity data'!R15*Constants!$H55*FracLEACHMM*MMLeachEF*NtoN2O*kgtoGg</f>
        <v>0</v>
      </c>
      <c r="S183" s="23">
        <f>Constants!$H37*'Activity data'!S15*Constants!$H55*FracLEACHMM*MMLeachEF*NtoN2O*kgtoGg</f>
        <v>0</v>
      </c>
      <c r="T183" s="23">
        <f>Constants!$H37*'Activity data'!T15*Constants!$H55*FracLEACHMM*MMLeachEF*NtoN2O*kgtoGg</f>
        <v>0</v>
      </c>
      <c r="U183" s="23">
        <f>Constants!$H37*'Activity data'!U15*Constants!$H55*FracLEACHMM*MMLeachEF*NtoN2O*kgtoGg</f>
        <v>0</v>
      </c>
      <c r="V183" s="23">
        <f>Constants!$H37*'Activity data'!V15*Constants!$H55*FracLEACHMM*MMLeachEF*NtoN2O*kgtoGg</f>
        <v>0</v>
      </c>
      <c r="W183" s="23">
        <f>Constants!$H37*'Activity data'!W15*Constants!$H55*FracLEACHMM*MMLeachEF*NtoN2O*kgtoGg</f>
        <v>0</v>
      </c>
      <c r="X183" s="23">
        <f>Constants!$H37*'Activity data'!X15*Constants!$H55*FracLEACHMM*MMLeachEF*NtoN2O*kgtoGg</f>
        <v>0</v>
      </c>
      <c r="Y183" s="23">
        <f>Constants!$H37*'Activity data'!Y15*Constants!$H55*FracLEACHMM*MMLeachEF*NtoN2O*kgtoGg</f>
        <v>0</v>
      </c>
      <c r="Z183" s="23">
        <f>Constants!$H37*'Activity data'!Z15*Constants!$H55*FracLEACHMM*MMLeachEF*NtoN2O*kgtoGg</f>
        <v>0</v>
      </c>
      <c r="AA183" s="23">
        <f>Constants!$H37*'Activity data'!AA15*Constants!$H55*FracLEACHMM*MMLeachEF*NtoN2O*kgtoGg</f>
        <v>0</v>
      </c>
      <c r="AB183" s="23">
        <f>Constants!$H37*'Activity data'!AB15*Constants!$H55*FracLEACHMM*MMLeachEF*NtoN2O*kgtoGg</f>
        <v>0</v>
      </c>
      <c r="AC183" s="23">
        <f>Constants!$H37*'Activity data'!AC15*Constants!$H55*FracLEACHMM*MMLeachEF*NtoN2O*kgtoGg</f>
        <v>0</v>
      </c>
      <c r="AD183" s="23">
        <f>Constants!$H37*'Activity data'!AD15*Constants!$H55*FracLEACHMM*MMLeachEF*NtoN2O*kgtoGg</f>
        <v>0</v>
      </c>
      <c r="AE183" s="23">
        <f>Constants!$H37*'Activity data'!AE15*Constants!$H55*FracLEACHMM*MMLeachEF*NtoN2O*kgtoGg</f>
        <v>0</v>
      </c>
      <c r="AF183" s="23">
        <f>Constants!$H37*'Activity data'!AF15*Constants!$H55*FracLEACHMM*MMLeachEF*NtoN2O*kgtoGg</f>
        <v>0</v>
      </c>
      <c r="AG183" s="23">
        <f>Constants!$H37*'Activity data'!AG15*Constants!$H55*FracLEACHMM*MMLeachEF*NtoN2O*kgtoGg</f>
        <v>0</v>
      </c>
      <c r="AH183" s="23">
        <f>Constants!$H37*'Activity data'!AH15*Constants!$H55*FracLEACHMM*MMLeachEF*NtoN2O*kgtoGg</f>
        <v>0</v>
      </c>
      <c r="AI183" s="23">
        <f>Constants!$H37*'Activity data'!AI15*Constants!$H55*FracLEACHMM*MMLeachEF*NtoN2O*kgtoGg</f>
        <v>0</v>
      </c>
      <c r="AJ183" s="23">
        <f>Constants!$H37*'Activity data'!AJ15*Constants!$H55*FracLEACHMM*MMLeachEF*NtoN2O*kgtoGg</f>
        <v>0</v>
      </c>
      <c r="AK183" s="23">
        <f>Constants!$H37*'Activity data'!AK15*Constants!$H55*FracLEACHMM*MMLeachEF*NtoN2O*kgtoGg</f>
        <v>0</v>
      </c>
      <c r="AL183" s="23">
        <f>Constants!$H37*'Activity data'!AL15*Constants!$H55*FracLEACHMM*MMLeachEF*NtoN2O*kgtoGg</f>
        <v>0</v>
      </c>
      <c r="AM183" s="23">
        <f>Constants!$H37*'Activity data'!AM15*Constants!$H55*FracLEACHMM*MMLeachEF*NtoN2O*kgtoGg</f>
        <v>0</v>
      </c>
      <c r="AN183" s="23">
        <f>Constants!$H37*'Activity data'!AN15*Constants!$H55*FracLEACHMM*MMLeachEF*NtoN2O*kgtoGg</f>
        <v>0</v>
      </c>
      <c r="AO183" s="23">
        <f>Constants!$H37*'Activity data'!AO15*Constants!$H55*FracLEACHMM*MMLeachEF*NtoN2O*kgtoGg</f>
        <v>0</v>
      </c>
      <c r="AP183" s="23">
        <f>Constants!$H37*'Activity data'!AP15*Constants!$H55*FracLEACHMM*MMLeachEF*NtoN2O*kgtoGg</f>
        <v>0</v>
      </c>
      <c r="AQ183" s="23">
        <f>Constants!$H37*'Activity data'!AQ15*Constants!$H55*FracLEACHMM*MMLeachEF*NtoN2O*kgtoGg</f>
        <v>0</v>
      </c>
      <c r="AR183" s="23">
        <f>Constants!$H37*'Activity data'!AR15*Constants!$H55*FracLEACHMM*MMLeachEF*NtoN2O*kgtoGg</f>
        <v>0</v>
      </c>
      <c r="AS183" s="23">
        <f>Constants!$H37*'Activity data'!AS15*Constants!$H55*FracLEACHMM*MMLeachEF*NtoN2O*kgtoGg</f>
        <v>0</v>
      </c>
      <c r="AT183" s="23">
        <f>Constants!$H37*'Activity data'!AT15*Constants!$H55*FracLEACHMM*MMLeachEF*NtoN2O*kgtoGg</f>
        <v>0</v>
      </c>
      <c r="AU183" s="23">
        <f>Constants!$H37*'Activity data'!AU15*Constants!$H55*FracLEACHMM*MMLeachEF*NtoN2O*kgtoGg</f>
        <v>0</v>
      </c>
      <c r="AV183" s="23">
        <f>Constants!$H37*'Activity data'!AV15*Constants!$H55*FracLEACHMM*MMLeachEF*NtoN2O*kgtoGg</f>
        <v>0</v>
      </c>
      <c r="AW183" s="23">
        <f>Constants!$H37*'Activity data'!AW15*Constants!$H55*FracLEACHMM*MMLeachEF*NtoN2O*kgtoGg</f>
        <v>0</v>
      </c>
      <c r="AX183" s="23">
        <f>Constants!$H37*'Activity data'!AX15*Constants!$H55*FracLEACHMM*MMLeachEF*NtoN2O*kgtoGg</f>
        <v>0</v>
      </c>
      <c r="AY183" s="23">
        <f>Constants!$H37*'Activity data'!AY15*Constants!$H55*FracLEACHMM*MMLeachEF*NtoN2O*kgtoGg</f>
        <v>0</v>
      </c>
      <c r="AZ183" s="23">
        <f>Constants!$H37*'Activity data'!AZ15*Constants!$H55*FracLEACHMM*MMLeachEF*NtoN2O*kgtoGg</f>
        <v>0</v>
      </c>
      <c r="BA183" s="23">
        <f>Constants!$H37*'Activity data'!BA15*Constants!$H55*FracLEACHMM*MMLeachEF*NtoN2O*kgtoGg</f>
        <v>0</v>
      </c>
      <c r="BB183" s="23">
        <f>Constants!$H37*'Activity data'!BB15*Constants!$H55*FracLEACHMM*MMLeachEF*NtoN2O*kgtoGg</f>
        <v>0</v>
      </c>
      <c r="BC183" s="23">
        <f>Constants!$H37*'Activity data'!BC15*Constants!$H55*FracLEACHMM*MMLeachEF*NtoN2O*kgtoGg</f>
        <v>0</v>
      </c>
      <c r="BD183" s="23">
        <f>Constants!$H37*'Activity data'!BD15*Constants!$H55*FracLEACHMM*MMLeachEF*NtoN2O*kgtoGg</f>
        <v>0</v>
      </c>
      <c r="BE183" s="23">
        <f>Constants!$H37*'Activity data'!BE15*Constants!$H55*FracLEACHMM*MMLeachEF*NtoN2O*kgtoGg</f>
        <v>0</v>
      </c>
      <c r="BF183" s="23">
        <f>Constants!$H37*'Activity data'!BF15*Constants!$H55*FracLEACHMM*MMLeachEF*NtoN2O*kgtoGg</f>
        <v>0</v>
      </c>
      <c r="BG183" s="23">
        <f>Constants!$H37*'Activity data'!BG15*Constants!$H55*FracLEACHMM*MMLeachEF*NtoN2O*kgtoGg</f>
        <v>0</v>
      </c>
      <c r="BH183" s="23">
        <f>Constants!$H37*'Activity data'!BH15*Constants!$H55*FracLEACHMM*MMLeachEF*NtoN2O*kgtoGg</f>
        <v>0</v>
      </c>
      <c r="BI183" s="23">
        <f>Constants!$H37*'Activity data'!BI15*Constants!$H55*FracLEACHMM*MMLeachEF*NtoN2O*kgtoGg</f>
        <v>0</v>
      </c>
      <c r="BJ183" s="23">
        <f>Constants!$H37*'Activity data'!BJ15*Constants!$H55*FracLEACHMM*MMLeachEF*NtoN2O*kgtoGg</f>
        <v>0</v>
      </c>
      <c r="BK183" s="23">
        <f>Constants!$H37*'Activity data'!BK15*Constants!$H55*FracLEACHMM*MMLeachEF*NtoN2O*kgtoGg</f>
        <v>0</v>
      </c>
      <c r="BL183" s="23">
        <f>Constants!$H37*'Activity data'!BL15*Constants!$H55*FracLEACHMM*MMLeachEF*NtoN2O*kgtoGg</f>
        <v>0</v>
      </c>
      <c r="BM183" s="23">
        <f>Constants!$H37*'Activity data'!BM15*Constants!$H55*FracLEACHMM*MMLeachEF*NtoN2O*kgtoGg</f>
        <v>0</v>
      </c>
      <c r="BN183" s="23">
        <f>Constants!$H37*'Activity data'!BN15*Constants!$H55*FracLEACHMM*MMLeachEF*NtoN2O*kgtoGg</f>
        <v>0</v>
      </c>
      <c r="BO183" s="23">
        <f>Constants!$H37*'Activity data'!BO15*Constants!$H55*FracLEACHMM*MMLeachEF*NtoN2O*kgtoGg</f>
        <v>0</v>
      </c>
      <c r="BP183" s="23">
        <f>Constants!$H37*'Activity data'!BP15*Constants!$H55*FracLEACHMM*MMLeachEF*NtoN2O*kgtoGg</f>
        <v>0</v>
      </c>
    </row>
    <row r="184" spans="1:68" x14ac:dyDescent="0.25">
      <c r="A184" t="str">
        <f t="shared" si="58"/>
        <v>3C Aggregated and non-CO2 emissions on land</v>
      </c>
      <c r="B184" t="str">
        <f t="shared" si="65"/>
        <v>3C6 Indirect N2O from manure management (N2O)</v>
      </c>
      <c r="C184" t="str">
        <f t="shared" si="67"/>
        <v>Leaching/runoff</v>
      </c>
      <c r="D184" t="str">
        <f t="shared" si="66"/>
        <v xml:space="preserve"> - Mules &amp; Asses</v>
      </c>
      <c r="E184" t="str">
        <f t="shared" si="64"/>
        <v>Leaching/runoff - Mules &amp; Asses</v>
      </c>
      <c r="F184" t="str">
        <f t="shared" si="47"/>
        <v>N2O</v>
      </c>
      <c r="G184" t="str">
        <f t="shared" si="48"/>
        <v>Gg N2O</v>
      </c>
      <c r="H184" s="23">
        <f>Constants!$H38*'Activity data'!H16*Constants!$H56*FracLEACHMM*MMLeachEF*NtoN2O*kgtoGg</f>
        <v>0</v>
      </c>
      <c r="I184" s="23">
        <f>Constants!$H38*'Activity data'!I16*Constants!$H56*FracLEACHMM*MMLeachEF*NtoN2O*kgtoGg</f>
        <v>0</v>
      </c>
      <c r="J184" s="23">
        <f>Constants!$H38*'Activity data'!J16*Constants!$H56*FracLEACHMM*MMLeachEF*NtoN2O*kgtoGg</f>
        <v>0</v>
      </c>
      <c r="K184" s="23">
        <f>Constants!$H38*'Activity data'!K16*Constants!$H56*FracLEACHMM*MMLeachEF*NtoN2O*kgtoGg</f>
        <v>0</v>
      </c>
      <c r="L184" s="23">
        <f>Constants!$H38*'Activity data'!L16*Constants!$H56*FracLEACHMM*MMLeachEF*NtoN2O*kgtoGg</f>
        <v>0</v>
      </c>
      <c r="M184" s="23">
        <f>Constants!$H38*'Activity data'!M16*Constants!$H56*FracLEACHMM*MMLeachEF*NtoN2O*kgtoGg</f>
        <v>0</v>
      </c>
      <c r="N184" s="23">
        <f>Constants!$H38*'Activity data'!N16*Constants!$H56*FracLEACHMM*MMLeachEF*NtoN2O*kgtoGg</f>
        <v>0</v>
      </c>
      <c r="O184" s="23">
        <f>Constants!$H38*'Activity data'!O16*Constants!$H56*FracLEACHMM*MMLeachEF*NtoN2O*kgtoGg</f>
        <v>0</v>
      </c>
      <c r="P184" s="23">
        <f>Constants!$H38*'Activity data'!P16*Constants!$H56*FracLEACHMM*MMLeachEF*NtoN2O*kgtoGg</f>
        <v>0</v>
      </c>
      <c r="Q184" s="23">
        <f>Constants!$H38*'Activity data'!Q16*Constants!$H56*FracLEACHMM*MMLeachEF*NtoN2O*kgtoGg</f>
        <v>0</v>
      </c>
      <c r="R184" s="23">
        <f>Constants!$H38*'Activity data'!R16*Constants!$H56*FracLEACHMM*MMLeachEF*NtoN2O*kgtoGg</f>
        <v>0</v>
      </c>
      <c r="S184" s="23">
        <f>Constants!$H38*'Activity data'!S16*Constants!$H56*FracLEACHMM*MMLeachEF*NtoN2O*kgtoGg</f>
        <v>0</v>
      </c>
      <c r="T184" s="23">
        <f>Constants!$H38*'Activity data'!T16*Constants!$H56*FracLEACHMM*MMLeachEF*NtoN2O*kgtoGg</f>
        <v>0</v>
      </c>
      <c r="U184" s="23">
        <f>Constants!$H38*'Activity data'!U16*Constants!$H56*FracLEACHMM*MMLeachEF*NtoN2O*kgtoGg</f>
        <v>0</v>
      </c>
      <c r="V184" s="23">
        <f>Constants!$H38*'Activity data'!V16*Constants!$H56*FracLEACHMM*MMLeachEF*NtoN2O*kgtoGg</f>
        <v>0</v>
      </c>
      <c r="W184" s="23">
        <f>Constants!$H38*'Activity data'!W16*Constants!$H56*FracLEACHMM*MMLeachEF*NtoN2O*kgtoGg</f>
        <v>0</v>
      </c>
      <c r="X184" s="23">
        <f>Constants!$H38*'Activity data'!X16*Constants!$H56*FracLEACHMM*MMLeachEF*NtoN2O*kgtoGg</f>
        <v>0</v>
      </c>
      <c r="Y184" s="23">
        <f>Constants!$H38*'Activity data'!Y16*Constants!$H56*FracLEACHMM*MMLeachEF*NtoN2O*kgtoGg</f>
        <v>0</v>
      </c>
      <c r="Z184" s="23">
        <f>Constants!$H38*'Activity data'!Z16*Constants!$H56*FracLEACHMM*MMLeachEF*NtoN2O*kgtoGg</f>
        <v>0</v>
      </c>
      <c r="AA184" s="23">
        <f>Constants!$H38*'Activity data'!AA16*Constants!$H56*FracLEACHMM*MMLeachEF*NtoN2O*kgtoGg</f>
        <v>0</v>
      </c>
      <c r="AB184" s="23">
        <f>Constants!$H38*'Activity data'!AB16*Constants!$H56*FracLEACHMM*MMLeachEF*NtoN2O*kgtoGg</f>
        <v>0</v>
      </c>
      <c r="AC184" s="23">
        <f>Constants!$H38*'Activity data'!AC16*Constants!$H56*FracLEACHMM*MMLeachEF*NtoN2O*kgtoGg</f>
        <v>0</v>
      </c>
      <c r="AD184" s="23">
        <f>Constants!$H38*'Activity data'!AD16*Constants!$H56*FracLEACHMM*MMLeachEF*NtoN2O*kgtoGg</f>
        <v>0</v>
      </c>
      <c r="AE184" s="23">
        <f>Constants!$H38*'Activity data'!AE16*Constants!$H56*FracLEACHMM*MMLeachEF*NtoN2O*kgtoGg</f>
        <v>0</v>
      </c>
      <c r="AF184" s="23">
        <f>Constants!$H38*'Activity data'!AF16*Constants!$H56*FracLEACHMM*MMLeachEF*NtoN2O*kgtoGg</f>
        <v>0</v>
      </c>
      <c r="AG184" s="23">
        <f>Constants!$H38*'Activity data'!AG16*Constants!$H56*FracLEACHMM*MMLeachEF*NtoN2O*kgtoGg</f>
        <v>0</v>
      </c>
      <c r="AH184" s="23">
        <f>Constants!$H38*'Activity data'!AH16*Constants!$H56*FracLEACHMM*MMLeachEF*NtoN2O*kgtoGg</f>
        <v>0</v>
      </c>
      <c r="AI184" s="23">
        <f>Constants!$H38*'Activity data'!AI16*Constants!$H56*FracLEACHMM*MMLeachEF*NtoN2O*kgtoGg</f>
        <v>0</v>
      </c>
      <c r="AJ184" s="23">
        <f>Constants!$H38*'Activity data'!AJ16*Constants!$H56*FracLEACHMM*MMLeachEF*NtoN2O*kgtoGg</f>
        <v>0</v>
      </c>
      <c r="AK184" s="23">
        <f>Constants!$H38*'Activity data'!AK16*Constants!$H56*FracLEACHMM*MMLeachEF*NtoN2O*kgtoGg</f>
        <v>0</v>
      </c>
      <c r="AL184" s="23">
        <f>Constants!$H38*'Activity data'!AL16*Constants!$H56*FracLEACHMM*MMLeachEF*NtoN2O*kgtoGg</f>
        <v>0</v>
      </c>
      <c r="AM184" s="23">
        <f>Constants!$H38*'Activity data'!AM16*Constants!$H56*FracLEACHMM*MMLeachEF*NtoN2O*kgtoGg</f>
        <v>0</v>
      </c>
      <c r="AN184" s="23">
        <f>Constants!$H38*'Activity data'!AN16*Constants!$H56*FracLEACHMM*MMLeachEF*NtoN2O*kgtoGg</f>
        <v>0</v>
      </c>
      <c r="AO184" s="23">
        <f>Constants!$H38*'Activity data'!AO16*Constants!$H56*FracLEACHMM*MMLeachEF*NtoN2O*kgtoGg</f>
        <v>0</v>
      </c>
      <c r="AP184" s="23">
        <f>Constants!$H38*'Activity data'!AP16*Constants!$H56*FracLEACHMM*MMLeachEF*NtoN2O*kgtoGg</f>
        <v>0</v>
      </c>
      <c r="AQ184" s="23">
        <f>Constants!$H38*'Activity data'!AQ16*Constants!$H56*FracLEACHMM*MMLeachEF*NtoN2O*kgtoGg</f>
        <v>0</v>
      </c>
      <c r="AR184" s="23">
        <f>Constants!$H38*'Activity data'!AR16*Constants!$H56*FracLEACHMM*MMLeachEF*NtoN2O*kgtoGg</f>
        <v>0</v>
      </c>
      <c r="AS184" s="23">
        <f>Constants!$H38*'Activity data'!AS16*Constants!$H56*FracLEACHMM*MMLeachEF*NtoN2O*kgtoGg</f>
        <v>0</v>
      </c>
      <c r="AT184" s="23">
        <f>Constants!$H38*'Activity data'!AT16*Constants!$H56*FracLEACHMM*MMLeachEF*NtoN2O*kgtoGg</f>
        <v>0</v>
      </c>
      <c r="AU184" s="23">
        <f>Constants!$H38*'Activity data'!AU16*Constants!$H56*FracLEACHMM*MMLeachEF*NtoN2O*kgtoGg</f>
        <v>0</v>
      </c>
      <c r="AV184" s="23">
        <f>Constants!$H38*'Activity data'!AV16*Constants!$H56*FracLEACHMM*MMLeachEF*NtoN2O*kgtoGg</f>
        <v>0</v>
      </c>
      <c r="AW184" s="23">
        <f>Constants!$H38*'Activity data'!AW16*Constants!$H56*FracLEACHMM*MMLeachEF*NtoN2O*kgtoGg</f>
        <v>0</v>
      </c>
      <c r="AX184" s="23">
        <f>Constants!$H38*'Activity data'!AX16*Constants!$H56*FracLEACHMM*MMLeachEF*NtoN2O*kgtoGg</f>
        <v>0</v>
      </c>
      <c r="AY184" s="23">
        <f>Constants!$H38*'Activity data'!AY16*Constants!$H56*FracLEACHMM*MMLeachEF*NtoN2O*kgtoGg</f>
        <v>0</v>
      </c>
      <c r="AZ184" s="23">
        <f>Constants!$H38*'Activity data'!AZ16*Constants!$H56*FracLEACHMM*MMLeachEF*NtoN2O*kgtoGg</f>
        <v>0</v>
      </c>
      <c r="BA184" s="23">
        <f>Constants!$H38*'Activity data'!BA16*Constants!$H56*FracLEACHMM*MMLeachEF*NtoN2O*kgtoGg</f>
        <v>0</v>
      </c>
      <c r="BB184" s="23">
        <f>Constants!$H38*'Activity data'!BB16*Constants!$H56*FracLEACHMM*MMLeachEF*NtoN2O*kgtoGg</f>
        <v>0</v>
      </c>
      <c r="BC184" s="23">
        <f>Constants!$H38*'Activity data'!BC16*Constants!$H56*FracLEACHMM*MMLeachEF*NtoN2O*kgtoGg</f>
        <v>0</v>
      </c>
      <c r="BD184" s="23">
        <f>Constants!$H38*'Activity data'!BD16*Constants!$H56*FracLEACHMM*MMLeachEF*NtoN2O*kgtoGg</f>
        <v>0</v>
      </c>
      <c r="BE184" s="23">
        <f>Constants!$H38*'Activity data'!BE16*Constants!$H56*FracLEACHMM*MMLeachEF*NtoN2O*kgtoGg</f>
        <v>0</v>
      </c>
      <c r="BF184" s="23">
        <f>Constants!$H38*'Activity data'!BF16*Constants!$H56*FracLEACHMM*MMLeachEF*NtoN2O*kgtoGg</f>
        <v>0</v>
      </c>
      <c r="BG184" s="23">
        <f>Constants!$H38*'Activity data'!BG16*Constants!$H56*FracLEACHMM*MMLeachEF*NtoN2O*kgtoGg</f>
        <v>0</v>
      </c>
      <c r="BH184" s="23">
        <f>Constants!$H38*'Activity data'!BH16*Constants!$H56*FracLEACHMM*MMLeachEF*NtoN2O*kgtoGg</f>
        <v>0</v>
      </c>
      <c r="BI184" s="23">
        <f>Constants!$H38*'Activity data'!BI16*Constants!$H56*FracLEACHMM*MMLeachEF*NtoN2O*kgtoGg</f>
        <v>0</v>
      </c>
      <c r="BJ184" s="23">
        <f>Constants!$H38*'Activity data'!BJ16*Constants!$H56*FracLEACHMM*MMLeachEF*NtoN2O*kgtoGg</f>
        <v>0</v>
      </c>
      <c r="BK184" s="23">
        <f>Constants!$H38*'Activity data'!BK16*Constants!$H56*FracLEACHMM*MMLeachEF*NtoN2O*kgtoGg</f>
        <v>0</v>
      </c>
      <c r="BL184" s="23">
        <f>Constants!$H38*'Activity data'!BL16*Constants!$H56*FracLEACHMM*MMLeachEF*NtoN2O*kgtoGg</f>
        <v>0</v>
      </c>
      <c r="BM184" s="23">
        <f>Constants!$H38*'Activity data'!BM16*Constants!$H56*FracLEACHMM*MMLeachEF*NtoN2O*kgtoGg</f>
        <v>0</v>
      </c>
      <c r="BN184" s="23">
        <f>Constants!$H38*'Activity data'!BN16*Constants!$H56*FracLEACHMM*MMLeachEF*NtoN2O*kgtoGg</f>
        <v>0</v>
      </c>
      <c r="BO184" s="23">
        <f>Constants!$H38*'Activity data'!BO16*Constants!$H56*FracLEACHMM*MMLeachEF*NtoN2O*kgtoGg</f>
        <v>0</v>
      </c>
      <c r="BP184" s="23">
        <f>Constants!$H38*'Activity data'!BP16*Constants!$H56*FracLEACHMM*MMLeachEF*NtoN2O*kgtoGg</f>
        <v>0</v>
      </c>
    </row>
    <row r="185" spans="1:68" x14ac:dyDescent="0.25">
      <c r="A185" t="str">
        <f t="shared" si="58"/>
        <v>3C Aggregated and non-CO2 emissions on land</v>
      </c>
      <c r="B185" t="str">
        <f t="shared" si="65"/>
        <v>3C6 Indirect N2O from manure management (N2O)</v>
      </c>
      <c r="C185" t="str">
        <f t="shared" si="67"/>
        <v>Leaching/runoff</v>
      </c>
      <c r="D185" t="str">
        <f t="shared" si="66"/>
        <v xml:space="preserve"> - Commercial swine</v>
      </c>
      <c r="E185" t="str">
        <f t="shared" si="64"/>
        <v>Leaching/runoff - Commercial swine</v>
      </c>
      <c r="F185" t="str">
        <f t="shared" si="47"/>
        <v>N2O</v>
      </c>
      <c r="G185" t="str">
        <f t="shared" si="48"/>
        <v>Gg N2O</v>
      </c>
      <c r="H185" s="23">
        <f>Constants!$H39*'Activity data'!H17*Constants!$H57*FracLEACHMM*MMLeachEF*NtoN2O*kgtoGg</f>
        <v>2.473216868571429E-2</v>
      </c>
      <c r="I185" s="23">
        <f>Constants!$H39*'Activity data'!I17*Constants!$H57*FracLEACHMM*MMLeachEF*NtoN2O*kgtoGg</f>
        <v>2.7020381142857142E-2</v>
      </c>
      <c r="J185" s="23">
        <f>Constants!$H39*'Activity data'!J17*Constants!$H57*FracLEACHMM*MMLeachEF*NtoN2O*kgtoGg</f>
        <v>2.6841868114285718E-2</v>
      </c>
      <c r="K185" s="23">
        <f>Constants!$H39*'Activity data'!K17*Constants!$H57*FracLEACHMM*MMLeachEF*NtoN2O*kgtoGg</f>
        <v>2.6825639657142863E-2</v>
      </c>
      <c r="L185" s="23">
        <f>Constants!$H39*'Activity data'!L17*Constants!$H57*FracLEACHMM*MMLeachEF*NtoN2O*kgtoGg</f>
        <v>2.5478677714285716E-2</v>
      </c>
      <c r="M185" s="23">
        <f>Constants!$H39*'Activity data'!M17*Constants!$H57*FracLEACHMM*MMLeachEF*NtoN2O*kgtoGg</f>
        <v>2.572210457142857E-2</v>
      </c>
      <c r="N185" s="23">
        <f>Constants!$H39*'Activity data'!N17*Constants!$H57*FracLEACHMM*MMLeachEF*NtoN2O*kgtoGg</f>
        <v>2.7701976342857142E-2</v>
      </c>
      <c r="O185" s="23">
        <f>Constants!$H39*'Activity data'!O17*Constants!$H57*FracLEACHMM*MMLeachEF*NtoN2O*kgtoGg</f>
        <v>2.7572148685714289E-2</v>
      </c>
      <c r="P185" s="23">
        <f>Constants!$H39*'Activity data'!P17*Constants!$H57*FracLEACHMM*MMLeachEF*NtoN2O*kgtoGg</f>
        <v>2.8172601599999996E-2</v>
      </c>
      <c r="Q185" s="23">
        <f>Constants!$H39*'Activity data'!Q17*Constants!$H57*FracLEACHMM*MMLeachEF*NtoN2O*kgtoGg</f>
        <v>2.8886653714285716E-2</v>
      </c>
      <c r="R185" s="23">
        <f>Constants!$H39*'Activity data'!R17*Constants!$H57*FracLEACHMM*MMLeachEF*NtoN2O*kgtoGg</f>
        <v>2.6728268914285716E-2</v>
      </c>
      <c r="S185" s="23">
        <f>Constants!$H39*'Activity data'!S17*Constants!$H57*FracLEACHMM*MMLeachEF*NtoN2O*kgtoGg</f>
        <v>2.7231351085714284E-2</v>
      </c>
      <c r="T185" s="23">
        <f>Constants!$H39*'Activity data'!T17*Constants!$H57*FracLEACHMM*MMLeachEF*NtoN2O*kgtoGg</f>
        <v>2.775066171428571E-2</v>
      </c>
      <c r="U185" s="23">
        <f>Constants!$H39*'Activity data'!U17*Constants!$H57*FracLEACHMM*MMLeachEF*NtoN2O*kgtoGg</f>
        <v>2.6987924228571426E-2</v>
      </c>
      <c r="V185" s="23">
        <f>Constants!$H39*'Activity data'!V17*Constants!$H57*FracLEACHMM*MMLeachEF*NtoN2O*kgtoGg</f>
        <v>2.6987924228571426E-2</v>
      </c>
      <c r="W185" s="23">
        <f>Constants!$H39*'Activity data'!W17*Constants!$H57*FracLEACHMM*MMLeachEF*NtoN2O*kgtoGg</f>
        <v>2.6793182742857146E-2</v>
      </c>
      <c r="X185" s="23">
        <f>Constants!$H39*'Activity data'!X17*Constants!$H57*FracLEACHMM*MMLeachEF*NtoN2O*kgtoGg</f>
        <v>2.6322557485714288E-2</v>
      </c>
      <c r="Y185" s="23">
        <f>Constants!$H39*'Activity data'!Y17*Constants!$H57*FracLEACHMM*MMLeachEF*NtoN2O*kgtoGg</f>
        <v>2.6793182742857146E-2</v>
      </c>
      <c r="Z185" s="23">
        <f>Constants!$H39*'Activity data'!Z17*Constants!$H57*FracLEACHMM*MMLeachEF*NtoN2O*kgtoGg</f>
        <v>2.6208958285714283E-2</v>
      </c>
      <c r="AA185" s="23">
        <f>Constants!$H39*'Activity data'!AA17*Constants!$H57*FracLEACHMM*MMLeachEF*NtoN2O*kgtoGg</f>
        <v>2.617650137142857E-2</v>
      </c>
      <c r="AB185" s="23">
        <f>Constants!$H39*'Activity data'!AB17*Constants!$H57*FracLEACHMM*MMLeachEF*NtoN2O*kgtoGg</f>
        <v>2.5868160685714285E-2</v>
      </c>
      <c r="AC185" s="23">
        <f>Constants!$H39*'Activity data'!AC17*Constants!$H57*FracLEACHMM*MMLeachEF*NtoN2O*kgtoGg</f>
        <v>2.5705876114285712E-2</v>
      </c>
      <c r="AD185" s="23">
        <f>Constants!$H39*'Activity data'!AD17*Constants!$H57*FracLEACHMM*MMLeachEF*NtoN2O*kgtoGg</f>
        <v>2.562473382857143E-2</v>
      </c>
      <c r="AE185" s="23">
        <f>Constants!$H39*'Activity data'!AE17*Constants!$H57*FracLEACHMM*MMLeachEF*NtoN2O*kgtoGg</f>
        <v>2.5543591542857149E-2</v>
      </c>
      <c r="AF185" s="23">
        <f>Constants!$H39*'Activity data'!AF17*Constants!$H57*FracLEACHMM*MMLeachEF*NtoN2O*kgtoGg</f>
        <v>2.5348850057142856E-2</v>
      </c>
      <c r="AG185" s="23">
        <f>Constants!$H39*'Activity data'!AG17*Constants!$H57*FracLEACHMM*MMLeachEF*NtoN2O*kgtoGg</f>
        <v>2.4715940228571428E-2</v>
      </c>
      <c r="AH185" s="23">
        <f>Constants!$H39*'Activity data'!AH17*Constants!$H57*FracLEACHMM*MMLeachEF*NtoN2O*kgtoGg</f>
        <v>2.4537427199999996E-2</v>
      </c>
      <c r="AI185" s="23">
        <f>Constants!$H39*'Activity data'!AI17*Constants!$H57*FracLEACHMM*MMLeachEF*NtoN2O*kgtoGg</f>
        <v>2.4034345028571429E-2</v>
      </c>
      <c r="AJ185" s="23">
        <f>Constants!$H39*'Activity data'!AJ17*Constants!$H57*FracLEACHMM*MMLeachEF*NtoN2O*kgtoGg</f>
        <v>2.5018225081046126E-2</v>
      </c>
      <c r="AK185" s="23">
        <f>Constants!$H39*'Activity data'!AK17*Constants!$H57*FracLEACHMM*MMLeachEF*NtoN2O*kgtoGg</f>
        <v>2.4981454293717818E-2</v>
      </c>
      <c r="AL185" s="23">
        <f>Constants!$H39*'Activity data'!AL17*Constants!$H57*FracLEACHMM*MMLeachEF*NtoN2O*kgtoGg</f>
        <v>2.5080329072029096E-2</v>
      </c>
      <c r="AM185" s="23">
        <f>Constants!$H39*'Activity data'!AM17*Constants!$H57*FracLEACHMM*MMLeachEF*NtoN2O*kgtoGg</f>
        <v>2.5023029134813045E-2</v>
      </c>
      <c r="AN185" s="23">
        <f>Constants!$H39*'Activity data'!AN17*Constants!$H57*FracLEACHMM*MMLeachEF*NtoN2O*kgtoGg</f>
        <v>2.4967108068754892E-2</v>
      </c>
      <c r="AO185" s="23">
        <f>Constants!$H39*'Activity data'!AO17*Constants!$H57*FracLEACHMM*MMLeachEF*NtoN2O*kgtoGg</f>
        <v>2.4910877483944535E-2</v>
      </c>
      <c r="AP185" s="23">
        <f>Constants!$H39*'Activity data'!AP17*Constants!$H57*FracLEACHMM*MMLeachEF*NtoN2O*kgtoGg</f>
        <v>2.4855833914614409E-2</v>
      </c>
      <c r="AQ185" s="23">
        <f>Constants!$H39*'Activity data'!AQ17*Constants!$H57*FracLEACHMM*MMLeachEF*NtoN2O*kgtoGg</f>
        <v>2.4799413529153859E-2</v>
      </c>
      <c r="AR185" s="23">
        <f>Constants!$H39*'Activity data'!AR17*Constants!$H57*FracLEACHMM*MMLeachEF*NtoN2O*kgtoGg</f>
        <v>2.4734794378717891E-2</v>
      </c>
      <c r="AS185" s="23">
        <f>Constants!$H39*'Activity data'!AS17*Constants!$H57*FracLEACHMM*MMLeachEF*NtoN2O*kgtoGg</f>
        <v>2.4670540285468719E-2</v>
      </c>
      <c r="AT185" s="23">
        <f>Constants!$H39*'Activity data'!AT17*Constants!$H57*FracLEACHMM*MMLeachEF*NtoN2O*kgtoGg</f>
        <v>2.4604422545772851E-2</v>
      </c>
      <c r="AU185" s="23">
        <f>Constants!$H39*'Activity data'!AU17*Constants!$H57*FracLEACHMM*MMLeachEF*NtoN2O*kgtoGg</f>
        <v>2.4536920982197109E-2</v>
      </c>
      <c r="AV185" s="23">
        <f>Constants!$H39*'Activity data'!AV17*Constants!$H57*FracLEACHMM*MMLeachEF*NtoN2O*kgtoGg</f>
        <v>2.4467909289591843E-2</v>
      </c>
      <c r="AW185" s="23">
        <f>Constants!$H39*'Activity data'!AW17*Constants!$H57*FracLEACHMM*MMLeachEF*NtoN2O*kgtoGg</f>
        <v>2.4390868618469213E-2</v>
      </c>
      <c r="AX185" s="23">
        <f>Constants!$H39*'Activity data'!AX17*Constants!$H57*FracLEACHMM*MMLeachEF*NtoN2O*kgtoGg</f>
        <v>2.4316310631718845E-2</v>
      </c>
      <c r="AY185" s="23">
        <f>Constants!$H39*'Activity data'!AY17*Constants!$H57*FracLEACHMM*MMLeachEF*NtoN2O*kgtoGg</f>
        <v>2.4236152958167237E-2</v>
      </c>
      <c r="AZ185" s="23">
        <f>Constants!$H39*'Activity data'!AZ17*Constants!$H57*FracLEACHMM*MMLeachEF*NtoN2O*kgtoGg</f>
        <v>2.4152080615792861E-2</v>
      </c>
      <c r="BA185" s="23">
        <f>Constants!$H39*'Activity data'!BA17*Constants!$H57*FracLEACHMM*MMLeachEF*NtoN2O*kgtoGg</f>
        <v>2.4063881725573517E-2</v>
      </c>
      <c r="BB185" s="23">
        <f>Constants!$H39*'Activity data'!BB17*Constants!$H57*FracLEACHMM*MMLeachEF*NtoN2O*kgtoGg</f>
        <v>2.3972847652011287E-2</v>
      </c>
      <c r="BC185" s="23">
        <f>Constants!$H39*'Activity data'!BC17*Constants!$H57*FracLEACHMM*MMLeachEF*NtoN2O*kgtoGg</f>
        <v>2.3878975216667268E-2</v>
      </c>
      <c r="BD185" s="23">
        <f>Constants!$H39*'Activity data'!BD17*Constants!$H57*FracLEACHMM*MMLeachEF*NtoN2O*kgtoGg</f>
        <v>2.3784048341882233E-2</v>
      </c>
      <c r="BE185" s="23">
        <f>Constants!$H39*'Activity data'!BE17*Constants!$H57*FracLEACHMM*MMLeachEF*NtoN2O*kgtoGg</f>
        <v>2.3686256336844194E-2</v>
      </c>
      <c r="BF185" s="23">
        <f>Constants!$H39*'Activity data'!BF17*Constants!$H57*FracLEACHMM*MMLeachEF*NtoN2O*kgtoGg</f>
        <v>2.358399591169965E-2</v>
      </c>
      <c r="BG185" s="23">
        <f>Constants!$H39*'Activity data'!BG17*Constants!$H57*FracLEACHMM*MMLeachEF*NtoN2O*kgtoGg</f>
        <v>2.3475026161724193E-2</v>
      </c>
      <c r="BH185" s="23">
        <f>Constants!$H39*'Activity data'!BH17*Constants!$H57*FracLEACHMM*MMLeachEF*NtoN2O*kgtoGg</f>
        <v>2.3362626149784845E-2</v>
      </c>
      <c r="BI185" s="23">
        <f>Constants!$H39*'Activity data'!BI17*Constants!$H57*FracLEACHMM*MMLeachEF*NtoN2O*kgtoGg</f>
        <v>2.3246991418806668E-2</v>
      </c>
      <c r="BJ185" s="23">
        <f>Constants!$H39*'Activity data'!BJ17*Constants!$H57*FracLEACHMM*MMLeachEF*NtoN2O*kgtoGg</f>
        <v>2.3127639301221321E-2</v>
      </c>
      <c r="BK185" s="23">
        <f>Constants!$H39*'Activity data'!BK17*Constants!$H57*FracLEACHMM*MMLeachEF*NtoN2O*kgtoGg</f>
        <v>2.3002656144913768E-2</v>
      </c>
      <c r="BL185" s="23">
        <f>Constants!$H39*'Activity data'!BL17*Constants!$H57*FracLEACHMM*MMLeachEF*NtoN2O*kgtoGg</f>
        <v>2.2873897911754364E-2</v>
      </c>
      <c r="BM185" s="23">
        <f>Constants!$H39*'Activity data'!BM17*Constants!$H57*FracLEACHMM*MMLeachEF*NtoN2O*kgtoGg</f>
        <v>2.274028443908771E-2</v>
      </c>
      <c r="BN185" s="23">
        <f>Constants!$H39*'Activity data'!BN17*Constants!$H57*FracLEACHMM*MMLeachEF*NtoN2O*kgtoGg</f>
        <v>2.2605453441265751E-2</v>
      </c>
      <c r="BO185" s="23">
        <f>Constants!$H39*'Activity data'!BO17*Constants!$H57*FracLEACHMM*MMLeachEF*NtoN2O*kgtoGg</f>
        <v>2.2465327165014894E-2</v>
      </c>
      <c r="BP185" s="23">
        <f>Constants!$H39*'Activity data'!BP17*Constants!$H57*FracLEACHMM*MMLeachEF*NtoN2O*kgtoGg</f>
        <v>2.2319463726315748E-2</v>
      </c>
    </row>
    <row r="186" spans="1:68" x14ac:dyDescent="0.25">
      <c r="A186" t="str">
        <f t="shared" si="58"/>
        <v>3C Aggregated and non-CO2 emissions on land</v>
      </c>
      <c r="B186" t="str">
        <f>B185</f>
        <v>3C6 Indirect N2O from manure management (N2O)</v>
      </c>
      <c r="C186" t="str">
        <f t="shared" si="67"/>
        <v>Leaching/runoff</v>
      </c>
      <c r="D186" t="str">
        <f>D170</f>
        <v xml:space="preserve"> - Subsistence swine</v>
      </c>
      <c r="E186" t="str">
        <f t="shared" si="64"/>
        <v>Leaching/runoff - Subsistence swine</v>
      </c>
      <c r="F186" t="str">
        <f t="shared" si="47"/>
        <v>N2O</v>
      </c>
      <c r="G186" t="str">
        <f t="shared" si="48"/>
        <v>Gg N2O</v>
      </c>
      <c r="H186" s="23">
        <f>Constants!$H40*'Activity data'!H18*Constants!$H58*FracLEACHMM*MMLeachEF*NtoN2O*kgtoGg</f>
        <v>3.5396781390192064E-3</v>
      </c>
      <c r="I186" s="23">
        <f>Constants!$H40*'Activity data'!I18*Constants!$H58*FracLEACHMM*MMLeachEF*NtoN2O*kgtoGg</f>
        <v>3.867168045582008E-3</v>
      </c>
      <c r="J186" s="23">
        <f>Constants!$H40*'Activity data'!J18*Constants!$H58*FracLEACHMM*MMLeachEF*NtoN2O*kgtoGg</f>
        <v>3.8416191876232074E-3</v>
      </c>
      <c r="K186" s="23">
        <f>Constants!$H40*'Activity data'!K18*Constants!$H58*FracLEACHMM*MMLeachEF*NtoN2O*kgtoGg</f>
        <v>3.8392965641724079E-3</v>
      </c>
      <c r="L186" s="23">
        <f>Constants!$H40*'Activity data'!L18*Constants!$H58*FracLEACHMM*MMLeachEF*NtoN2O*kgtoGg</f>
        <v>3.6465188177560062E-3</v>
      </c>
      <c r="M186" s="23">
        <f>Constants!$H40*'Activity data'!M18*Constants!$H58*FracLEACHMM*MMLeachEF*NtoN2O*kgtoGg</f>
        <v>3.6813581695180077E-3</v>
      </c>
      <c r="N186" s="23">
        <f>Constants!$H40*'Activity data'!N18*Constants!$H58*FracLEACHMM*MMLeachEF*NtoN2O*kgtoGg</f>
        <v>3.9647182305156074E-3</v>
      </c>
      <c r="O186" s="23">
        <f>Constants!$H40*'Activity data'!O18*Constants!$H58*FracLEACHMM*MMLeachEF*NtoN2O*kgtoGg</f>
        <v>3.9461372429092081E-3</v>
      </c>
      <c r="P186" s="23">
        <f>Constants!$H40*'Activity data'!P18*Constants!$H58*FracLEACHMM*MMLeachEF*NtoN2O*kgtoGg</f>
        <v>4.0320743105888082E-3</v>
      </c>
      <c r="Q186" s="23">
        <f>Constants!$H40*'Activity data'!Q18*Constants!$H58*FracLEACHMM*MMLeachEF*NtoN2O*kgtoGg</f>
        <v>4.1342697424240071E-3</v>
      </c>
      <c r="R186" s="23">
        <f>Constants!$H40*'Activity data'!R18*Constants!$H58*FracLEACHMM*MMLeachEF*NtoN2O*kgtoGg</f>
        <v>3.8253608234676073E-3</v>
      </c>
      <c r="S186" s="23">
        <f>Constants!$H40*'Activity data'!S18*Constants!$H58*FracLEACHMM*MMLeachEF*NtoN2O*kgtoGg</f>
        <v>3.8973621504424074E-3</v>
      </c>
      <c r="T186" s="23">
        <f>Constants!$H40*'Activity data'!T18*Constants!$H58*FracLEACHMM*MMLeachEF*NtoN2O*kgtoGg</f>
        <v>3.9716861008680087E-3</v>
      </c>
      <c r="U186" s="23">
        <f>Constants!$H40*'Activity data'!U18*Constants!$H58*FracLEACHMM*MMLeachEF*NtoN2O*kgtoGg</f>
        <v>3.8625227986804071E-3</v>
      </c>
      <c r="V186" s="23">
        <f>Constants!$H40*'Activity data'!V18*Constants!$H58*FracLEACHMM*MMLeachEF*NtoN2O*kgtoGg</f>
        <v>3.8625227986804071E-3</v>
      </c>
      <c r="W186" s="23">
        <f>Constants!$H40*'Activity data'!W18*Constants!$H58*FracLEACHMM*MMLeachEF*NtoN2O*kgtoGg</f>
        <v>3.8346513172708078E-3</v>
      </c>
      <c r="X186" s="23">
        <f>Constants!$H40*'Activity data'!X18*Constants!$H58*FracLEACHMM*MMLeachEF*NtoN2O*kgtoGg</f>
        <v>3.7672952371976065E-3</v>
      </c>
      <c r="Y186" s="23">
        <f>Constants!$H40*'Activity data'!Y18*Constants!$H58*FracLEACHMM*MMLeachEF*NtoN2O*kgtoGg</f>
        <v>3.8346513172708078E-3</v>
      </c>
      <c r="Z186" s="23">
        <f>Constants!$H40*'Activity data'!Z18*Constants!$H58*FracLEACHMM*MMLeachEF*NtoN2O*kgtoGg</f>
        <v>3.7510368730420082E-3</v>
      </c>
      <c r="AA186" s="23">
        <f>Constants!$H40*'Activity data'!AA18*Constants!$H58*FracLEACHMM*MMLeachEF*NtoN2O*kgtoGg</f>
        <v>3.7463916261404073E-3</v>
      </c>
      <c r="AB186" s="23">
        <f>Constants!$H40*'Activity data'!AB18*Constants!$H58*FracLEACHMM*MMLeachEF*NtoN2O*kgtoGg</f>
        <v>3.7022617805752074E-3</v>
      </c>
      <c r="AC186" s="23">
        <f>Constants!$H40*'Activity data'!AC18*Constants!$H58*FracLEACHMM*MMLeachEF*NtoN2O*kgtoGg</f>
        <v>3.6790355460672068E-3</v>
      </c>
      <c r="AD186" s="23">
        <f>Constants!$H40*'Activity data'!AD18*Constants!$H58*FracLEACHMM*MMLeachEF*NtoN2O*kgtoGg</f>
        <v>3.6674224288132076E-3</v>
      </c>
      <c r="AE186" s="23">
        <f>Constants!$H40*'Activity data'!AE18*Constants!$H58*FracLEACHMM*MMLeachEF*NtoN2O*kgtoGg</f>
        <v>3.6558093115592071E-3</v>
      </c>
      <c r="AF186" s="23">
        <f>Constants!$H40*'Activity data'!AF18*Constants!$H58*FracLEACHMM*MMLeachEF*NtoN2O*kgtoGg</f>
        <v>3.627937830149607E-3</v>
      </c>
      <c r="AG186" s="23">
        <f>Constants!$H40*'Activity data'!AG18*Constants!$H58*FracLEACHMM*MMLeachEF*NtoN2O*kgtoGg</f>
        <v>3.5373555155684068E-3</v>
      </c>
      <c r="AH186" s="23">
        <f>Constants!$H40*'Activity data'!AH18*Constants!$H58*FracLEACHMM*MMLeachEF*NtoN2O*kgtoGg</f>
        <v>3.5118066576096071E-3</v>
      </c>
      <c r="AI186" s="23">
        <f>Constants!$H40*'Activity data'!AI18*Constants!$H58*FracLEACHMM*MMLeachEF*NtoN2O*kgtoGg</f>
        <v>3.4398053306348071E-3</v>
      </c>
      <c r="AJ186" s="23">
        <f>Constants!$H40*'Activity data'!AJ18*Constants!$H58*FracLEACHMM*MMLeachEF*NtoN2O*kgtoGg</f>
        <v>3.5920258240572929E-3</v>
      </c>
      <c r="AK186" s="23">
        <f>Constants!$H40*'Activity data'!AK18*Constants!$H58*FracLEACHMM*MMLeachEF*NtoN2O*kgtoGg</f>
        <v>3.5867464080625009E-3</v>
      </c>
      <c r="AL186" s="23">
        <f>Constants!$H40*'Activity data'!AL18*Constants!$H58*FracLEACHMM*MMLeachEF*NtoN2O*kgtoGg</f>
        <v>3.6009424893548984E-3</v>
      </c>
      <c r="AM186" s="23">
        <f>Constants!$H40*'Activity data'!AM18*Constants!$H58*FracLEACHMM*MMLeachEF*NtoN2O*kgtoGg</f>
        <v>3.5927155726359814E-3</v>
      </c>
      <c r="AN186" s="23">
        <f>Constants!$H40*'Activity data'!AN18*Constants!$H58*FracLEACHMM*MMLeachEF*NtoN2O*kgtoGg</f>
        <v>3.5846866292261674E-3</v>
      </c>
      <c r="AO186" s="23">
        <f>Constants!$H40*'Activity data'!AO18*Constants!$H58*FracLEACHMM*MMLeachEF*NtoN2O*kgtoGg</f>
        <v>3.5766132462389127E-3</v>
      </c>
      <c r="AP186" s="23">
        <f>Constants!$H40*'Activity data'!AP18*Constants!$H58*FracLEACHMM*MMLeachEF*NtoN2O*kgtoGg</f>
        <v>3.568710290619895E-3</v>
      </c>
      <c r="AQ186" s="23">
        <f>Constants!$H40*'Activity data'!AQ18*Constants!$H58*FracLEACHMM*MMLeachEF*NtoN2O*kgtoGg</f>
        <v>3.5606096567451476E-3</v>
      </c>
      <c r="AR186" s="23">
        <f>Constants!$H40*'Activity data'!AR18*Constants!$H58*FracLEACHMM*MMLeachEF*NtoN2O*kgtoGg</f>
        <v>3.5513318739950638E-3</v>
      </c>
      <c r="AS186" s="23">
        <f>Constants!$H40*'Activity data'!AS18*Constants!$H58*FracLEACHMM*MMLeachEF*NtoN2O*kgtoGg</f>
        <v>3.5421065048289969E-3</v>
      </c>
      <c r="AT186" s="23">
        <f>Constants!$H40*'Activity data'!AT18*Constants!$H58*FracLEACHMM*MMLeachEF*NtoN2O*kgtoGg</f>
        <v>3.5326135600798592E-3</v>
      </c>
      <c r="AU186" s="23">
        <f>Constants!$H40*'Activity data'!AU18*Constants!$H58*FracLEACHMM*MMLeachEF*NtoN2O*kgtoGg</f>
        <v>3.5229219309277976E-3</v>
      </c>
      <c r="AV186" s="23">
        <f>Constants!$H40*'Activity data'!AV18*Constants!$H58*FracLEACHMM*MMLeachEF*NtoN2O*kgtoGg</f>
        <v>3.5130134829385027E-3</v>
      </c>
      <c r="AW186" s="23">
        <f>Constants!$H40*'Activity data'!AW18*Constants!$H58*FracLEACHMM*MMLeachEF*NtoN2O*kgtoGg</f>
        <v>3.5019522633963998E-3</v>
      </c>
      <c r="AX186" s="23">
        <f>Constants!$H40*'Activity data'!AX18*Constants!$H58*FracLEACHMM*MMLeachEF*NtoN2O*kgtoGg</f>
        <v>3.4912474986527197E-3</v>
      </c>
      <c r="AY186" s="23">
        <f>Constants!$H40*'Activity data'!AY18*Constants!$H58*FracLEACHMM*MMLeachEF*NtoN2O*kgtoGg</f>
        <v>3.4797387512311498E-3</v>
      </c>
      <c r="AZ186" s="23">
        <f>Constants!$H40*'Activity data'!AZ18*Constants!$H58*FracLEACHMM*MMLeachEF*NtoN2O*kgtoGg</f>
        <v>3.4676679498885509E-3</v>
      </c>
      <c r="BA186" s="23">
        <f>Constants!$H40*'Activity data'!BA18*Constants!$H58*FracLEACHMM*MMLeachEF*NtoN2O*kgtoGg</f>
        <v>3.4550046738050255E-3</v>
      </c>
      <c r="BB186" s="23">
        <f>Constants!$H40*'Activity data'!BB18*Constants!$H58*FracLEACHMM*MMLeachEF*NtoN2O*kgtoGg</f>
        <v>3.4419343324020931E-3</v>
      </c>
      <c r="BC186" s="23">
        <f>Constants!$H40*'Activity data'!BC18*Constants!$H58*FracLEACHMM*MMLeachEF*NtoN2O*kgtoGg</f>
        <v>3.4284564693310505E-3</v>
      </c>
      <c r="BD186" s="23">
        <f>Constants!$H40*'Activity data'!BD18*Constants!$H58*FracLEACHMM*MMLeachEF*NtoN2O*kgtoGg</f>
        <v>3.4148272136776099E-3</v>
      </c>
      <c r="BE186" s="23">
        <f>Constants!$H40*'Activity data'!BE18*Constants!$H58*FracLEACHMM*MMLeachEF*NtoN2O*kgtoGg</f>
        <v>3.4007865930362562E-3</v>
      </c>
      <c r="BF186" s="23">
        <f>Constants!$H40*'Activity data'!BF18*Constants!$H58*FracLEACHMM*MMLeachEF*NtoN2O*kgtoGg</f>
        <v>3.3861044128772567E-3</v>
      </c>
      <c r="BG186" s="23">
        <f>Constants!$H40*'Activity data'!BG18*Constants!$H58*FracLEACHMM*MMLeachEF*NtoN2O*kgtoGg</f>
        <v>3.3704589322452422E-3</v>
      </c>
      <c r="BH186" s="23">
        <f>Constants!$H40*'Activity data'!BH18*Constants!$H58*FracLEACHMM*MMLeachEF*NtoN2O*kgtoGg</f>
        <v>3.354320947068334E-3</v>
      </c>
      <c r="BI186" s="23">
        <f>Constants!$H40*'Activity data'!BI18*Constants!$H58*FracLEACHMM*MMLeachEF*NtoN2O*kgtoGg</f>
        <v>3.3377185326889771E-3</v>
      </c>
      <c r="BJ186" s="23">
        <f>Constants!$H40*'Activity data'!BJ18*Constants!$H58*FracLEACHMM*MMLeachEF*NtoN2O*kgtoGg</f>
        <v>3.3205823894520503E-3</v>
      </c>
      <c r="BK186" s="23">
        <f>Constants!$H40*'Activity data'!BK18*Constants!$H58*FracLEACHMM*MMLeachEF*NtoN2O*kgtoGg</f>
        <v>3.3026377621423767E-3</v>
      </c>
      <c r="BL186" s="23">
        <f>Constants!$H40*'Activity data'!BL18*Constants!$H58*FracLEACHMM*MMLeachEF*NtoN2O*kgtoGg</f>
        <v>3.2841511230194847E-3</v>
      </c>
      <c r="BM186" s="23">
        <f>Constants!$H40*'Activity data'!BM18*Constants!$H58*FracLEACHMM*MMLeachEF*NtoN2O*kgtoGg</f>
        <v>3.2649673862553525E-3</v>
      </c>
      <c r="BN186" s="23">
        <f>Constants!$H40*'Activity data'!BN18*Constants!$H58*FracLEACHMM*MMLeachEF*NtoN2O*kgtoGg</f>
        <v>3.2456088416547295E-3</v>
      </c>
      <c r="BO186" s="23">
        <f>Constants!$H40*'Activity data'!BO18*Constants!$H58*FracLEACHMM*MMLeachEF*NtoN2O*kgtoGg</f>
        <v>3.2254900202238913E-3</v>
      </c>
      <c r="BP186" s="23">
        <f>Constants!$H40*'Activity data'!BP18*Constants!$H58*FracLEACHMM*MMLeachEF*NtoN2O*kgtoGg</f>
        <v>3.2045474778614408E-3</v>
      </c>
    </row>
    <row r="187" spans="1:68" x14ac:dyDescent="0.25">
      <c r="A187" t="str">
        <f t="shared" si="58"/>
        <v>3C Aggregated and non-CO2 emissions on land</v>
      </c>
      <c r="B187" t="str">
        <f t="shared" ref="B187" si="68">B186</f>
        <v>3C6 Indirect N2O from manure management (N2O)</v>
      </c>
      <c r="C187" t="str">
        <f t="shared" si="67"/>
        <v>Leaching/runoff</v>
      </c>
      <c r="D187" t="str">
        <f t="shared" si="66"/>
        <v xml:space="preserve"> - Commercial layers</v>
      </c>
      <c r="E187" t="str">
        <f t="shared" si="64"/>
        <v>Leaching/runoff - Commercial layers</v>
      </c>
      <c r="F187" t="str">
        <f t="shared" si="47"/>
        <v>N2O</v>
      </c>
      <c r="G187" t="str">
        <f t="shared" si="48"/>
        <v>Gg N2O</v>
      </c>
      <c r="H187" s="23">
        <f>Constants!$H41*'Activity data'!H19*Constants!$H59*FracLEACHMM*MMLeachEF*NtoN2O*kgtoGg</f>
        <v>1.0355170129968004E-2</v>
      </c>
      <c r="I187" s="23">
        <f>Constants!$H41*'Activity data'!I19*Constants!$H59*FracLEACHMM*MMLeachEF*NtoN2O*kgtoGg</f>
        <v>1.0059892645860616E-2</v>
      </c>
      <c r="J187" s="23">
        <f>Constants!$H41*'Activity data'!J19*Constants!$H59*FracLEACHMM*MMLeachEF*NtoN2O*kgtoGg</f>
        <v>9.5411084013231947E-3</v>
      </c>
      <c r="K187" s="23">
        <f>Constants!$H41*'Activity data'!K19*Constants!$H59*FracLEACHMM*MMLeachEF*NtoN2O*kgtoGg</f>
        <v>9.3910912656011026E-3</v>
      </c>
      <c r="L187" s="23">
        <f>Constants!$H41*'Activity data'!L19*Constants!$H59*FracLEACHMM*MMLeachEF*NtoN2O*kgtoGg</f>
        <v>8.9826126081481942E-3</v>
      </c>
      <c r="M187" s="23">
        <f>Constants!$H41*'Activity data'!M19*Constants!$H59*FracLEACHMM*MMLeachEF*NtoN2O*kgtoGg</f>
        <v>9.8011483650425734E-3</v>
      </c>
      <c r="N187" s="23">
        <f>Constants!$H41*'Activity data'!N19*Constants!$H59*FracLEACHMM*MMLeachEF*NtoN2O*kgtoGg</f>
        <v>1.0353003890839162E-2</v>
      </c>
      <c r="O187" s="23">
        <f>Constants!$H41*'Activity data'!O19*Constants!$H59*FracLEACHMM*MMLeachEF*NtoN2O*kgtoGg</f>
        <v>1.038704838936534E-2</v>
      </c>
      <c r="P187" s="23">
        <f>Constants!$H41*'Activity data'!P19*Constants!$H59*FracLEACHMM*MMLeachEF*NtoN2O*kgtoGg</f>
        <v>1.1694940012383678E-2</v>
      </c>
      <c r="Q187" s="23">
        <f>Constants!$H41*'Activity data'!Q19*Constants!$H59*FracLEACHMM*MMLeachEF*NtoN2O*kgtoGg</f>
        <v>1.2538149270078789E-2</v>
      </c>
      <c r="R187" s="23">
        <f>Constants!$H41*'Activity data'!R19*Constants!$H59*FracLEACHMM*MMLeachEF*NtoN2O*kgtoGg</f>
        <v>1.2272486005224258E-2</v>
      </c>
      <c r="S187" s="23">
        <f>Constants!$H41*'Activity data'!S19*Constants!$H59*FracLEACHMM*MMLeachEF*NtoN2O*kgtoGg</f>
        <v>1.2599872153312836E-2</v>
      </c>
      <c r="T187" s="23">
        <f>Constants!$H41*'Activity data'!T19*Constants!$H59*FracLEACHMM*MMLeachEF*NtoN2O*kgtoGg</f>
        <v>1.2500981239572611E-2</v>
      </c>
      <c r="U187" s="23">
        <f>Constants!$H41*'Activity data'!U19*Constants!$H59*FracLEACHMM*MMLeachEF*NtoN2O*kgtoGg</f>
        <v>1.2001910795150582E-2</v>
      </c>
      <c r="V187" s="23">
        <f>Constants!$H41*'Activity data'!V19*Constants!$H59*FracLEACHMM*MMLeachEF*NtoN2O*kgtoGg</f>
        <v>1.2437112522602165E-2</v>
      </c>
      <c r="W187" s="23">
        <f>Constants!$H41*'Activity data'!W19*Constants!$H59*FracLEACHMM*MMLeachEF*NtoN2O*kgtoGg</f>
        <v>1.3187076931938265E-2</v>
      </c>
      <c r="X187" s="23">
        <f>Constants!$H41*'Activity data'!X19*Constants!$H59*FracLEACHMM*MMLeachEF*NtoN2O*kgtoGg</f>
        <v>1.4553489205518322E-2</v>
      </c>
      <c r="Y187" s="23">
        <f>Constants!$H41*'Activity data'!Y19*Constants!$H59*FracLEACHMM*MMLeachEF*NtoN2O*kgtoGg</f>
        <v>1.6105943457620602E-2</v>
      </c>
      <c r="Z187" s="23">
        <f>Constants!$H41*'Activity data'!Z19*Constants!$H59*FracLEACHMM*MMLeachEF*NtoN2O*kgtoGg</f>
        <v>1.6318056760498027E-2</v>
      </c>
      <c r="AA187" s="23">
        <f>Constants!$H41*'Activity data'!AA19*Constants!$H59*FracLEACHMM*MMLeachEF*NtoN2O*kgtoGg</f>
        <v>1.5716468259281271E-2</v>
      </c>
      <c r="AB187" s="23">
        <f>Constants!$H41*'Activity data'!AB19*Constants!$H59*FracLEACHMM*MMLeachEF*NtoN2O*kgtoGg</f>
        <v>1.6328679002481555E-2</v>
      </c>
      <c r="AC187" s="23">
        <f>Constants!$H41*'Activity data'!AC19*Constants!$H59*FracLEACHMM*MMLeachEF*NtoN2O*kgtoGg</f>
        <v>1.7082367042983767E-2</v>
      </c>
      <c r="AD187" s="23">
        <f>Constants!$H41*'Activity data'!AD19*Constants!$H59*FracLEACHMM*MMLeachEF*NtoN2O*kgtoGg</f>
        <v>1.7704644070783409E-2</v>
      </c>
      <c r="AE187" s="23">
        <f>Constants!$H41*'Activity data'!AE19*Constants!$H59*FracLEACHMM*MMLeachEF*NtoN2O*kgtoGg</f>
        <v>1.7360057750006319E-2</v>
      </c>
      <c r="AF187" s="23">
        <f>Constants!$H41*'Activity data'!AF19*Constants!$H59*FracLEACHMM*MMLeachEF*NtoN2O*kgtoGg</f>
        <v>1.7212210602102825E-2</v>
      </c>
      <c r="AG187" s="23">
        <f>Constants!$H41*'Activity data'!AG19*Constants!$H59*FracLEACHMM*MMLeachEF*NtoN2O*kgtoGg</f>
        <v>1.7573320795282937E-2</v>
      </c>
      <c r="AH187" s="23">
        <f>Constants!$H41*'Activity data'!AH19*Constants!$H59*FracLEACHMM*MMLeachEF*NtoN2O*kgtoGg</f>
        <v>1.7537142857142855E-2</v>
      </c>
      <c r="AI187" s="23">
        <f>Constants!$H41*'Activity data'!AI19*Constants!$H59*FracLEACHMM*MMLeachEF*NtoN2O*kgtoGg</f>
        <v>1.6377428571428571E-2</v>
      </c>
      <c r="AJ187" s="23">
        <f>Constants!$H41*'Activity data'!AJ19*Constants!$H59*FracLEACHMM*MMLeachEF*NtoN2O*kgtoGg</f>
        <v>1.8154454196940895E-2</v>
      </c>
      <c r="AK187" s="23">
        <f>Constants!$H41*'Activity data'!AK19*Constants!$H59*FracLEACHMM*MMLeachEF*NtoN2O*kgtoGg</f>
        <v>1.8327690261951336E-2</v>
      </c>
      <c r="AL187" s="23">
        <f>Constants!$H41*'Activity data'!AL19*Constants!$H59*FracLEACHMM*MMLeachEF*NtoN2O*kgtoGg</f>
        <v>1.8245373298606721E-2</v>
      </c>
      <c r="AM187" s="23">
        <f>Constants!$H41*'Activity data'!AM19*Constants!$H59*FracLEACHMM*MMLeachEF*NtoN2O*kgtoGg</f>
        <v>1.8458700483045438E-2</v>
      </c>
      <c r="AN187" s="23">
        <f>Constants!$H41*'Activity data'!AN19*Constants!$H59*FracLEACHMM*MMLeachEF*NtoN2O*kgtoGg</f>
        <v>1.8669429904982379E-2</v>
      </c>
      <c r="AO187" s="23">
        <f>Constants!$H41*'Activity data'!AO19*Constants!$H59*FracLEACHMM*MMLeachEF*NtoN2O*kgtoGg</f>
        <v>1.8880742452907141E-2</v>
      </c>
      <c r="AP187" s="23">
        <f>Constants!$H41*'Activity data'!AP19*Constants!$H59*FracLEACHMM*MMLeachEF*NtoN2O*kgtoGg</f>
        <v>1.9089818691821383E-2</v>
      </c>
      <c r="AQ187" s="23">
        <f>Constants!$H41*'Activity data'!AQ19*Constants!$H59*FracLEACHMM*MMLeachEF*NtoN2O*kgtoGg</f>
        <v>1.9301488821614393E-2</v>
      </c>
      <c r="AR187" s="23">
        <f>Constants!$H41*'Activity data'!AR19*Constants!$H59*FracLEACHMM*MMLeachEF*NtoN2O*kgtoGg</f>
        <v>1.9537392775264426E-2</v>
      </c>
      <c r="AS187" s="23">
        <f>Constants!$H41*'Activity data'!AS19*Constants!$H59*FracLEACHMM*MMLeachEF*NtoN2O*kgtoGg</f>
        <v>1.9772608969833138E-2</v>
      </c>
      <c r="AT187" s="23">
        <f>Constants!$H41*'Activity data'!AT19*Constants!$H59*FracLEACHMM*MMLeachEF*NtoN2O*kgtoGg</f>
        <v>2.0011336230104527E-2</v>
      </c>
      <c r="AU187" s="23">
        <f>Constants!$H41*'Activity data'!AU19*Constants!$H59*FracLEACHMM*MMLeachEF*NtoN2O*kgtoGg</f>
        <v>2.0252670581743373E-2</v>
      </c>
      <c r="AV187" s="23">
        <f>Constants!$H41*'Activity data'!AV19*Constants!$H59*FracLEACHMM*MMLeachEF*NtoN2O*kgtoGg</f>
        <v>2.0496849980655839E-2</v>
      </c>
      <c r="AW187" s="23">
        <f>Constants!$H41*'Activity data'!AW19*Constants!$H59*FracLEACHMM*MMLeachEF*NtoN2O*kgtoGg</f>
        <v>2.0752279935040509E-2</v>
      </c>
      <c r="AX187" s="23">
        <f>Constants!$H41*'Activity data'!AX19*Constants!$H59*FracLEACHMM*MMLeachEF*NtoN2O*kgtoGg</f>
        <v>2.1003032569008335E-2</v>
      </c>
      <c r="AY187" s="23">
        <f>Constants!$H41*'Activity data'!AY19*Constants!$H59*FracLEACHMM*MMLeachEF*NtoN2O*kgtoGg</f>
        <v>2.1264334882038584E-2</v>
      </c>
      <c r="AZ187" s="23">
        <f>Constants!$H41*'Activity data'!AZ19*Constants!$H59*FracLEACHMM*MMLeachEF*NtoN2O*kgtoGg</f>
        <v>2.1533012336335765E-2</v>
      </c>
      <c r="BA187" s="23">
        <f>Constants!$H41*'Activity data'!BA19*Constants!$H59*FracLEACHMM*MMLeachEF*NtoN2O*kgtoGg</f>
        <v>2.1809464108897315E-2</v>
      </c>
      <c r="BB187" s="23">
        <f>Constants!$H41*'Activity data'!BB19*Constants!$H59*FracLEACHMM*MMLeachEF*NtoN2O*kgtoGg</f>
        <v>2.209559320555194E-2</v>
      </c>
      <c r="BC187" s="23">
        <f>Constants!$H41*'Activity data'!BC19*Constants!$H59*FracLEACHMM*MMLeachEF*NtoN2O*kgtoGg</f>
        <v>2.2387069708481748E-2</v>
      </c>
      <c r="BD187" s="23">
        <f>Constants!$H41*'Activity data'!BD19*Constants!$H59*FracLEACHMM*MMLeachEF*NtoN2O*kgtoGg</f>
        <v>2.2680532748363645E-2</v>
      </c>
      <c r="BE187" s="23">
        <f>Constants!$H41*'Activity data'!BE19*Constants!$H59*FracLEACHMM*MMLeachEF*NtoN2O*kgtoGg</f>
        <v>2.2979393627630657E-2</v>
      </c>
      <c r="BF187" s="23">
        <f>Constants!$H41*'Activity data'!BF19*Constants!$H59*FracLEACHMM*MMLeachEF*NtoN2O*kgtoGg</f>
        <v>2.3286672904394092E-2</v>
      </c>
      <c r="BG187" s="23">
        <f>Constants!$H41*'Activity data'!BG19*Constants!$H59*FracLEACHMM*MMLeachEF*NtoN2O*kgtoGg</f>
        <v>2.3622814802845601E-2</v>
      </c>
      <c r="BH187" s="23">
        <f>Constants!$H41*'Activity data'!BH19*Constants!$H59*FracLEACHMM*MMLeachEF*NtoN2O*kgtoGg</f>
        <v>2.3965419231531331E-2</v>
      </c>
      <c r="BI187" s="23">
        <f>Constants!$H41*'Activity data'!BI19*Constants!$H59*FracLEACHMM*MMLeachEF*NtoN2O*kgtoGg</f>
        <v>2.4314117796108585E-2</v>
      </c>
      <c r="BJ187" s="23">
        <f>Constants!$H41*'Activity data'!BJ19*Constants!$H59*FracLEACHMM*MMLeachEF*NtoN2O*kgtoGg</f>
        <v>2.4669819828882864E-2</v>
      </c>
      <c r="BK187" s="23">
        <f>Constants!$H41*'Activity data'!BK19*Constants!$H59*FracLEACHMM*MMLeachEF*NtoN2O*kgtoGg</f>
        <v>2.5036130605049993E-2</v>
      </c>
      <c r="BL187" s="23">
        <f>Constants!$H41*'Activity data'!BL19*Constants!$H59*FracLEACHMM*MMLeachEF*NtoN2O*kgtoGg</f>
        <v>2.5404935456196546E-2</v>
      </c>
      <c r="BM187" s="23">
        <f>Constants!$H41*'Activity data'!BM19*Constants!$H59*FracLEACHMM*MMLeachEF*NtoN2O*kgtoGg</f>
        <v>2.5782887463415737E-2</v>
      </c>
      <c r="BN187" s="23">
        <f>Constants!$H41*'Activity data'!BN19*Constants!$H59*FracLEACHMM*MMLeachEF*NtoN2O*kgtoGg</f>
        <v>2.6163133261094696E-2</v>
      </c>
      <c r="BO187" s="23">
        <f>Constants!$H41*'Activity data'!BO19*Constants!$H59*FracLEACHMM*MMLeachEF*NtoN2O*kgtoGg</f>
        <v>2.655335523579256E-2</v>
      </c>
      <c r="BP187" s="23">
        <f>Constants!$H41*'Activity data'!BP19*Constants!$H59*FracLEACHMM*MMLeachEF*NtoN2O*kgtoGg</f>
        <v>2.6954385888466083E-2</v>
      </c>
    </row>
    <row r="188" spans="1:68" x14ac:dyDescent="0.25">
      <c r="A188" t="str">
        <f t="shared" si="58"/>
        <v>3C Aggregated and non-CO2 emissions on land</v>
      </c>
      <c r="B188" t="str">
        <f>B187</f>
        <v>3C6 Indirect N2O from manure management (N2O)</v>
      </c>
      <c r="C188" t="str">
        <f t="shared" si="67"/>
        <v>Leaching/runoff</v>
      </c>
      <c r="D188" t="str">
        <f>D172</f>
        <v xml:space="preserve"> - Commercial broilers</v>
      </c>
      <c r="E188" t="str">
        <f t="shared" si="64"/>
        <v>Leaching/runoff - Commercial broilers</v>
      </c>
      <c r="F188" t="str">
        <f t="shared" si="47"/>
        <v>N2O</v>
      </c>
      <c r="G188" t="str">
        <f t="shared" si="48"/>
        <v>Gg N2O</v>
      </c>
      <c r="H188" s="23">
        <f>Constants!$H42*'Activity data'!H20*Constants!$H60*FracLEACHMM*MMLeachEF*NtoN2O*kgtoGg</f>
        <v>3.3251202703764936E-2</v>
      </c>
      <c r="I188" s="23">
        <f>Constants!$H42*'Activity data'!I20*Constants!$H60*FracLEACHMM*MMLeachEF*NtoN2O*kgtoGg</f>
        <v>3.1256130581881272E-2</v>
      </c>
      <c r="J188" s="23">
        <f>Constants!$H42*'Activity data'!J20*Constants!$H60*FracLEACHMM*MMLeachEF*NtoN2O*kgtoGg</f>
        <v>2.9539279304954081E-2</v>
      </c>
      <c r="K188" s="23">
        <f>Constants!$H42*'Activity data'!K20*Constants!$H60*FracLEACHMM*MMLeachEF*NtoN2O*kgtoGg</f>
        <v>3.3221188579374041E-2</v>
      </c>
      <c r="L188" s="23">
        <f>Constants!$H42*'Activity data'!L20*Constants!$H60*FracLEACHMM*MMLeachEF*NtoN2O*kgtoGg</f>
        <v>3.2909615722030355E-2</v>
      </c>
      <c r="M188" s="23">
        <f>Constants!$H42*'Activity data'!M20*Constants!$H60*FracLEACHMM*MMLeachEF*NtoN2O*kgtoGg</f>
        <v>3.7669866131891196E-2</v>
      </c>
      <c r="N188" s="23">
        <f>Constants!$H42*'Activity data'!N20*Constants!$H60*FracLEACHMM*MMLeachEF*NtoN2O*kgtoGg</f>
        <v>4.380034464193687E-2</v>
      </c>
      <c r="O188" s="23">
        <f>Constants!$H42*'Activity data'!O20*Constants!$H60*FracLEACHMM*MMLeachEF*NtoN2O*kgtoGg</f>
        <v>4.458374413793717E-2</v>
      </c>
      <c r="P188" s="23">
        <f>Constants!$H42*'Activity data'!P20*Constants!$H60*FracLEACHMM*MMLeachEF*NtoN2O*kgtoGg</f>
        <v>4.8851875625500675E-2</v>
      </c>
      <c r="Q188" s="23">
        <f>Constants!$H42*'Activity data'!Q20*Constants!$H60*FracLEACHMM*MMLeachEF*NtoN2O*kgtoGg</f>
        <v>5.1000810169688715E-2</v>
      </c>
      <c r="R188" s="23">
        <f>Constants!$H42*'Activity data'!R20*Constants!$H60*FracLEACHMM*MMLeachEF*NtoN2O*kgtoGg</f>
        <v>5.4873113549001651E-2</v>
      </c>
      <c r="S188" s="23">
        <f>Constants!$H42*'Activity data'!S20*Constants!$H60*FracLEACHMM*MMLeachEF*NtoN2O*kgtoGg</f>
        <v>5.2985756974377428E-2</v>
      </c>
      <c r="T188" s="23">
        <f>Constants!$H42*'Activity data'!T20*Constants!$H60*FracLEACHMM*MMLeachEF*NtoN2O*kgtoGg</f>
        <v>5.8725405403651593E-2</v>
      </c>
      <c r="U188" s="23">
        <f>Constants!$H42*'Activity data'!U20*Constants!$H60*FracLEACHMM*MMLeachEF*NtoN2O*kgtoGg</f>
        <v>5.5856725851573273E-2</v>
      </c>
      <c r="V188" s="23">
        <f>Constants!$H42*'Activity data'!V20*Constants!$H60*FracLEACHMM*MMLeachEF*NtoN2O*kgtoGg</f>
        <v>5.7205155940384118E-2</v>
      </c>
      <c r="W188" s="23">
        <f>Constants!$H42*'Activity data'!W20*Constants!$H60*FracLEACHMM*MMLeachEF*NtoN2O*kgtoGg</f>
        <v>6.329605772520823E-2</v>
      </c>
      <c r="X188" s="23">
        <f>Constants!$H42*'Activity data'!X20*Constants!$H60*FracLEACHMM*MMLeachEF*NtoN2O*kgtoGg</f>
        <v>6.7701049603437022E-2</v>
      </c>
      <c r="Y188" s="23">
        <f>Constants!$H42*'Activity data'!Y20*Constants!$H60*FracLEACHMM*MMLeachEF*NtoN2O*kgtoGg</f>
        <v>7.0833855292733158E-2</v>
      </c>
      <c r="Z188" s="23">
        <f>Constants!$H42*'Activity data'!Z20*Constants!$H60*FracLEACHMM*MMLeachEF*NtoN2O*kgtoGg</f>
        <v>7.5418822438452923E-2</v>
      </c>
      <c r="AA188" s="23">
        <f>Constants!$H42*'Activity data'!AA20*Constants!$H60*FracLEACHMM*MMLeachEF*NtoN2O*kgtoGg</f>
        <v>7.1165915529208493E-2</v>
      </c>
      <c r="AB188" s="23">
        <f>Constants!$H42*'Activity data'!AB20*Constants!$H60*FracLEACHMM*MMLeachEF*NtoN2O*kgtoGg</f>
        <v>7.2955795050844749E-2</v>
      </c>
      <c r="AC188" s="23">
        <f>Constants!$H42*'Activity data'!AC20*Constants!$H60*FracLEACHMM*MMLeachEF*NtoN2O*kgtoGg</f>
        <v>7.5455418934244733E-2</v>
      </c>
      <c r="AD188" s="23">
        <f>Constants!$H42*'Activity data'!AD20*Constants!$H60*FracLEACHMM*MMLeachEF*NtoN2O*kgtoGg</f>
        <v>7.7136379802087207E-2</v>
      </c>
      <c r="AE188" s="23">
        <f>Constants!$H42*'Activity data'!AE20*Constants!$H60*FracLEACHMM*MMLeachEF*NtoN2O*kgtoGg</f>
        <v>7.5117392896261237E-2</v>
      </c>
      <c r="AF188" s="23">
        <f>Constants!$H42*'Activity data'!AF20*Constants!$H60*FracLEACHMM*MMLeachEF*NtoN2O*kgtoGg</f>
        <v>7.853382061781361E-2</v>
      </c>
      <c r="AG188" s="23">
        <f>Constants!$H42*'Activity data'!AG20*Constants!$H60*FracLEACHMM*MMLeachEF*NtoN2O*kgtoGg</f>
        <v>8.1702351554759189E-2</v>
      </c>
      <c r="AH188" s="23">
        <f>Constants!$H42*'Activity data'!AH20*Constants!$H60*FracLEACHMM*MMLeachEF*NtoN2O*kgtoGg</f>
        <v>7.5977454299999983E-2</v>
      </c>
      <c r="AI188" s="23">
        <f>Constants!$H42*'Activity data'!AI20*Constants!$H60*FracLEACHMM*MMLeachEF*NtoN2O*kgtoGg</f>
        <v>7.588023382499999E-2</v>
      </c>
      <c r="AJ188" s="23">
        <f>Constants!$H42*'Activity data'!AJ20*Constants!$H60*FracLEACHMM*MMLeachEF*NtoN2O*kgtoGg</f>
        <v>8.4181200781159496E-2</v>
      </c>
      <c r="AK188" s="23">
        <f>Constants!$H42*'Activity data'!AK20*Constants!$H60*FracLEACHMM*MMLeachEF*NtoN2O*kgtoGg</f>
        <v>8.569818081174875E-2</v>
      </c>
      <c r="AL188" s="23">
        <f>Constants!$H42*'Activity data'!AL20*Constants!$H60*FracLEACHMM*MMLeachEF*NtoN2O*kgtoGg</f>
        <v>8.7215160842337949E-2</v>
      </c>
      <c r="AM188" s="23">
        <f>Constants!$H42*'Activity data'!AM20*Constants!$H60*FracLEACHMM*MMLeachEF*NtoN2O*kgtoGg</f>
        <v>8.875278378761986E-2</v>
      </c>
      <c r="AN188" s="23">
        <f>Constants!$H42*'Activity data'!AN20*Constants!$H60*FracLEACHMM*MMLeachEF*NtoN2O*kgtoGg</f>
        <v>9.029040670451971E-2</v>
      </c>
      <c r="AO188" s="23">
        <f>Constants!$H42*'Activity data'!AO20*Constants!$H60*FracLEACHMM*MMLeachEF*NtoN2O*kgtoGg</f>
        <v>9.1828029621419491E-2</v>
      </c>
      <c r="AP188" s="23">
        <f>Constants!$H42*'Activity data'!AP20*Constants!$H60*FracLEACHMM*MMLeachEF*NtoN2O*kgtoGg</f>
        <v>9.3365652538319299E-2</v>
      </c>
      <c r="AQ188" s="23">
        <f>Constants!$H42*'Activity data'!AQ20*Constants!$H60*FracLEACHMM*MMLeachEF*NtoN2O*kgtoGg</f>
        <v>9.4903275483601182E-2</v>
      </c>
      <c r="AR188" s="23">
        <f>Constants!$H42*'Activity data'!AR20*Constants!$H60*FracLEACHMM*MMLeachEF*NtoN2O*kgtoGg</f>
        <v>9.6569124970029438E-2</v>
      </c>
      <c r="AS188" s="23">
        <f>Constants!$H42*'Activity data'!AS20*Constants!$H60*FracLEACHMM*MMLeachEF*NtoN2O*kgtoGg</f>
        <v>9.8234974456457666E-2</v>
      </c>
      <c r="AT188" s="23">
        <f>Constants!$H42*'Activity data'!AT20*Constants!$H60*FracLEACHMM*MMLeachEF*NtoN2O*kgtoGg</f>
        <v>9.9900823942885852E-2</v>
      </c>
      <c r="AU188" s="23">
        <f>Constants!$H42*'Activity data'!AU20*Constants!$H60*FracLEACHMM*MMLeachEF*NtoN2O*kgtoGg</f>
        <v>0.10156667342931408</v>
      </c>
      <c r="AV188" s="23">
        <f>Constants!$H42*'Activity data'!AV20*Constants!$H60*FracLEACHMM*MMLeachEF*NtoN2O*kgtoGg</f>
        <v>0.10323252291574232</v>
      </c>
      <c r="AW188" s="23">
        <f>Constants!$H42*'Activity data'!AW20*Constants!$H60*FracLEACHMM*MMLeachEF*NtoN2O*kgtoGg</f>
        <v>0.10484181658542283</v>
      </c>
      <c r="AX188" s="23">
        <f>Constants!$H42*'Activity data'!AX20*Constants!$H60*FracLEACHMM*MMLeachEF*NtoN2O*kgtoGg</f>
        <v>0.10645111022672124</v>
      </c>
      <c r="AY188" s="23">
        <f>Constants!$H42*'Activity data'!AY20*Constants!$H60*FracLEACHMM*MMLeachEF*NtoN2O*kgtoGg</f>
        <v>0.10806040389640177</v>
      </c>
      <c r="AZ188" s="23">
        <f>Constants!$H42*'Activity data'!AZ20*Constants!$H60*FracLEACHMM*MMLeachEF*NtoN2O*kgtoGg</f>
        <v>0.10966969753770026</v>
      </c>
      <c r="BA188" s="23">
        <f>Constants!$H42*'Activity data'!BA20*Constants!$H60*FracLEACHMM*MMLeachEF*NtoN2O*kgtoGg</f>
        <v>0.11127899117899866</v>
      </c>
      <c r="BB188" s="23">
        <f>Constants!$H42*'Activity data'!BB20*Constants!$H60*FracLEACHMM*MMLeachEF*NtoN2O*kgtoGg</f>
        <v>0.11295155370965596</v>
      </c>
      <c r="BC188" s="23">
        <f>Constants!$H42*'Activity data'!BC20*Constants!$H60*FracLEACHMM*MMLeachEF*NtoN2O*kgtoGg</f>
        <v>0.1146241162403132</v>
      </c>
      <c r="BD188" s="23">
        <f>Constants!$H42*'Activity data'!BD20*Constants!$H60*FracLEACHMM*MMLeachEF*NtoN2O*kgtoGg</f>
        <v>0.11629667874258841</v>
      </c>
      <c r="BE188" s="23">
        <f>Constants!$H42*'Activity data'!BE20*Constants!$H60*FracLEACHMM*MMLeachEF*NtoN2O*kgtoGg</f>
        <v>0.11796924127324565</v>
      </c>
      <c r="BF188" s="23">
        <f>Constants!$H42*'Activity data'!BF20*Constants!$H60*FracLEACHMM*MMLeachEF*NtoN2O*kgtoGg</f>
        <v>0.11964180380390294</v>
      </c>
      <c r="BG188" s="23">
        <f>Constants!$H42*'Activity data'!BG20*Constants!$H60*FracLEACHMM*MMLeachEF*NtoN2O*kgtoGg</f>
        <v>0.1215510813514062</v>
      </c>
      <c r="BH188" s="23">
        <f>Constants!$H42*'Activity data'!BH20*Constants!$H60*FracLEACHMM*MMLeachEF*NtoN2O*kgtoGg</f>
        <v>0.12346035887052738</v>
      </c>
      <c r="BI188" s="23">
        <f>Constants!$H42*'Activity data'!BI20*Constants!$H60*FracLEACHMM*MMLeachEF*NtoN2O*kgtoGg</f>
        <v>0.12536963641803067</v>
      </c>
      <c r="BJ188" s="23">
        <f>Constants!$H42*'Activity data'!BJ20*Constants!$H60*FracLEACHMM*MMLeachEF*NtoN2O*kgtoGg</f>
        <v>0.12727891396553392</v>
      </c>
      <c r="BK188" s="23">
        <f>Constants!$H42*'Activity data'!BK20*Constants!$H60*FracLEACHMM*MMLeachEF*NtoN2O*kgtoGg</f>
        <v>0.12918819151303715</v>
      </c>
      <c r="BL188" s="23">
        <f>Constants!$H42*'Activity data'!BL20*Constants!$H60*FracLEACHMM*MMLeachEF*NtoN2O*kgtoGg</f>
        <v>0.1310300827253732</v>
      </c>
      <c r="BM188" s="23">
        <f>Constants!$H42*'Activity data'!BM20*Constants!$H60*FracLEACHMM*MMLeachEF*NtoN2O*kgtoGg</f>
        <v>0.13287197393770919</v>
      </c>
      <c r="BN188" s="23">
        <f>Constants!$H42*'Activity data'!BN20*Constants!$H60*FracLEACHMM*MMLeachEF*NtoN2O*kgtoGg</f>
        <v>0.13471386517842726</v>
      </c>
      <c r="BO188" s="23">
        <f>Constants!$H42*'Activity data'!BO20*Constants!$H60*FracLEACHMM*MMLeachEF*NtoN2O*kgtoGg</f>
        <v>0.1365557563907632</v>
      </c>
      <c r="BP188" s="23">
        <f>Constants!$H42*'Activity data'!BP20*Constants!$H60*FracLEACHMM*MMLeachEF*NtoN2O*kgtoGg</f>
        <v>0.13839764760309922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sheetPr>
  <dimension ref="A1:BT124"/>
  <sheetViews>
    <sheetView topLeftCell="A114" workbookViewId="0">
      <selection activeCell="F43" sqref="F43"/>
    </sheetView>
  </sheetViews>
  <sheetFormatPr defaultRowHeight="15" x14ac:dyDescent="0.25"/>
  <cols>
    <col min="1" max="1" width="16.85546875" customWidth="1"/>
    <col min="2" max="2" width="33.28515625" customWidth="1"/>
    <col min="3" max="3" width="27.5703125" customWidth="1"/>
    <col min="4" max="4" width="7.5703125" customWidth="1"/>
    <col min="5" max="5" width="26.140625" customWidth="1"/>
    <col min="6" max="33" width="9.7109375" customWidth="1"/>
    <col min="34" max="34" width="9.5703125" customWidth="1"/>
    <col min="49" max="50" width="9.42578125" customWidth="1"/>
    <col min="51" max="51" width="9.7109375" customWidth="1"/>
  </cols>
  <sheetData>
    <row r="1" spans="1:72" ht="18.75" x14ac:dyDescent="0.3">
      <c r="A1" s="1" t="s">
        <v>317</v>
      </c>
    </row>
    <row r="3" spans="1:72" s="19" customFormat="1" ht="15.75" x14ac:dyDescent="0.25">
      <c r="A3" s="17" t="s">
        <v>8</v>
      </c>
      <c r="B3" s="17" t="s">
        <v>318</v>
      </c>
      <c r="C3" s="17" t="s">
        <v>319</v>
      </c>
      <c r="D3" s="17" t="s">
        <v>9</v>
      </c>
      <c r="E3" s="17" t="s">
        <v>0</v>
      </c>
      <c r="F3" s="17">
        <v>1990</v>
      </c>
      <c r="G3" s="17">
        <v>1991</v>
      </c>
      <c r="H3" s="17">
        <v>1992</v>
      </c>
      <c r="I3" s="17">
        <v>1993</v>
      </c>
      <c r="J3" s="17">
        <v>1994</v>
      </c>
      <c r="K3" s="17">
        <v>1995</v>
      </c>
      <c r="L3" s="17">
        <v>1996</v>
      </c>
      <c r="M3" s="17">
        <v>1997</v>
      </c>
      <c r="N3" s="17">
        <v>1998</v>
      </c>
      <c r="O3" s="17">
        <v>1999</v>
      </c>
      <c r="P3" s="17">
        <v>2000</v>
      </c>
      <c r="Q3" s="17">
        <v>2001</v>
      </c>
      <c r="R3" s="17">
        <v>2002</v>
      </c>
      <c r="S3" s="17">
        <v>2003</v>
      </c>
      <c r="T3" s="17">
        <v>2004</v>
      </c>
      <c r="U3" s="17">
        <v>2005</v>
      </c>
      <c r="V3" s="17">
        <v>2006</v>
      </c>
      <c r="W3" s="17">
        <v>2007</v>
      </c>
      <c r="X3" s="17">
        <v>2008</v>
      </c>
      <c r="Y3" s="17">
        <v>2009</v>
      </c>
      <c r="Z3" s="17">
        <v>2010</v>
      </c>
      <c r="AA3" s="17">
        <v>2011</v>
      </c>
      <c r="AB3" s="17">
        <v>2012</v>
      </c>
      <c r="AC3" s="17">
        <v>2013</v>
      </c>
      <c r="AD3" s="17">
        <v>2014</v>
      </c>
      <c r="AE3" s="17">
        <v>2015</v>
      </c>
      <c r="AF3" s="17">
        <v>2016</v>
      </c>
      <c r="AG3" s="17">
        <v>2017</v>
      </c>
      <c r="AH3" s="17">
        <v>2018</v>
      </c>
      <c r="AI3" s="17">
        <v>2019</v>
      </c>
      <c r="AJ3" s="17">
        <v>2020</v>
      </c>
      <c r="AK3" s="17">
        <v>2021</v>
      </c>
      <c r="AL3" s="17">
        <v>2022</v>
      </c>
      <c r="AM3" s="17">
        <v>2023</v>
      </c>
      <c r="AN3" s="17">
        <v>2024</v>
      </c>
      <c r="AO3" s="17">
        <v>2025</v>
      </c>
      <c r="AP3" s="17">
        <v>2026</v>
      </c>
      <c r="AQ3" s="17">
        <v>2027</v>
      </c>
      <c r="AR3" s="17">
        <v>2028</v>
      </c>
      <c r="AS3" s="17">
        <v>2029</v>
      </c>
      <c r="AT3" s="17">
        <v>2030</v>
      </c>
      <c r="AU3" s="17">
        <v>2031</v>
      </c>
      <c r="AV3" s="17">
        <v>2032</v>
      </c>
      <c r="AW3" s="17">
        <v>2033</v>
      </c>
      <c r="AX3" s="17">
        <v>2034</v>
      </c>
      <c r="AY3" s="17">
        <v>2035</v>
      </c>
      <c r="AZ3" s="17">
        <v>2036</v>
      </c>
      <c r="BA3" s="17">
        <v>2037</v>
      </c>
      <c r="BB3" s="17">
        <v>2038</v>
      </c>
      <c r="BC3" s="17">
        <v>2039</v>
      </c>
      <c r="BD3" s="17">
        <v>2040</v>
      </c>
      <c r="BE3" s="17">
        <v>2041</v>
      </c>
      <c r="BF3" s="17">
        <v>2042</v>
      </c>
      <c r="BG3" s="17">
        <v>2043</v>
      </c>
      <c r="BH3" s="17">
        <v>2044</v>
      </c>
      <c r="BI3" s="17">
        <v>2045</v>
      </c>
      <c r="BJ3" s="17">
        <v>2046</v>
      </c>
      <c r="BK3" s="17">
        <v>2047</v>
      </c>
      <c r="BL3" s="17">
        <v>2048</v>
      </c>
      <c r="BM3" s="17">
        <v>2049</v>
      </c>
      <c r="BN3" s="17">
        <v>2050</v>
      </c>
      <c r="BO3" s="17"/>
      <c r="BP3" s="17"/>
      <c r="BQ3" s="17"/>
      <c r="BR3" s="17"/>
      <c r="BS3" s="17"/>
      <c r="BT3" s="17"/>
    </row>
    <row r="4" spans="1:72" s="19" customFormat="1" ht="15.75" x14ac:dyDescent="0.25">
      <c r="A4" s="19" t="str">
        <f>A10</f>
        <v>3A Livestock</v>
      </c>
      <c r="B4" s="19" t="str">
        <f>B10</f>
        <v>3A1 Enteric fermentation (CH4)</v>
      </c>
      <c r="C4" s="19" t="s">
        <v>152</v>
      </c>
      <c r="D4" s="19" t="str">
        <f>D10</f>
        <v>CH4</v>
      </c>
      <c r="E4" s="19" t="str">
        <f>E10</f>
        <v>Gg CH4</v>
      </c>
      <c r="F4" s="47">
        <f t="shared" ref="F4:AK4" si="0">SUM(F5:F10)</f>
        <v>1327.9929106930647</v>
      </c>
      <c r="G4" s="47">
        <f t="shared" si="0"/>
        <v>1335.8549640365982</v>
      </c>
      <c r="H4" s="47">
        <f t="shared" si="0"/>
        <v>1306.724639770646</v>
      </c>
      <c r="I4" s="47">
        <f t="shared" si="0"/>
        <v>1265.7647590620991</v>
      </c>
      <c r="J4" s="47">
        <f t="shared" si="0"/>
        <v>1227.3601806444815</v>
      </c>
      <c r="K4" s="47">
        <f t="shared" si="0"/>
        <v>1241.319329838064</v>
      </c>
      <c r="L4" s="47">
        <f t="shared" si="0"/>
        <v>1272.5159515510607</v>
      </c>
      <c r="M4" s="47">
        <f t="shared" si="0"/>
        <v>1292.809224948664</v>
      </c>
      <c r="N4" s="47">
        <f t="shared" si="0"/>
        <v>1310.4189716116523</v>
      </c>
      <c r="O4" s="47">
        <f t="shared" si="0"/>
        <v>1308.5746754684244</v>
      </c>
      <c r="P4" s="47">
        <f t="shared" si="0"/>
        <v>1312.1057051017465</v>
      </c>
      <c r="Q4" s="47">
        <f t="shared" si="0"/>
        <v>1302.6646412515495</v>
      </c>
      <c r="R4" s="47">
        <f t="shared" si="0"/>
        <v>1272.22575509339</v>
      </c>
      <c r="S4" s="47">
        <f t="shared" si="0"/>
        <v>1268.4512614282132</v>
      </c>
      <c r="T4" s="47">
        <f t="shared" si="0"/>
        <v>1255.9453630208041</v>
      </c>
      <c r="U4" s="47">
        <f t="shared" si="0"/>
        <v>1263.4958369144908</v>
      </c>
      <c r="V4" s="47">
        <f t="shared" si="0"/>
        <v>1257.6522863386949</v>
      </c>
      <c r="W4" s="47">
        <f t="shared" si="0"/>
        <v>1283.6151217227919</v>
      </c>
      <c r="X4" s="47">
        <f t="shared" si="0"/>
        <v>1305.1163993134912</v>
      </c>
      <c r="Y4" s="47">
        <f t="shared" si="0"/>
        <v>1299.5851784255913</v>
      </c>
      <c r="Z4" s="47">
        <f t="shared" si="0"/>
        <v>1289.3842901984572</v>
      </c>
      <c r="AA4" s="47">
        <f t="shared" si="0"/>
        <v>1281.9515248129248</v>
      </c>
      <c r="AB4" s="47">
        <f t="shared" si="0"/>
        <v>1308.0512620535292</v>
      </c>
      <c r="AC4" s="47">
        <f t="shared" si="0"/>
        <v>1300.226707028912</v>
      </c>
      <c r="AD4" s="47">
        <f t="shared" si="0"/>
        <v>1290.6444404487734</v>
      </c>
      <c r="AE4" s="47">
        <f t="shared" si="0"/>
        <v>1275.2084354249853</v>
      </c>
      <c r="AF4" s="47">
        <f t="shared" si="0"/>
        <v>1251.014010320288</v>
      </c>
      <c r="AG4" s="47">
        <f t="shared" si="0"/>
        <v>1225.6781318221633</v>
      </c>
      <c r="AH4" s="47">
        <f t="shared" si="0"/>
        <v>1284.7257329764077</v>
      </c>
      <c r="AI4" s="47">
        <f t="shared" si="0"/>
        <v>1325.9849529688966</v>
      </c>
      <c r="AJ4" s="47">
        <f t="shared" si="0"/>
        <v>1327.3941923217508</v>
      </c>
      <c r="AK4" s="47">
        <f t="shared" si="0"/>
        <v>1329.5545611310381</v>
      </c>
      <c r="AL4" s="47">
        <f t="shared" ref="AL4:BN4" si="1">SUM(AL5:AL10)</f>
        <v>1331.708290544271</v>
      </c>
      <c r="AM4" s="47">
        <f t="shared" si="1"/>
        <v>1333.8632182015033</v>
      </c>
      <c r="AN4" s="47">
        <f t="shared" si="1"/>
        <v>1336.0124367527428</v>
      </c>
      <c r="AO4" s="47">
        <f t="shared" si="1"/>
        <v>1338.1677930762107</v>
      </c>
      <c r="AP4" s="47">
        <f t="shared" si="1"/>
        <v>1340.518724551715</v>
      </c>
      <c r="AQ4" s="47">
        <f t="shared" si="1"/>
        <v>1342.8676821816694</v>
      </c>
      <c r="AR4" s="47">
        <f t="shared" si="1"/>
        <v>1345.2249121890638</v>
      </c>
      <c r="AS4" s="47">
        <f t="shared" si="1"/>
        <v>1347.5881883629743</v>
      </c>
      <c r="AT4" s="47">
        <f t="shared" si="1"/>
        <v>1349.9580721347359</v>
      </c>
      <c r="AU4" s="47">
        <f t="shared" si="1"/>
        <v>1352.2946239729406</v>
      </c>
      <c r="AV4" s="47">
        <f t="shared" si="1"/>
        <v>1354.6194337784523</v>
      </c>
      <c r="AW4" s="47">
        <f t="shared" si="1"/>
        <v>1356.9694198223226</v>
      </c>
      <c r="AX4" s="47">
        <f t="shared" si="1"/>
        <v>1359.3368232811713</v>
      </c>
      <c r="AY4" s="47">
        <f t="shared" si="1"/>
        <v>1361.7225562204274</v>
      </c>
      <c r="AZ4" s="47">
        <f t="shared" si="1"/>
        <v>1364.1987007209545</v>
      </c>
      <c r="BA4" s="47">
        <f t="shared" si="1"/>
        <v>1366.687232081475</v>
      </c>
      <c r="BB4" s="47">
        <f t="shared" si="1"/>
        <v>1369.1800293976321</v>
      </c>
      <c r="BC4" s="47">
        <f t="shared" si="1"/>
        <v>1371.6852906573936</v>
      </c>
      <c r="BD4" s="47">
        <f t="shared" si="1"/>
        <v>1374.2102386026106</v>
      </c>
      <c r="BE4" s="47">
        <f t="shared" si="1"/>
        <v>1377.0567765428436</v>
      </c>
      <c r="BF4" s="47">
        <f t="shared" si="1"/>
        <v>1379.9181726334853</v>
      </c>
      <c r="BG4" s="47">
        <f t="shared" si="1"/>
        <v>1382.7935067519934</v>
      </c>
      <c r="BH4" s="47">
        <f t="shared" si="1"/>
        <v>1385.6849175637442</v>
      </c>
      <c r="BI4" s="47">
        <f t="shared" si="1"/>
        <v>1388.6009693327362</v>
      </c>
      <c r="BJ4" s="47">
        <f t="shared" si="1"/>
        <v>1391.4501888279656</v>
      </c>
      <c r="BK4" s="47">
        <f t="shared" si="1"/>
        <v>1394.3204599067074</v>
      </c>
      <c r="BL4" s="47">
        <f t="shared" si="1"/>
        <v>1397.195427960211</v>
      </c>
      <c r="BM4" s="47">
        <f t="shared" si="1"/>
        <v>1400.0933515790066</v>
      </c>
      <c r="BN4" s="47">
        <f t="shared" si="1"/>
        <v>1403.0161522650139</v>
      </c>
    </row>
    <row r="5" spans="1:72" x14ac:dyDescent="0.25">
      <c r="A5" t="str">
        <f>'IPCC Categories'!A5</f>
        <v>3A Livestock</v>
      </c>
      <c r="B5" t="str">
        <f>'IPCC Categories'!B5</f>
        <v>3A1 Enteric fermentation (CH4)</v>
      </c>
      <c r="C5" t="str">
        <f>'IPCC Categories'!C5</f>
        <v>3A1a Cattle</v>
      </c>
      <c r="D5" t="s">
        <v>125</v>
      </c>
      <c r="E5" t="s">
        <v>290</v>
      </c>
      <c r="F5" s="29">
        <f>SUM(Emissions!H4:H9)</f>
        <v>1038.7066897332186</v>
      </c>
      <c r="G5" s="29">
        <f>SUM(Emissions!I4:I9)</f>
        <v>1062.622409264211</v>
      </c>
      <c r="H5" s="29">
        <f>SUM(Emissions!J4:J9)</f>
        <v>1045.6666328596029</v>
      </c>
      <c r="I5" s="29">
        <f>SUM(Emissions!K4:K9)</f>
        <v>1020.5770230380992</v>
      </c>
      <c r="J5" s="29">
        <f>SUM(Emissions!L4:L9)</f>
        <v>977.53553131488729</v>
      </c>
      <c r="K5" s="29">
        <f>SUM(Emissions!M4:M9)</f>
        <v>993.63998299830973</v>
      </c>
      <c r="L5" s="29">
        <f>SUM(Emissions!N4:N9)</f>
        <v>1023.2624804579716</v>
      </c>
      <c r="M5" s="29">
        <f>SUM(Emissions!O4:O9)</f>
        <v>1047.9642538762077</v>
      </c>
      <c r="N5" s="29">
        <f>SUM(Emissions!P4:P9)</f>
        <v>1065.5307450633529</v>
      </c>
      <c r="O5" s="29">
        <f>SUM(Emissions!Q4:Q9)</f>
        <v>1069.0376045529865</v>
      </c>
      <c r="P5" s="29">
        <f>SUM(Emissions!R4:R9)</f>
        <v>1079.3032063994983</v>
      </c>
      <c r="Q5" s="29">
        <f>SUM(Emissions!S4:S9)</f>
        <v>1073.0179536840035</v>
      </c>
      <c r="R5" s="29">
        <f>SUM(Emissions!T4:T9)</f>
        <v>1049.3533594521653</v>
      </c>
      <c r="S5" s="29">
        <f>SUM(Emissions!U4:U9)</f>
        <v>1046.0577020555033</v>
      </c>
      <c r="T5" s="29">
        <f>SUM(Emissions!V4:V9)</f>
        <v>1036.5801021259565</v>
      </c>
      <c r="U5" s="29">
        <f>SUM(Emissions!W4:W9)</f>
        <v>1045.0656634804072</v>
      </c>
      <c r="V5" s="29">
        <f>SUM(Emissions!X4:X9)</f>
        <v>1040.4875710587394</v>
      </c>
      <c r="W5" s="29">
        <f>SUM(Emissions!Y4:Y9)</f>
        <v>1067.5807354289416</v>
      </c>
      <c r="X5" s="29">
        <f>SUM(Emissions!Z4:Z9)</f>
        <v>1088.4738884710582</v>
      </c>
      <c r="Y5" s="29">
        <f>SUM(Emissions!AA4:AA9)</f>
        <v>1084.1850221873594</v>
      </c>
      <c r="Z5" s="29">
        <f>SUM(Emissions!AB4:AB9)</f>
        <v>1077.70630634291</v>
      </c>
      <c r="AA5" s="29">
        <f>SUM(Emissions!AC4:AC9)</f>
        <v>1071.8270693139966</v>
      </c>
      <c r="AB5" s="29">
        <f>SUM(Emissions!AD4:AD9)</f>
        <v>1097.1876464267345</v>
      </c>
      <c r="AC5" s="29">
        <f>SUM(Emissions!AE4:AE9)</f>
        <v>1088.4761427606379</v>
      </c>
      <c r="AD5" s="29">
        <f>SUM(Emissions!AF4:AF9)</f>
        <v>1082.1689083942499</v>
      </c>
      <c r="AE5" s="29">
        <f>SUM(Emissions!AG4:AG9)</f>
        <v>1068.5430653145784</v>
      </c>
      <c r="AF5" s="29">
        <f>SUM(Emissions!AH4:AH9)</f>
        <v>1049.974568872505</v>
      </c>
      <c r="AG5" s="29">
        <f>SUM(Emissions!AI4:AI9)</f>
        <v>1029.5045229599016</v>
      </c>
      <c r="AH5" s="29">
        <f>SUM(Emissions!AJ4:AJ9)</f>
        <v>1076.5510413301033</v>
      </c>
      <c r="AI5" s="29">
        <f>SUM(Emissions!AK4:AK9)</f>
        <v>1118.5913054338512</v>
      </c>
      <c r="AJ5" s="29">
        <f>SUM(Emissions!AL4:AL9)</f>
        <v>1122.046998643455</v>
      </c>
      <c r="AK5" s="29">
        <f>SUM(Emissions!AM4:AM9)</f>
        <v>1124.8113839933881</v>
      </c>
      <c r="AL5" s="29">
        <f>SUM(Emissions!AN4:AN9)</f>
        <v>1127.5822323667171</v>
      </c>
      <c r="AM5" s="29">
        <f>SUM(Emissions!AO4:AO9)</f>
        <v>1130.3516299560094</v>
      </c>
      <c r="AN5" s="29">
        <f>SUM(Emissions!AP4:AP9)</f>
        <v>1133.1265913539507</v>
      </c>
      <c r="AO5" s="29">
        <f>SUM(Emissions!AQ4:AQ9)</f>
        <v>1135.8950993608714</v>
      </c>
      <c r="AP5" s="29">
        <f>SUM(Emissions!AR4:AR9)</f>
        <v>1138.8781049131537</v>
      </c>
      <c r="AQ5" s="29">
        <f>SUM(Emissions!AS4:AS9)</f>
        <v>1141.8628215706131</v>
      </c>
      <c r="AR5" s="29">
        <f>SUM(Emissions!AT4:AT9)</f>
        <v>1144.8388028978329</v>
      </c>
      <c r="AS5" s="29">
        <f>SUM(Emissions!AU4:AU9)</f>
        <v>1147.8082979311505</v>
      </c>
      <c r="AT5" s="29">
        <f>SUM(Emissions!AV4:AV9)</f>
        <v>1150.770714649909</v>
      </c>
      <c r="AU5" s="29">
        <f>SUM(Emissions!AW4:AW9)</f>
        <v>1153.5839413253893</v>
      </c>
      <c r="AV5" s="29">
        <f>SUM(Emissions!AX4:AX9)</f>
        <v>1156.4088048451736</v>
      </c>
      <c r="AW5" s="29">
        <f>SUM(Emissions!AY4:AY9)</f>
        <v>1159.2074214289053</v>
      </c>
      <c r="AX5" s="29">
        <f>SUM(Emissions!AZ4:AZ9)</f>
        <v>1161.9876890230319</v>
      </c>
      <c r="AY5" s="29">
        <f>SUM(Emissions!BA4:BA9)</f>
        <v>1164.7486145588846</v>
      </c>
      <c r="AZ5" s="29">
        <f>SUM(Emissions!BB4:BB9)</f>
        <v>1167.6210489103426</v>
      </c>
      <c r="BA5" s="29">
        <f>SUM(Emissions!BC4:BC9)</f>
        <v>1170.4801792214625</v>
      </c>
      <c r="BB5" s="29">
        <f>SUM(Emissions!BD4:BD9)</f>
        <v>1173.3343670816766</v>
      </c>
      <c r="BC5" s="29">
        <f>SUM(Emissions!BE4:BE9)</f>
        <v>1176.1751254876892</v>
      </c>
      <c r="BD5" s="29">
        <f>SUM(Emissions!BF4:BF9)</f>
        <v>1178.9949394032128</v>
      </c>
      <c r="BE5" s="29">
        <f>SUM(Emissions!BG4:BG9)</f>
        <v>1182.25022584976</v>
      </c>
      <c r="BF5" s="29">
        <f>SUM(Emissions!BH4:BH9)</f>
        <v>1185.4894338306478</v>
      </c>
      <c r="BG5" s="29">
        <f>SUM(Emissions!BI4:BI9)</f>
        <v>1188.7134800115321</v>
      </c>
      <c r="BH5" s="29">
        <f>SUM(Emissions!BJ4:BJ9)</f>
        <v>1191.9201019649304</v>
      </c>
      <c r="BI5" s="29">
        <f>SUM(Emissions!BK4:BK9)</f>
        <v>1195.100329972784</v>
      </c>
      <c r="BJ5" s="29">
        <f>SUM(Emissions!BL4:BL9)</f>
        <v>1198.1299437214616</v>
      </c>
      <c r="BK5" s="29">
        <f>SUM(Emissions!BM4:BM9)</f>
        <v>1201.1367998700789</v>
      </c>
      <c r="BL5" s="29">
        <f>SUM(Emissions!BN4:BN9)</f>
        <v>1204.1379492603189</v>
      </c>
      <c r="BM5" s="29">
        <f>SUM(Emissions!BO4:BO9)</f>
        <v>1207.1142784330755</v>
      </c>
      <c r="BN5" s="29">
        <f>SUM(Emissions!BP4:BP9)</f>
        <v>1210.0637162345042</v>
      </c>
    </row>
    <row r="6" spans="1:72" x14ac:dyDescent="0.25">
      <c r="A6" t="str">
        <f>A5</f>
        <v>3A Livestock</v>
      </c>
      <c r="B6" t="str">
        <f>B5</f>
        <v>3A1 Enteric fermentation (CH4)</v>
      </c>
      <c r="C6" t="str">
        <f>'IPCC Categories'!C7</f>
        <v>3A1c Sheep</v>
      </c>
      <c r="D6" t="str">
        <f>D5</f>
        <v>CH4</v>
      </c>
      <c r="E6" t="str">
        <f>E5</f>
        <v>Gg CH4</v>
      </c>
      <c r="F6" s="29">
        <f>SUM(Emissions!H10:H11)</f>
        <v>230.15541038431331</v>
      </c>
      <c r="G6" s="29">
        <f>SUM(Emissions!I10:I11)</f>
        <v>219.80651638524552</v>
      </c>
      <c r="H6" s="29">
        <f>SUM(Emissions!J10:J11)</f>
        <v>210.72436386232471</v>
      </c>
      <c r="I6" s="29">
        <f>SUM(Emissions!K10:K11)</f>
        <v>197.07426480420705</v>
      </c>
      <c r="J6" s="29">
        <f>SUM(Emissions!L10:L11)</f>
        <v>198.463841817435</v>
      </c>
      <c r="K6" s="29">
        <f>SUM(Emissions!M10:M11)</f>
        <v>195.62327002243862</v>
      </c>
      <c r="L6" s="29">
        <f>SUM(Emissions!N10:N11)</f>
        <v>196.27583381318104</v>
      </c>
      <c r="M6" s="29">
        <f>SUM(Emissions!O10:O11)</f>
        <v>192.00729889961895</v>
      </c>
      <c r="N6" s="29">
        <f>SUM(Emissions!P10:P11)</f>
        <v>192.53702715328046</v>
      </c>
      <c r="O6" s="29">
        <f>SUM(Emissions!Q10:Q11)</f>
        <v>187.80785897566491</v>
      </c>
      <c r="P6" s="29">
        <f>SUM(Emissions!R10:R11)</f>
        <v>181.07493609941679</v>
      </c>
      <c r="Q6" s="29">
        <f>SUM(Emissions!S10:S11)</f>
        <v>176.56073011169283</v>
      </c>
      <c r="R6" s="29">
        <f>SUM(Emissions!T10:T11)</f>
        <v>173.61267722175066</v>
      </c>
      <c r="S6" s="29">
        <f>SUM(Emissions!U10:U11)</f>
        <v>174.21917768608773</v>
      </c>
      <c r="T6" s="29">
        <f>SUM(Emissions!V10:V11)</f>
        <v>171.11758037479439</v>
      </c>
      <c r="U6" s="29">
        <f>SUM(Emissions!W10:W11)</f>
        <v>170.71068765821383</v>
      </c>
      <c r="V6" s="29">
        <f>SUM(Emissions!X10:X11)</f>
        <v>168.47661632755455</v>
      </c>
      <c r="W6" s="29">
        <f>SUM(Emissions!Y10:Y11)</f>
        <v>168.31539468513583</v>
      </c>
      <c r="X6" s="29">
        <f>SUM(Emissions!Z10:Z11)</f>
        <v>168.86047738093242</v>
      </c>
      <c r="Y6" s="29">
        <f>SUM(Emissions!AA10:AA11)</f>
        <v>168.26165413766293</v>
      </c>
      <c r="Z6" s="29">
        <f>SUM(Emissions!AB10:AB11)</f>
        <v>165.00651240501841</v>
      </c>
      <c r="AA6" s="29">
        <f>SUM(Emissions!AC10:AC11)</f>
        <v>163.71673926566876</v>
      </c>
      <c r="AB6" s="29">
        <f>SUM(Emissions!AD10:AD11)</f>
        <v>164.49981581455961</v>
      </c>
      <c r="AC6" s="29">
        <f>SUM(Emissions!AE10:AE11)</f>
        <v>165.74352562750397</v>
      </c>
      <c r="AD6" s="29">
        <f>SUM(Emissions!AF10:AF11)</f>
        <v>162.77244107435911</v>
      </c>
      <c r="AE6" s="29">
        <f>SUM(Emissions!AG10:AG11)</f>
        <v>161.47499071394188</v>
      </c>
      <c r="AF6" s="29">
        <f>SUM(Emissions!AH10:AH11)</f>
        <v>156.90704417874502</v>
      </c>
      <c r="AG6" s="29">
        <f>SUM(Emissions!AI10:AI11)</f>
        <v>153.09914252923639</v>
      </c>
      <c r="AH6" s="29">
        <f>SUM(Emissions!AJ10:AJ11)</f>
        <v>162.86404421896842</v>
      </c>
      <c r="AI6" s="29">
        <f>SUM(Emissions!AK10:AK11)</f>
        <v>162.35496815734348</v>
      </c>
      <c r="AJ6" s="29">
        <f>SUM(Emissions!AL10:AL11)</f>
        <v>160.66423306608561</v>
      </c>
      <c r="AK6" s="29">
        <f>SUM(Emissions!AM10:AM11)</f>
        <v>160.3227076785825</v>
      </c>
      <c r="AL6" s="29">
        <f>SUM(Emissions!AN10:AN11)</f>
        <v>159.96917044652088</v>
      </c>
      <c r="AM6" s="29">
        <f>SUM(Emissions!AO10:AO11)</f>
        <v>159.61832954755835</v>
      </c>
      <c r="AN6" s="29">
        <f>SUM(Emissions!AP10:AP11)</f>
        <v>159.25714811476473</v>
      </c>
      <c r="AO6" s="29">
        <f>SUM(Emissions!AQ10:AQ11)</f>
        <v>158.90796062442021</v>
      </c>
      <c r="AP6" s="29">
        <f>SUM(Emissions!AR10:AR11)</f>
        <v>158.56008850682687</v>
      </c>
      <c r="AQ6" s="29">
        <f>SUM(Emissions!AS10:AS11)</f>
        <v>158.20903624015102</v>
      </c>
      <c r="AR6" s="29">
        <f>SUM(Emissions!AT10:AT11)</f>
        <v>157.87421889159737</v>
      </c>
      <c r="AS6" s="29">
        <f>SUM(Emissions!AU10:AU11)</f>
        <v>157.55145654812517</v>
      </c>
      <c r="AT6" s="29">
        <f>SUM(Emissions!AV10:AV11)</f>
        <v>157.2418495009226</v>
      </c>
      <c r="AU6" s="29">
        <f>SUM(Emissions!AW10:AW11)</f>
        <v>157.0331074417432</v>
      </c>
      <c r="AV6" s="29">
        <f>SUM(Emissions!AX10:AX11)</f>
        <v>156.80273781009237</v>
      </c>
      <c r="AW6" s="29">
        <f>SUM(Emissions!AY10:AY11)</f>
        <v>156.62114911968123</v>
      </c>
      <c r="AX6" s="29">
        <f>SUM(Emissions!AZ10:AZ11)</f>
        <v>156.4736625825218</v>
      </c>
      <c r="AY6" s="29">
        <f>SUM(Emissions!BA10:BA11)</f>
        <v>156.36212394015149</v>
      </c>
      <c r="AZ6" s="29">
        <f>SUM(Emissions!BB10:BB11)</f>
        <v>156.24069173524268</v>
      </c>
      <c r="BA6" s="29">
        <f>SUM(Emissions!BC10:BC11)</f>
        <v>156.14398555667324</v>
      </c>
      <c r="BB6" s="29">
        <f>SUM(Emissions!BD10:BD11)</f>
        <v>156.05646500821052</v>
      </c>
      <c r="BC6" s="29">
        <f>SUM(Emissions!BE10:BE11)</f>
        <v>155.9939036606894</v>
      </c>
      <c r="BD6" s="29">
        <f>SUM(Emissions!BF10:BF11)</f>
        <v>155.97026838452302</v>
      </c>
      <c r="BE6" s="29">
        <f>SUM(Emissions!BG10:BG11)</f>
        <v>155.87565796510722</v>
      </c>
      <c r="BF6" s="29">
        <f>SUM(Emissions!BH10:BH11)</f>
        <v>155.81092985042758</v>
      </c>
      <c r="BG6" s="29">
        <f>SUM(Emissions!BI10:BI11)</f>
        <v>155.7743805622184</v>
      </c>
      <c r="BH6" s="29">
        <f>SUM(Emissions!BJ10:BJ11)</f>
        <v>155.77021481290552</v>
      </c>
      <c r="BI6" s="29">
        <f>SUM(Emissions!BK10:BK11)</f>
        <v>155.81510313860744</v>
      </c>
      <c r="BJ6" s="29">
        <f>SUM(Emissions!BL10:BL11)</f>
        <v>155.92972065446659</v>
      </c>
      <c r="BK6" s="29">
        <f>SUM(Emissions!BM10:BM11)</f>
        <v>156.08663396951195</v>
      </c>
      <c r="BL6" s="29">
        <f>SUM(Emissions!BN10:BN11)</f>
        <v>156.25415358401031</v>
      </c>
      <c r="BM6" s="29">
        <f>SUM(Emissions!BO10:BO11)</f>
        <v>156.4678023561066</v>
      </c>
      <c r="BN6" s="29">
        <f>SUM(Emissions!BP10:BP11)</f>
        <v>156.7314296865105</v>
      </c>
    </row>
    <row r="7" spans="1:72" x14ac:dyDescent="0.25">
      <c r="A7" t="str">
        <f t="shared" ref="A7:A26" si="2">A6</f>
        <v>3A Livestock</v>
      </c>
      <c r="B7" t="str">
        <f t="shared" ref="B7:B10" si="3">B6</f>
        <v>3A1 Enteric fermentation (CH4)</v>
      </c>
      <c r="C7" t="str">
        <f>'IPCC Categories'!C8</f>
        <v>3A1d Goats</v>
      </c>
      <c r="D7" t="str">
        <f t="shared" ref="D7:D10" si="4">D6</f>
        <v>CH4</v>
      </c>
      <c r="E7" t="str">
        <f t="shared" ref="E7:E10" si="5">E6</f>
        <v>Gg CH4</v>
      </c>
      <c r="F7" s="29">
        <f>SUM(Emissions!H12:H13)</f>
        <v>50.832740984438615</v>
      </c>
      <c r="G7" s="29">
        <f>SUM(Emissions!I12:I13)</f>
        <v>44.950509601596238</v>
      </c>
      <c r="H7" s="29">
        <f>SUM(Emissions!J12:J13)</f>
        <v>41.871958597491798</v>
      </c>
      <c r="I7" s="29">
        <f>SUM(Emissions!K12:K13)</f>
        <v>39.563045344413474</v>
      </c>
      <c r="J7" s="29">
        <f>SUM(Emissions!L12:L13)</f>
        <v>42.824843432095548</v>
      </c>
      <c r="K7" s="29">
        <f>SUM(Emissions!M12:M13)</f>
        <v>43.411234099544018</v>
      </c>
      <c r="L7" s="29">
        <f>SUM(Emissions!N12:N13)</f>
        <v>44.089248308781293</v>
      </c>
      <c r="M7" s="29">
        <f>SUM(Emissions!O12:O13)</f>
        <v>43.869351808488119</v>
      </c>
      <c r="N7" s="29">
        <f>SUM(Emissions!P12:P13)</f>
        <v>43.24631172432413</v>
      </c>
      <c r="O7" s="29">
        <f>SUM(Emissions!Q12:Q13)</f>
        <v>42.604946931802381</v>
      </c>
      <c r="P7" s="29">
        <f>SUM(Emissions!R12:R13)</f>
        <v>43.15468818253531</v>
      </c>
      <c r="Q7" s="29">
        <f>SUM(Emissions!S12:S13)</f>
        <v>44.474067184294356</v>
      </c>
      <c r="R7" s="29">
        <f>SUM(Emissions!T12:T13)</f>
        <v>40.607553720806052</v>
      </c>
      <c r="S7" s="29">
        <f>SUM(Emissions!U12:U13)</f>
        <v>39.581370052771241</v>
      </c>
      <c r="T7" s="29">
        <f>SUM(Emissions!V12:V13)</f>
        <v>39.654668886202302</v>
      </c>
      <c r="U7" s="29">
        <f>SUM(Emissions!W12:W13)</f>
        <v>39.1415770521849</v>
      </c>
      <c r="V7" s="29">
        <f>SUM(Emissions!X12:X13)</f>
        <v>39.966188928284296</v>
      </c>
      <c r="W7" s="29">
        <f>SUM(Emissions!Y12:Y13)</f>
        <v>38.775082885029605</v>
      </c>
      <c r="X7" s="29">
        <f>SUM(Emissions!Z12:Z13)</f>
        <v>38.738433468314078</v>
      </c>
      <c r="Y7" s="29">
        <f>SUM(Emissions!AA12:AA13)</f>
        <v>38.060419259076795</v>
      </c>
      <c r="Z7" s="29">
        <f>SUM(Emissions!AB12:AB13)</f>
        <v>37.60230155013268</v>
      </c>
      <c r="AA7" s="29">
        <f>SUM(Emissions!AC12:AC13)</f>
        <v>37.254132091335151</v>
      </c>
      <c r="AB7" s="29">
        <f>SUM(Emissions!AD12:AD13)</f>
        <v>37.162508549546331</v>
      </c>
      <c r="AC7" s="29">
        <f>SUM(Emissions!AE12:AE13)</f>
        <v>36.741040257317749</v>
      </c>
      <c r="AD7" s="29">
        <f>SUM(Emissions!AF12:AF13)</f>
        <v>36.411195506877988</v>
      </c>
      <c r="AE7" s="29">
        <f>SUM(Emissions!AG12:AG13)</f>
        <v>35.916428381218353</v>
      </c>
      <c r="AF7" s="29">
        <f>SUM(Emissions!AH12:AH13)</f>
        <v>34.835270588110241</v>
      </c>
      <c r="AG7" s="29">
        <f>SUM(Emissions!AI12:AI13)</f>
        <v>33.77243750335991</v>
      </c>
      <c r="AH7" s="29">
        <f>SUM(Emissions!AJ12:AJ13)</f>
        <v>36.055241465582398</v>
      </c>
      <c r="AI7" s="29">
        <f>SUM(Emissions!AK12:AK13)</f>
        <v>35.787242389397711</v>
      </c>
      <c r="AJ7" s="29">
        <f>SUM(Emissions!AL12:AL13)</f>
        <v>35.520750602955317</v>
      </c>
      <c r="AK7" s="29">
        <f>SUM(Emissions!AM12:AM13)</f>
        <v>35.248882062557314</v>
      </c>
      <c r="AL7" s="29">
        <f>SUM(Emissions!AN12:AN13)</f>
        <v>34.977028849143657</v>
      </c>
      <c r="AM7" s="29">
        <f>SUM(Emissions!AO12:AO13)</f>
        <v>34.70517219636627</v>
      </c>
      <c r="AN7" s="29">
        <f>SUM(Emissions!AP12:AP13)</f>
        <v>34.433328733671786</v>
      </c>
      <c r="AO7" s="29">
        <f>SUM(Emissions!AQ12:AQ13)</f>
        <v>34.161469966828363</v>
      </c>
      <c r="AP7" s="29">
        <f>SUM(Emissions!AR12:AR13)</f>
        <v>33.866901339172173</v>
      </c>
      <c r="AQ7" s="29">
        <f>SUM(Emissions!AS12:AS13)</f>
        <v>33.572336768021266</v>
      </c>
      <c r="AR7" s="29">
        <f>SUM(Emissions!AT12:AT13)</f>
        <v>33.27775148808302</v>
      </c>
      <c r="AS7" s="29">
        <f>SUM(Emissions!AU12:AU13)</f>
        <v>32.983150831132413</v>
      </c>
      <c r="AT7" s="29">
        <f>SUM(Emissions!AV12:AV13)</f>
        <v>32.688533393670149</v>
      </c>
      <c r="AU7" s="29">
        <f>SUM(Emissions!AW12:AW13)</f>
        <v>32.403803005649294</v>
      </c>
      <c r="AV7" s="29">
        <f>SUM(Emissions!AX12:AX13)</f>
        <v>32.11910021015445</v>
      </c>
      <c r="AW7" s="29">
        <f>SUM(Emissions!AY12:AY13)</f>
        <v>31.834335186089532</v>
      </c>
      <c r="AX7" s="29">
        <f>SUM(Emissions!AZ12:AZ13)</f>
        <v>31.549526667340345</v>
      </c>
      <c r="AY7" s="29">
        <f>SUM(Emissions!BA12:BA13)</f>
        <v>31.264672294506589</v>
      </c>
      <c r="AZ7" s="29">
        <f>SUM(Emissions!BB12:BB13)</f>
        <v>30.968625985188098</v>
      </c>
      <c r="BA7" s="29">
        <f>SUM(Emissions!BC12:BC13)</f>
        <v>30.672548136072656</v>
      </c>
      <c r="BB7" s="29">
        <f>SUM(Emissions!BD12:BD13)</f>
        <v>30.37645857506206</v>
      </c>
      <c r="BC7" s="29">
        <f>SUM(Emissions!BE12:BE13)</f>
        <v>30.080337171797488</v>
      </c>
      <c r="BD7" s="29">
        <f>SUM(Emissions!BF12:BF13)</f>
        <v>29.784166115573321</v>
      </c>
      <c r="BE7" s="29">
        <f>SUM(Emissions!BG12:BG13)</f>
        <v>29.446164725115462</v>
      </c>
      <c r="BF7" s="29">
        <f>SUM(Emissions!BH12:BH13)</f>
        <v>29.108125222688848</v>
      </c>
      <c r="BG7" s="29">
        <f>SUM(Emissions!BI12:BI13)</f>
        <v>28.770049771147974</v>
      </c>
      <c r="BH7" s="29">
        <f>SUM(Emissions!BJ12:BJ13)</f>
        <v>28.4319330121108</v>
      </c>
      <c r="BI7" s="29">
        <f>SUM(Emissions!BK12:BK13)</f>
        <v>28.093753681128394</v>
      </c>
      <c r="BJ7" s="29">
        <f>SUM(Emissions!BL12:BL13)</f>
        <v>27.767419138023712</v>
      </c>
      <c r="BK7" s="29">
        <f>SUM(Emissions!BM12:BM13)</f>
        <v>27.441030643633056</v>
      </c>
      <c r="BL7" s="29">
        <f>SUM(Emissions!BN12:BN13)</f>
        <v>27.114628615130307</v>
      </c>
      <c r="BM7" s="29">
        <f>SUM(Emissions!BO12:BO13)</f>
        <v>26.788167750647862</v>
      </c>
      <c r="BN7" s="29">
        <f>SUM(Emissions!BP12:BP13)</f>
        <v>26.461643134976285</v>
      </c>
    </row>
    <row r="8" spans="1:72" x14ac:dyDescent="0.25">
      <c r="A8" t="str">
        <f t="shared" si="2"/>
        <v>3A Livestock</v>
      </c>
      <c r="B8" t="str">
        <f t="shared" si="3"/>
        <v>3A1 Enteric fermentation (CH4)</v>
      </c>
      <c r="C8" t="str">
        <f>'IPCC Categories'!C9</f>
        <v>3A1f Horses</v>
      </c>
      <c r="D8" t="str">
        <f t="shared" si="4"/>
        <v>CH4</v>
      </c>
      <c r="E8" t="str">
        <f t="shared" si="5"/>
        <v>Gg CH4</v>
      </c>
      <c r="F8" s="29">
        <f>Emissions!H14</f>
        <v>4.1399999999999997</v>
      </c>
      <c r="G8" s="29">
        <f>Emissions!I14</f>
        <v>4.1399999999999997</v>
      </c>
      <c r="H8" s="29">
        <f>Emissions!J14</f>
        <v>4.1399999999999997</v>
      </c>
      <c r="I8" s="29">
        <f>Emissions!K14</f>
        <v>4.2299999999999995</v>
      </c>
      <c r="J8" s="29">
        <f>Emissions!L14</f>
        <v>4.3199999999999994</v>
      </c>
      <c r="K8" s="29">
        <f>Emissions!M14</f>
        <v>4.41</v>
      </c>
      <c r="L8" s="29">
        <f>Emissions!N14</f>
        <v>4.5</v>
      </c>
      <c r="M8" s="29">
        <f>Emissions!O14</f>
        <v>4.59</v>
      </c>
      <c r="N8" s="29">
        <f>Emissions!P14</f>
        <v>4.68</v>
      </c>
      <c r="O8" s="29">
        <f>Emissions!Q14</f>
        <v>4.6440000000000001</v>
      </c>
      <c r="P8" s="29">
        <f>Emissions!R14</f>
        <v>4.8599999999999994</v>
      </c>
      <c r="Q8" s="29">
        <f>Emissions!S14</f>
        <v>4.8599999999999994</v>
      </c>
      <c r="R8" s="29">
        <f>Emissions!T14</f>
        <v>4.8599999999999994</v>
      </c>
      <c r="S8" s="29">
        <f>Emissions!U14</f>
        <v>4.8599999999999994</v>
      </c>
      <c r="T8" s="29">
        <f>Emissions!V14</f>
        <v>4.8599999999999994</v>
      </c>
      <c r="U8" s="29">
        <f>Emissions!W14</f>
        <v>4.8599999999999994</v>
      </c>
      <c r="V8" s="29">
        <f>Emissions!X14</f>
        <v>5.04</v>
      </c>
      <c r="W8" s="29">
        <f>Emissions!Y14</f>
        <v>5.22</v>
      </c>
      <c r="X8" s="29">
        <f>Emissions!Z14</f>
        <v>5.3639999999999999</v>
      </c>
      <c r="Y8" s="29">
        <f>Emissions!AA14</f>
        <v>5.3999999999999995</v>
      </c>
      <c r="Z8" s="29">
        <f>Emissions!AB14</f>
        <v>5.3999999999999995</v>
      </c>
      <c r="AA8" s="29">
        <f>Emissions!AC14</f>
        <v>5.4899999999999993</v>
      </c>
      <c r="AB8" s="29">
        <f>Emissions!AD14</f>
        <v>5.5439999999999996</v>
      </c>
      <c r="AC8" s="29">
        <f>Emissions!AE14</f>
        <v>5.58</v>
      </c>
      <c r="AD8" s="29">
        <f>Emissions!AF14</f>
        <v>5.6159999999999997</v>
      </c>
      <c r="AE8" s="29">
        <f>Emissions!AG14</f>
        <v>5.6668500000000002</v>
      </c>
      <c r="AF8" s="29">
        <f>Emissions!AH14</f>
        <v>5.7754799999999999</v>
      </c>
      <c r="AG8" s="29">
        <f>Emissions!AI14</f>
        <v>5.8098779999999994</v>
      </c>
      <c r="AH8" s="29">
        <f>Emissions!AJ14</f>
        <v>5.7144275508111617</v>
      </c>
      <c r="AI8" s="29">
        <f>Emissions!AK14</f>
        <v>5.7133113498556165</v>
      </c>
      <c r="AJ8" s="29">
        <f>Emissions!AL14</f>
        <v>5.6164134105577661</v>
      </c>
      <c r="AK8" s="29">
        <f>Emissions!AM14</f>
        <v>5.630236274689473</v>
      </c>
      <c r="AL8" s="29">
        <f>Emissions!AN14</f>
        <v>5.6428462605652854</v>
      </c>
      <c r="AM8" s="29">
        <f>Emissions!AO14</f>
        <v>5.6554363940045036</v>
      </c>
      <c r="AN8" s="29">
        <f>Emissions!AP14</f>
        <v>5.666988864828455</v>
      </c>
      <c r="AO8" s="29">
        <f>Emissions!AQ14</f>
        <v>5.6792606775468277</v>
      </c>
      <c r="AP8" s="29">
        <f>Emissions!AR14</f>
        <v>5.6946406663288007</v>
      </c>
      <c r="AQ8" s="29">
        <f>Emissions!AS14</f>
        <v>5.7094834748833687</v>
      </c>
      <c r="AR8" s="29">
        <f>Emissions!AT14</f>
        <v>5.7252643682791646</v>
      </c>
      <c r="AS8" s="29">
        <f>Emissions!AU14</f>
        <v>5.7416454546487623</v>
      </c>
      <c r="AT8" s="29">
        <f>Emissions!AV14</f>
        <v>5.7586910973747036</v>
      </c>
      <c r="AU8" s="29">
        <f>Emissions!AW14</f>
        <v>5.7814657212134977</v>
      </c>
      <c r="AV8" s="29">
        <f>Emissions!AX14</f>
        <v>5.8022688349450862</v>
      </c>
      <c r="AW8" s="29">
        <f>Emissions!AY14</f>
        <v>5.8262108485598718</v>
      </c>
      <c r="AX8" s="29">
        <f>Emissions!AZ14</f>
        <v>5.8521643182910097</v>
      </c>
      <c r="AY8" s="29">
        <f>Emissions!BA14</f>
        <v>5.8802074342214503</v>
      </c>
      <c r="AZ8" s="29">
        <f>Emissions!BB14</f>
        <v>5.908458755674884</v>
      </c>
      <c r="BA8" s="29">
        <f>Emissions!BC14</f>
        <v>5.9379266983429897</v>
      </c>
      <c r="BB8" s="29">
        <f>Emissions!BD14</f>
        <v>5.9675109354728413</v>
      </c>
      <c r="BC8" s="29">
        <f>Emissions!BE14</f>
        <v>5.9982834959137117</v>
      </c>
      <c r="BD8" s="29">
        <f>Emissions!BF14</f>
        <v>6.0311574854577543</v>
      </c>
      <c r="BE8" s="29">
        <f>Emissions!BG14</f>
        <v>6.0634749431971908</v>
      </c>
      <c r="BF8" s="29">
        <f>Emissions!BH14</f>
        <v>6.0971509528053733</v>
      </c>
      <c r="BG8" s="29">
        <f>Emissions!BI14</f>
        <v>6.1320348707712569</v>
      </c>
      <c r="BH8" s="29">
        <f>Emissions!BJ14</f>
        <v>6.1683658825036947</v>
      </c>
      <c r="BI8" s="29">
        <f>Emissions!BK14</f>
        <v>6.2071771644564677</v>
      </c>
      <c r="BJ8" s="29">
        <f>Emissions!BL14</f>
        <v>6.2484893339836676</v>
      </c>
      <c r="BK8" s="29">
        <f>Emissions!BM14</f>
        <v>6.2917455211835112</v>
      </c>
      <c r="BL8" s="29">
        <f>Emissions!BN14</f>
        <v>6.3349071349223331</v>
      </c>
      <c r="BM8" s="29">
        <f>Emissions!BO14</f>
        <v>6.3801850311726351</v>
      </c>
      <c r="BN8" s="29">
        <f>Emissions!BP14</f>
        <v>6.4277616627002621</v>
      </c>
    </row>
    <row r="9" spans="1:72" x14ac:dyDescent="0.25">
      <c r="A9" t="str">
        <f t="shared" si="2"/>
        <v>3A Livestock</v>
      </c>
      <c r="B9" t="str">
        <f t="shared" si="3"/>
        <v>3A1 Enteric fermentation (CH4)</v>
      </c>
      <c r="C9" t="str">
        <f>'IPCC Categories'!C10</f>
        <v>3A1g Mules &amp; asses</v>
      </c>
      <c r="D9" t="str">
        <f t="shared" si="4"/>
        <v>CH4</v>
      </c>
      <c r="E9" t="str">
        <f t="shared" si="5"/>
        <v>Gg CH4</v>
      </c>
      <c r="F9" s="29">
        <f>Emissions!H15</f>
        <v>2.2399999999999998</v>
      </c>
      <c r="G9" s="29">
        <f>Emissions!I15</f>
        <v>2.2399999999999998</v>
      </c>
      <c r="H9" s="29">
        <f>Emissions!J15</f>
        <v>2.2399999999999998</v>
      </c>
      <c r="I9" s="29">
        <f>Emissions!K15</f>
        <v>2.2399999999999998</v>
      </c>
      <c r="J9" s="29">
        <f>Emissions!L15</f>
        <v>2.2399999999999998</v>
      </c>
      <c r="K9" s="29">
        <f>Emissions!M15</f>
        <v>2.2399999999999998</v>
      </c>
      <c r="L9" s="29">
        <f>Emissions!N15</f>
        <v>2.2399999999999998</v>
      </c>
      <c r="M9" s="29">
        <f>Emissions!O15</f>
        <v>2.2399999999999998</v>
      </c>
      <c r="N9" s="29">
        <f>Emissions!P15</f>
        <v>2.2399999999999998</v>
      </c>
      <c r="O9" s="29">
        <f>Emissions!Q15</f>
        <v>2.2399999999999998</v>
      </c>
      <c r="P9" s="29">
        <f>Emissions!R15</f>
        <v>1.64</v>
      </c>
      <c r="Q9" s="29">
        <f>Emissions!S15</f>
        <v>1.64</v>
      </c>
      <c r="R9" s="29">
        <f>Emissions!T15</f>
        <v>1.64</v>
      </c>
      <c r="S9" s="29">
        <f>Emissions!U15</f>
        <v>1.64</v>
      </c>
      <c r="T9" s="29">
        <f>Emissions!V15</f>
        <v>1.64</v>
      </c>
      <c r="U9" s="29">
        <f>Emissions!W15</f>
        <v>1.64</v>
      </c>
      <c r="V9" s="29">
        <f>Emissions!X15</f>
        <v>1.6404999999999998</v>
      </c>
      <c r="W9" s="29">
        <f>Emissions!Y15</f>
        <v>1.6459999999999999</v>
      </c>
      <c r="X9" s="29">
        <f>Emissions!Z15</f>
        <v>1.647</v>
      </c>
      <c r="Y9" s="29">
        <f>Emissions!AA15</f>
        <v>1.6479999999999999</v>
      </c>
      <c r="Z9" s="29">
        <f>Emissions!AB15</f>
        <v>1.663</v>
      </c>
      <c r="AA9" s="29">
        <f>Emissions!AC15</f>
        <v>1.67</v>
      </c>
      <c r="AB9" s="29">
        <f>Emissions!AD15</f>
        <v>1.67</v>
      </c>
      <c r="AC9" s="29">
        <f>Emissions!AE15</f>
        <v>1.7049999999999998</v>
      </c>
      <c r="AD9" s="29">
        <f>Emissions!AF15</f>
        <v>1.71</v>
      </c>
      <c r="AE9" s="29">
        <f>Emissions!AG15</f>
        <v>1.6902899999999998</v>
      </c>
      <c r="AF9" s="29">
        <f>Emissions!AH15</f>
        <v>1.6186799999999999</v>
      </c>
      <c r="AG9" s="29">
        <f>Emissions!AI15</f>
        <v>1.6281999999999999</v>
      </c>
      <c r="AH9" s="29">
        <f>Emissions!AJ15</f>
        <v>1.5999999999999999</v>
      </c>
      <c r="AI9" s="29">
        <f>Emissions!AK15</f>
        <v>1.5999999999999999</v>
      </c>
      <c r="AJ9" s="29">
        <f>Emissions!AL15</f>
        <v>1.5999999999999999</v>
      </c>
      <c r="AK9" s="29">
        <f>Emissions!AM15</f>
        <v>1.5999999999999999</v>
      </c>
      <c r="AL9" s="29">
        <f>Emissions!AN15</f>
        <v>1.5999999999999999</v>
      </c>
      <c r="AM9" s="29">
        <f>Emissions!AO15</f>
        <v>1.5999999999999999</v>
      </c>
      <c r="AN9" s="29">
        <f>Emissions!AP15</f>
        <v>1.5999999999999999</v>
      </c>
      <c r="AO9" s="29">
        <f>Emissions!AQ15</f>
        <v>1.5999999999999999</v>
      </c>
      <c r="AP9" s="29">
        <f>Emissions!AR15</f>
        <v>1.5999999999999999</v>
      </c>
      <c r="AQ9" s="29">
        <f>Emissions!AS15</f>
        <v>1.5999999999999999</v>
      </c>
      <c r="AR9" s="29">
        <f>Emissions!AT15</f>
        <v>1.5999999999999999</v>
      </c>
      <c r="AS9" s="29">
        <f>Emissions!AU15</f>
        <v>1.5999999999999999</v>
      </c>
      <c r="AT9" s="29">
        <f>Emissions!AV15</f>
        <v>1.5999999999999999</v>
      </c>
      <c r="AU9" s="29">
        <f>Emissions!AW15</f>
        <v>1.5999999999999999</v>
      </c>
      <c r="AV9" s="29">
        <f>Emissions!AX15</f>
        <v>1.5999999999999999</v>
      </c>
      <c r="AW9" s="29">
        <f>Emissions!AY15</f>
        <v>1.5999999999999999</v>
      </c>
      <c r="AX9" s="29">
        <f>Emissions!AZ15</f>
        <v>1.5999999999999999</v>
      </c>
      <c r="AY9" s="29">
        <f>Emissions!BA15</f>
        <v>1.5999999999999999</v>
      </c>
      <c r="AZ9" s="29">
        <f>Emissions!BB15</f>
        <v>1.5999999999999999</v>
      </c>
      <c r="BA9" s="29">
        <f>Emissions!BC15</f>
        <v>1.5999999999999999</v>
      </c>
      <c r="BB9" s="29">
        <f>Emissions!BD15</f>
        <v>1.5999999999999999</v>
      </c>
      <c r="BC9" s="29">
        <f>Emissions!BE15</f>
        <v>1.5999999999999999</v>
      </c>
      <c r="BD9" s="29">
        <f>Emissions!BF15</f>
        <v>1.5999999999999999</v>
      </c>
      <c r="BE9" s="29">
        <f>Emissions!BG15</f>
        <v>1.5999999999999999</v>
      </c>
      <c r="BF9" s="29">
        <f>Emissions!BH15</f>
        <v>1.5999999999999999</v>
      </c>
      <c r="BG9" s="29">
        <f>Emissions!BI15</f>
        <v>1.5999999999999999</v>
      </c>
      <c r="BH9" s="29">
        <f>Emissions!BJ15</f>
        <v>1.5999999999999999</v>
      </c>
      <c r="BI9" s="29">
        <f>Emissions!BK15</f>
        <v>1.5999999999999999</v>
      </c>
      <c r="BJ9" s="29">
        <f>Emissions!BL15</f>
        <v>1.5999999999999999</v>
      </c>
      <c r="BK9" s="29">
        <f>Emissions!BM15</f>
        <v>1.5999999999999999</v>
      </c>
      <c r="BL9" s="29">
        <f>Emissions!BN15</f>
        <v>1.5999999999999999</v>
      </c>
      <c r="BM9" s="29">
        <f>Emissions!BO15</f>
        <v>1.5999999999999999</v>
      </c>
      <c r="BN9" s="29">
        <f>Emissions!BP15</f>
        <v>1.5999999999999999</v>
      </c>
    </row>
    <row r="10" spans="1:72" x14ac:dyDescent="0.25">
      <c r="A10" t="str">
        <f t="shared" si="2"/>
        <v>3A Livestock</v>
      </c>
      <c r="B10" t="str">
        <f t="shared" si="3"/>
        <v>3A1 Enteric fermentation (CH4)</v>
      </c>
      <c r="C10" t="str">
        <f>'IPCC Categories'!C11</f>
        <v>3A1h Swine</v>
      </c>
      <c r="D10" t="str">
        <f t="shared" si="4"/>
        <v>CH4</v>
      </c>
      <c r="E10" t="str">
        <f t="shared" si="5"/>
        <v>Gg CH4</v>
      </c>
      <c r="F10" s="29">
        <f>SUM(Emissions!H16:H17)</f>
        <v>1.9180695910937571</v>
      </c>
      <c r="G10" s="29">
        <f>SUM(Emissions!I16:I17)</f>
        <v>2.0955287855453451</v>
      </c>
      <c r="H10" s="29">
        <f>SUM(Emissions!J16:J17)</f>
        <v>2.0816844512264265</v>
      </c>
      <c r="I10" s="29">
        <f>SUM(Emissions!K16:K17)</f>
        <v>2.0804258753792526</v>
      </c>
      <c r="J10" s="29">
        <f>SUM(Emissions!L16:L17)</f>
        <v>1.9759640800637785</v>
      </c>
      <c r="K10" s="29">
        <f>SUM(Emissions!M16:M17)</f>
        <v>1.9948427177713943</v>
      </c>
      <c r="L10" s="29">
        <f>SUM(Emissions!N16:N17)</f>
        <v>2.148388971126669</v>
      </c>
      <c r="M10" s="29">
        <f>SUM(Emissions!O16:O17)</f>
        <v>2.1383203643492741</v>
      </c>
      <c r="N10" s="29">
        <f>SUM(Emissions!P16:P17)</f>
        <v>2.1848876706947262</v>
      </c>
      <c r="O10" s="29">
        <f>SUM(Emissions!Q16:Q17)</f>
        <v>2.240265007970399</v>
      </c>
      <c r="P10" s="29">
        <f>SUM(Emissions!R16:R17)</f>
        <v>2.0728744202962059</v>
      </c>
      <c r="Q10" s="29">
        <f>SUM(Emissions!S16:S17)</f>
        <v>2.1118902715586119</v>
      </c>
      <c r="R10" s="29">
        <f>SUM(Emissions!T16:T17)</f>
        <v>2.1521646986681922</v>
      </c>
      <c r="S10" s="29">
        <f>SUM(Emissions!U16:U17)</f>
        <v>2.0930116338509963</v>
      </c>
      <c r="T10" s="29">
        <f>SUM(Emissions!V16:V17)</f>
        <v>2.0930116338509963</v>
      </c>
      <c r="U10" s="29">
        <f>SUM(Emissions!W16:W17)</f>
        <v>2.0779087236849034</v>
      </c>
      <c r="V10" s="29">
        <f>SUM(Emissions!X16:X17)</f>
        <v>2.0414100241168467</v>
      </c>
      <c r="W10" s="29">
        <f>SUM(Emissions!Y16:Y17)</f>
        <v>2.0779087236849034</v>
      </c>
      <c r="X10" s="29">
        <f>SUM(Emissions!Z16:Z17)</f>
        <v>2.0325999931866261</v>
      </c>
      <c r="Y10" s="29">
        <f>SUM(Emissions!AA16:AA17)</f>
        <v>2.0300828414922774</v>
      </c>
      <c r="Z10" s="29">
        <f>SUM(Emissions!AB16:AB17)</f>
        <v>2.0061699003959639</v>
      </c>
      <c r="AA10" s="29">
        <f>SUM(Emissions!AC16:AC17)</f>
        <v>1.9935841419242202</v>
      </c>
      <c r="AB10" s="29">
        <f>SUM(Emissions!AD16:AD17)</f>
        <v>1.9872912626883481</v>
      </c>
      <c r="AC10" s="29">
        <f>SUM(Emissions!AE16:AE17)</f>
        <v>1.9809983834524763</v>
      </c>
      <c r="AD10" s="29">
        <f>SUM(Emissions!AF16:AF17)</f>
        <v>1.9658954732863838</v>
      </c>
      <c r="AE10" s="29">
        <f>SUM(Emissions!AG16:AG17)</f>
        <v>1.9168110152465827</v>
      </c>
      <c r="AF10" s="29">
        <f>SUM(Emissions!AH16:AH17)</f>
        <v>1.9029666809276646</v>
      </c>
      <c r="AG10" s="29">
        <f>SUM(Emissions!AI16:AI17)</f>
        <v>1.8639508296652587</v>
      </c>
      <c r="AH10" s="29">
        <f>SUM(Emissions!AJ16:AJ17)</f>
        <v>1.9409784109423889</v>
      </c>
      <c r="AI10" s="29">
        <f>SUM(Emissions!AK16:AK17)</f>
        <v>1.9381256384484811</v>
      </c>
      <c r="AJ10" s="29">
        <f>SUM(Emissions!AL16:AL17)</f>
        <v>1.9457965986971479</v>
      </c>
      <c r="AK10" s="29">
        <f>SUM(Emissions!AM16:AM17)</f>
        <v>1.9413511218208144</v>
      </c>
      <c r="AL10" s="29">
        <f>SUM(Emissions!AN16:AN17)</f>
        <v>1.9370126213243106</v>
      </c>
      <c r="AM10" s="29">
        <f>SUM(Emissions!AO16:AO17)</f>
        <v>1.9326501075649212</v>
      </c>
      <c r="AN10" s="29">
        <f>SUM(Emissions!AP16:AP17)</f>
        <v>1.9283796855271913</v>
      </c>
      <c r="AO10" s="29">
        <f>SUM(Emissions!AQ16:AQ17)</f>
        <v>1.9240024465439611</v>
      </c>
      <c r="AP10" s="29">
        <f>SUM(Emissions!AR16:AR17)</f>
        <v>1.9189891262335339</v>
      </c>
      <c r="AQ10" s="29">
        <f>SUM(Emissions!AS16:AS17)</f>
        <v>1.914004128000953</v>
      </c>
      <c r="AR10" s="29">
        <f>SUM(Emissions!AT16:AT17)</f>
        <v>1.9088745432716507</v>
      </c>
      <c r="AS10" s="29">
        <f>SUM(Emissions!AU16:AU17)</f>
        <v>1.9036375979175761</v>
      </c>
      <c r="AT10" s="29">
        <f>SUM(Emissions!AV16:AV17)</f>
        <v>1.8982834928595438</v>
      </c>
      <c r="AU10" s="29">
        <f>SUM(Emissions!AW16:AW17)</f>
        <v>1.8923064789455226</v>
      </c>
      <c r="AV10" s="29">
        <f>SUM(Emissions!AX16:AX17)</f>
        <v>1.8865220780866689</v>
      </c>
      <c r="AW10" s="29">
        <f>SUM(Emissions!AY16:AY17)</f>
        <v>1.8803032390870587</v>
      </c>
      <c r="AX10" s="29">
        <f>SUM(Emissions!AZ16:AZ17)</f>
        <v>1.8737806899862572</v>
      </c>
      <c r="AY10" s="29">
        <f>SUM(Emissions!BA16:BA17)</f>
        <v>1.866937992663396</v>
      </c>
      <c r="AZ10" s="29">
        <f>SUM(Emissions!BB16:BB17)</f>
        <v>1.8598753345063113</v>
      </c>
      <c r="BA10" s="29">
        <f>SUM(Emissions!BC16:BC17)</f>
        <v>1.852592468923518</v>
      </c>
      <c r="BB10" s="29">
        <f>SUM(Emissions!BD16:BD17)</f>
        <v>1.845227797210033</v>
      </c>
      <c r="BC10" s="29">
        <f>SUM(Emissions!BE16:BE17)</f>
        <v>1.8376408413038201</v>
      </c>
      <c r="BD10" s="29">
        <f>SUM(Emissions!BF16:BF17)</f>
        <v>1.8297072138439834</v>
      </c>
      <c r="BE10" s="29">
        <f>SUM(Emissions!BG16:BG17)</f>
        <v>1.8212530596638623</v>
      </c>
      <c r="BF10" s="29">
        <f>SUM(Emissions!BH16:BH17)</f>
        <v>1.812532776915698</v>
      </c>
      <c r="BG10" s="29">
        <f>SUM(Emissions!BI16:BI17)</f>
        <v>1.8035615363238218</v>
      </c>
      <c r="BH10" s="29">
        <f>SUM(Emissions!BJ16:BJ17)</f>
        <v>1.7943018912937303</v>
      </c>
      <c r="BI10" s="29">
        <f>SUM(Emissions!BK16:BK17)</f>
        <v>1.7846053757600131</v>
      </c>
      <c r="BJ10" s="29">
        <f>SUM(Emissions!BL16:BL17)</f>
        <v>1.7746159800301444</v>
      </c>
      <c r="BK10" s="29">
        <f>SUM(Emissions!BM16:BM17)</f>
        <v>1.7642499023001343</v>
      </c>
      <c r="BL10" s="29">
        <f>SUM(Emissions!BN16:BN17)</f>
        <v>1.7537893658292036</v>
      </c>
      <c r="BM10" s="29">
        <f>SUM(Emissions!BO16:BO17)</f>
        <v>1.7429180080039548</v>
      </c>
      <c r="BN10" s="29">
        <f>SUM(Emissions!BP16:BP17)</f>
        <v>1.7316015463227723</v>
      </c>
    </row>
    <row r="11" spans="1:72" s="48" customFormat="1" ht="15.75" x14ac:dyDescent="0.25">
      <c r="A11" s="48" t="str">
        <f>A18</f>
        <v>3A Livestock</v>
      </c>
      <c r="B11" s="48" t="str">
        <f>B18</f>
        <v>3A2 Manure management (CH4)</v>
      </c>
      <c r="C11" s="48" t="s">
        <v>152</v>
      </c>
      <c r="D11" s="48" t="str">
        <f>D18</f>
        <v>CH4</v>
      </c>
      <c r="E11" s="48" t="str">
        <f>E18</f>
        <v>Gg CH4</v>
      </c>
      <c r="F11" s="49">
        <f t="shared" ref="F11:AK11" si="6">SUM(F12:F18)</f>
        <v>31.717240444762641</v>
      </c>
      <c r="G11" s="49">
        <f t="shared" si="6"/>
        <v>34.863065191387641</v>
      </c>
      <c r="H11" s="49">
        <f t="shared" si="6"/>
        <v>33.360324284065669</v>
      </c>
      <c r="I11" s="49">
        <f t="shared" si="6"/>
        <v>33.926518562570628</v>
      </c>
      <c r="J11" s="49">
        <f t="shared" si="6"/>
        <v>32.087628121998627</v>
      </c>
      <c r="K11" s="49">
        <f t="shared" si="6"/>
        <v>33.035785132548178</v>
      </c>
      <c r="L11" s="49">
        <f t="shared" si="6"/>
        <v>35.00253661405641</v>
      </c>
      <c r="M11" s="49">
        <f t="shared" si="6"/>
        <v>34.610145930191955</v>
      </c>
      <c r="N11" s="49">
        <f t="shared" si="6"/>
        <v>35.192900214008944</v>
      </c>
      <c r="O11" s="49">
        <f t="shared" si="6"/>
        <v>35.787753318756899</v>
      </c>
      <c r="P11" s="49">
        <f t="shared" si="6"/>
        <v>36.315141923273671</v>
      </c>
      <c r="Q11" s="49">
        <f t="shared" si="6"/>
        <v>36.668444903527764</v>
      </c>
      <c r="R11" s="49">
        <f t="shared" si="6"/>
        <v>35.980097091073482</v>
      </c>
      <c r="S11" s="49">
        <f t="shared" si="6"/>
        <v>34.369115931437662</v>
      </c>
      <c r="T11" s="49">
        <f t="shared" si="6"/>
        <v>34.127373678995582</v>
      </c>
      <c r="U11" s="49">
        <f t="shared" si="6"/>
        <v>34.729684624820386</v>
      </c>
      <c r="V11" s="49">
        <f t="shared" si="6"/>
        <v>34.318570238323929</v>
      </c>
      <c r="W11" s="49">
        <f t="shared" si="6"/>
        <v>34.826859775255656</v>
      </c>
      <c r="X11" s="49">
        <f t="shared" si="6"/>
        <v>36.26492118459177</v>
      </c>
      <c r="Y11" s="49">
        <f t="shared" si="6"/>
        <v>36.352133478024271</v>
      </c>
      <c r="Z11" s="49">
        <f t="shared" si="6"/>
        <v>36.15489282072145</v>
      </c>
      <c r="AA11" s="49">
        <f t="shared" si="6"/>
        <v>35.781483348352424</v>
      </c>
      <c r="AB11" s="49">
        <f t="shared" si="6"/>
        <v>35.44691014993537</v>
      </c>
      <c r="AC11" s="49">
        <f t="shared" si="6"/>
        <v>36.086978834374378</v>
      </c>
      <c r="AD11" s="49">
        <f t="shared" si="6"/>
        <v>35.439183740054858</v>
      </c>
      <c r="AE11" s="49">
        <f t="shared" si="6"/>
        <v>35.111456856635911</v>
      </c>
      <c r="AF11" s="49">
        <f t="shared" si="6"/>
        <v>35.163187994531881</v>
      </c>
      <c r="AG11" s="49">
        <f t="shared" si="6"/>
        <v>35.478327343790795</v>
      </c>
      <c r="AH11" s="49">
        <f t="shared" si="6"/>
        <v>35.654896575585688</v>
      </c>
      <c r="AI11" s="49">
        <f t="shared" si="6"/>
        <v>35.722796351261152</v>
      </c>
      <c r="AJ11" s="49">
        <f t="shared" si="6"/>
        <v>35.828634292999972</v>
      </c>
      <c r="AK11" s="49">
        <f t="shared" si="6"/>
        <v>35.882126608064546</v>
      </c>
      <c r="AL11" s="49">
        <f t="shared" ref="AL11:BN11" si="7">SUM(AL12:AL18)</f>
        <v>35.93608956968427</v>
      </c>
      <c r="AM11" s="49">
        <f t="shared" si="7"/>
        <v>35.989946666299595</v>
      </c>
      <c r="AN11" s="49">
        <f t="shared" si="7"/>
        <v>36.044208929831214</v>
      </c>
      <c r="AO11" s="49">
        <f t="shared" si="7"/>
        <v>36.098000882182262</v>
      </c>
      <c r="AP11" s="49">
        <f t="shared" si="7"/>
        <v>36.155085450719511</v>
      </c>
      <c r="AQ11" s="49">
        <f t="shared" si="7"/>
        <v>36.212294462795008</v>
      </c>
      <c r="AR11" s="49">
        <f t="shared" si="7"/>
        <v>36.268866837374674</v>
      </c>
      <c r="AS11" s="49">
        <f t="shared" si="7"/>
        <v>36.324966414192239</v>
      </c>
      <c r="AT11" s="49">
        <f t="shared" si="7"/>
        <v>36.380550046918515</v>
      </c>
      <c r="AU11" s="49">
        <f t="shared" si="7"/>
        <v>36.430704275589029</v>
      </c>
      <c r="AV11" s="49">
        <f t="shared" si="7"/>
        <v>36.481706071673543</v>
      </c>
      <c r="AW11" s="49">
        <f t="shared" si="7"/>
        <v>36.530795206814773</v>
      </c>
      <c r="AX11" s="49">
        <f t="shared" si="7"/>
        <v>36.578547086901438</v>
      </c>
      <c r="AY11" s="49">
        <f t="shared" si="7"/>
        <v>36.624889312416357</v>
      </c>
      <c r="AZ11" s="49">
        <f t="shared" si="7"/>
        <v>36.673269048630516</v>
      </c>
      <c r="BA11" s="49">
        <f t="shared" si="7"/>
        <v>36.720679018396439</v>
      </c>
      <c r="BB11" s="49">
        <f t="shared" si="7"/>
        <v>36.767728472773022</v>
      </c>
      <c r="BC11" s="49">
        <f t="shared" si="7"/>
        <v>36.813798986615588</v>
      </c>
      <c r="BD11" s="49">
        <f t="shared" si="7"/>
        <v>36.858342940074849</v>
      </c>
      <c r="BE11" s="49">
        <f t="shared" si="7"/>
        <v>36.91184220896011</v>
      </c>
      <c r="BF11" s="49">
        <f t="shared" si="7"/>
        <v>36.964169395766383</v>
      </c>
      <c r="BG11" s="49">
        <f t="shared" si="7"/>
        <v>37.015391263448578</v>
      </c>
      <c r="BH11" s="49">
        <f t="shared" si="7"/>
        <v>37.065342924499774</v>
      </c>
      <c r="BI11" s="49">
        <f t="shared" si="7"/>
        <v>37.113370711114094</v>
      </c>
      <c r="BJ11" s="49">
        <f t="shared" si="7"/>
        <v>37.156906718339037</v>
      </c>
      <c r="BK11" s="49">
        <f t="shared" si="7"/>
        <v>37.198783762245107</v>
      </c>
      <c r="BL11" s="49">
        <f t="shared" si="7"/>
        <v>37.240244363899414</v>
      </c>
      <c r="BM11" s="49">
        <f t="shared" si="7"/>
        <v>37.279895643191921</v>
      </c>
      <c r="BN11" s="49">
        <f t="shared" si="7"/>
        <v>37.317586620369312</v>
      </c>
    </row>
    <row r="12" spans="1:72" x14ac:dyDescent="0.25">
      <c r="A12" t="str">
        <f>A10</f>
        <v>3A Livestock</v>
      </c>
      <c r="B12" t="str">
        <f>'IPCC Categories'!B12</f>
        <v>3A2 Manure management (CH4)</v>
      </c>
      <c r="C12" t="str">
        <f t="shared" ref="C12:C17" si="8">C5</f>
        <v>3A1a Cattle</v>
      </c>
      <c r="D12" t="str">
        <f>D10</f>
        <v>CH4</v>
      </c>
      <c r="E12" t="str">
        <f>E10</f>
        <v>Gg CH4</v>
      </c>
      <c r="F12" s="29">
        <f>SUM(Emissions!H18:H23)</f>
        <v>8.7557045663955044</v>
      </c>
      <c r="G12" s="29">
        <f>SUM(Emissions!I18:I23)</f>
        <v>9.9920566419603514</v>
      </c>
      <c r="H12" s="29">
        <f>SUM(Emissions!J18:J23)</f>
        <v>8.7193239278903327</v>
      </c>
      <c r="I12" s="29">
        <f>SUM(Emissions!K18:K23)</f>
        <v>9.2018052926292064</v>
      </c>
      <c r="J12" s="29">
        <f>SUM(Emissions!L18:L23)</f>
        <v>8.5526450494584783</v>
      </c>
      <c r="K12" s="29">
        <f>SUM(Emissions!M18:M23)</f>
        <v>9.1196828585210081</v>
      </c>
      <c r="L12" s="29">
        <f>SUM(Emissions!N18:N23)</f>
        <v>9.1638995934723386</v>
      </c>
      <c r="M12" s="29">
        <f>SUM(Emissions!O18:O23)</f>
        <v>8.8612424526108367</v>
      </c>
      <c r="N12" s="29">
        <f>SUM(Emissions!P18:P23)</f>
        <v>8.7507395670199486</v>
      </c>
      <c r="O12" s="29">
        <f>SUM(Emissions!Q18:Q23)</f>
        <v>8.6341639912710377</v>
      </c>
      <c r="P12" s="29">
        <f>SUM(Emissions!R18:R23)</f>
        <v>10.93272080161257</v>
      </c>
      <c r="Q12" s="29">
        <f>SUM(Emissions!S18:S23)</f>
        <v>10.893283590410016</v>
      </c>
      <c r="R12" s="29">
        <f>SUM(Emissions!T18:T23)</f>
        <v>9.5919113599354251</v>
      </c>
      <c r="S12" s="29">
        <f>SUM(Emissions!U18:U23)</f>
        <v>8.7471499570917572</v>
      </c>
      <c r="T12" s="29">
        <f>SUM(Emissions!V18:V23)</f>
        <v>8.4510791631677051</v>
      </c>
      <c r="U12" s="29">
        <f>SUM(Emissions!W18:W23)</f>
        <v>9.0165511460766972</v>
      </c>
      <c r="V12" s="29">
        <f>SUM(Emissions!X18:X23)</f>
        <v>8.8358791208883254</v>
      </c>
      <c r="W12" s="29">
        <f>SUM(Emissions!Y18:Y23)</f>
        <v>8.7897188206013865</v>
      </c>
      <c r="X12" s="29">
        <f>SUM(Emissions!Z18:Z23)</f>
        <v>10.591807286939806</v>
      </c>
      <c r="Y12" s="29">
        <f>SUM(Emissions!AA18:AA23)</f>
        <v>10.855190003831462</v>
      </c>
      <c r="Z12" s="29">
        <f>SUM(Emissions!AB18:AB23)</f>
        <v>10.85296403946187</v>
      </c>
      <c r="AA12" s="29">
        <f>SUM(Emissions!AC18:AC23)</f>
        <v>10.520960639506599</v>
      </c>
      <c r="AB12" s="29">
        <f>SUM(Emissions!AD18:AD23)</f>
        <v>10.185306001161665</v>
      </c>
      <c r="AC12" s="29">
        <f>SUM(Emissions!AE18:AE23)</f>
        <v>10.967837514094601</v>
      </c>
      <c r="AD12" s="29">
        <f>SUM(Emissions!AF18:AF23)</f>
        <v>10.394139058780793</v>
      </c>
      <c r="AE12" s="29">
        <f>SUM(Emissions!AG18:AG23)</f>
        <v>10.510727667564671</v>
      </c>
      <c r="AF12" s="29">
        <f>SUM(Emissions!AH18:AH23)</f>
        <v>10.8911783372392</v>
      </c>
      <c r="AG12" s="29">
        <f>SUM(Emissions!AI18:AI23)</f>
        <v>11.688738684828383</v>
      </c>
      <c r="AH12" s="29">
        <f>SUM(Emissions!AJ18:AJ23)</f>
        <v>10.703186289465011</v>
      </c>
      <c r="AI12" s="29">
        <f>SUM(Emissions!AK18:AK23)</f>
        <v>10.752564447285835</v>
      </c>
      <c r="AJ12" s="29">
        <f>SUM(Emissions!AL18:AL23)</f>
        <v>10.731232348269319</v>
      </c>
      <c r="AK12" s="29">
        <f>SUM(Emissions!AM18:AM23)</f>
        <v>10.781992908382252</v>
      </c>
      <c r="AL12" s="29">
        <f>SUM(Emissions!AN18:AN23)</f>
        <v>10.832119855605496</v>
      </c>
      <c r="AM12" s="29">
        <f>SUM(Emissions!AO18:AO23)</f>
        <v>10.882389031441102</v>
      </c>
      <c r="AN12" s="29">
        <f>SUM(Emissions!AP18:AP23)</f>
        <v>10.932112755463496</v>
      </c>
      <c r="AO12" s="29">
        <f>SUM(Emissions!AQ18:AQ23)</f>
        <v>10.982469148058957</v>
      </c>
      <c r="AP12" s="29">
        <f>SUM(Emissions!AR18:AR23)</f>
        <v>11.038630312778361</v>
      </c>
      <c r="AQ12" s="29">
        <f>SUM(Emissions!AS18:AS23)</f>
        <v>11.09462372812315</v>
      </c>
      <c r="AR12" s="29">
        <f>SUM(Emissions!AT18:AT23)</f>
        <v>11.151473517584765</v>
      </c>
      <c r="AS12" s="29">
        <f>SUM(Emissions!AU18:AU23)</f>
        <v>11.208959195336815</v>
      </c>
      <c r="AT12" s="29">
        <f>SUM(Emissions!AV18:AV23)</f>
        <v>11.267138800532159</v>
      </c>
      <c r="AU12" s="29">
        <f>SUM(Emissions!AW18:AW23)</f>
        <v>11.328109263316842</v>
      </c>
      <c r="AV12" s="29">
        <f>SUM(Emissions!AX18:AX23)</f>
        <v>11.387938894115493</v>
      </c>
      <c r="AW12" s="29">
        <f>SUM(Emissions!AY18:AY23)</f>
        <v>11.450341667308086</v>
      </c>
      <c r="AX12" s="29">
        <f>SUM(Emissions!AZ18:AZ23)</f>
        <v>11.514543290395883</v>
      </c>
      <c r="AY12" s="29">
        <f>SUM(Emissions!BA18:BA23)</f>
        <v>11.580641125489203</v>
      </c>
      <c r="AZ12" s="29">
        <f>SUM(Emissions!BB18:BB23)</f>
        <v>11.649047011891884</v>
      </c>
      <c r="BA12" s="29">
        <f>SUM(Emissions!BC18:BC23)</f>
        <v>11.718757169052795</v>
      </c>
      <c r="BB12" s="29">
        <f>SUM(Emissions!BD18:BD23)</f>
        <v>11.788951856853215</v>
      </c>
      <c r="BC12" s="29">
        <f>SUM(Emissions!BE18:BE23)</f>
        <v>11.860463116385763</v>
      </c>
      <c r="BD12" s="29">
        <f>SUM(Emissions!BF18:BF23)</f>
        <v>11.934027683469804</v>
      </c>
      <c r="BE12" s="29">
        <f>SUM(Emissions!BG18:BG23)</f>
        <v>12.014436309827287</v>
      </c>
      <c r="BF12" s="29">
        <f>SUM(Emissions!BH18:BH23)</f>
        <v>12.096421193701108</v>
      </c>
      <c r="BG12" s="29">
        <f>SUM(Emissions!BI18:BI23)</f>
        <v>12.179892481020905</v>
      </c>
      <c r="BH12" s="29">
        <f>SUM(Emissions!BJ18:BJ23)</f>
        <v>12.265071964483942</v>
      </c>
      <c r="BI12" s="29">
        <f>SUM(Emissions!BK18:BK23)</f>
        <v>12.352838996578358</v>
      </c>
      <c r="BJ12" s="29">
        <f>SUM(Emissions!BL18:BL23)</f>
        <v>12.441270073670895</v>
      </c>
      <c r="BK12" s="29">
        <f>SUM(Emissions!BM18:BM23)</f>
        <v>12.531932207760505</v>
      </c>
      <c r="BL12" s="29">
        <f>SUM(Emissions!BN18:BN23)</f>
        <v>12.623153813777767</v>
      </c>
      <c r="BM12" s="29">
        <f>SUM(Emissions!BO18:BO23)</f>
        <v>12.716808680972608</v>
      </c>
      <c r="BN12" s="29">
        <f>SUM(Emissions!BP18:BP23)</f>
        <v>12.813099862278122</v>
      </c>
    </row>
    <row r="13" spans="1:72" x14ac:dyDescent="0.25">
      <c r="A13" t="str">
        <f t="shared" si="2"/>
        <v>3A Livestock</v>
      </c>
      <c r="B13" t="str">
        <f>B12</f>
        <v>3A2 Manure management (CH4)</v>
      </c>
      <c r="C13" t="str">
        <f t="shared" si="8"/>
        <v>3A1c Sheep</v>
      </c>
      <c r="D13" t="str">
        <f t="shared" ref="D13:D18" si="9">D12</f>
        <v>CH4</v>
      </c>
      <c r="E13" t="str">
        <f t="shared" ref="E13:E18" si="10">E12</f>
        <v>Gg CH4</v>
      </c>
      <c r="F13" s="29">
        <f>SUM(Emissions!H24:H25)</f>
        <v>6.2894599121782607E-2</v>
      </c>
      <c r="G13" s="29">
        <f>SUM(Emissions!I24:I25)</f>
        <v>6.0066555504044758E-2</v>
      </c>
      <c r="H13" s="29">
        <f>SUM(Emissions!J24:J25)</f>
        <v>5.7584674495303009E-2</v>
      </c>
      <c r="I13" s="29">
        <f>SUM(Emissions!K24:K25)</f>
        <v>5.3854510138969261E-2</v>
      </c>
      <c r="J13" s="29">
        <f>SUM(Emissions!L24:L25)</f>
        <v>5.4234240031261954E-2</v>
      </c>
      <c r="K13" s="29">
        <f>SUM(Emissions!M24:M25)</f>
        <v>5.3457996605028271E-2</v>
      </c>
      <c r="L13" s="29">
        <f>SUM(Emissions!N24:N25)</f>
        <v>5.3636322797541415E-2</v>
      </c>
      <c r="M13" s="29">
        <f>SUM(Emissions!O24:O25)</f>
        <v>5.2469859702984858E-2</v>
      </c>
      <c r="N13" s="29">
        <f>SUM(Emissions!P24:P25)</f>
        <v>5.2614618612201423E-2</v>
      </c>
      <c r="O13" s="29">
        <f>SUM(Emissions!Q24:Q25)</f>
        <v>5.1322278205282637E-2</v>
      </c>
      <c r="P13" s="29">
        <f>SUM(Emissions!R24:R25)</f>
        <v>4.9482371489588214E-2</v>
      </c>
      <c r="Q13" s="29">
        <f>SUM(Emissions!S24:S25)</f>
        <v>4.8248773828438465E-2</v>
      </c>
      <c r="R13" s="29">
        <f>SUM(Emissions!T24:T25)</f>
        <v>4.7443159029320267E-2</v>
      </c>
      <c r="S13" s="29">
        <f>SUM(Emissions!U24:U25)</f>
        <v>4.7608897490597185E-2</v>
      </c>
      <c r="T13" s="29">
        <f>SUM(Emissions!V24:V25)</f>
        <v>4.6761323587358246E-2</v>
      </c>
      <c r="U13" s="29">
        <f>SUM(Emissions!W24:W25)</f>
        <v>4.6650131961438294E-2</v>
      </c>
      <c r="V13" s="29">
        <f>SUM(Emissions!X24:X25)</f>
        <v>4.6039626996481529E-2</v>
      </c>
      <c r="W13" s="29">
        <f>SUM(Emissions!Y24:Y25)</f>
        <v>4.5995569937154757E-2</v>
      </c>
      <c r="X13" s="29">
        <f>SUM(Emissions!Z24:Z25)</f>
        <v>4.6144524756783378E-2</v>
      </c>
      <c r="Y13" s="29">
        <f>SUM(Emissions!AA24:AA25)</f>
        <v>4.5980884250712492E-2</v>
      </c>
      <c r="Z13" s="29">
        <f>SUM(Emissions!AB24:AB25)</f>
        <v>4.5091351243352819E-2</v>
      </c>
      <c r="AA13" s="29">
        <f>SUM(Emissions!AC24:AC25)</f>
        <v>4.4738894768738595E-2</v>
      </c>
      <c r="AB13" s="29">
        <f>SUM(Emissions!AD24:AD25)</f>
        <v>4.4952886199754377E-2</v>
      </c>
      <c r="AC13" s="29">
        <f>SUM(Emissions!AE24:AE25)</f>
        <v>4.5292754943132361E-2</v>
      </c>
      <c r="AD13" s="29">
        <f>SUM(Emissions!AF24:AF25)</f>
        <v>4.4480846278396054E-2</v>
      </c>
      <c r="AE13" s="29">
        <f>SUM(Emissions!AG24:AG25)</f>
        <v>4.4126291848575798E-2</v>
      </c>
      <c r="AF13" s="29">
        <f>SUM(Emissions!AH24:AH25)</f>
        <v>4.2878008500983791E-2</v>
      </c>
      <c r="AG13" s="29">
        <f>SUM(Emissions!AI24:AI25)</f>
        <v>4.1837422718789458E-2</v>
      </c>
      <c r="AH13" s="29">
        <f>SUM(Emissions!AJ24:AJ25)</f>
        <v>4.4506505848316627E-2</v>
      </c>
      <c r="AI13" s="29">
        <f>SUM(Emissions!AK24:AK25)</f>
        <v>4.4367388605940625E-2</v>
      </c>
      <c r="AJ13" s="29">
        <f>SUM(Emissions!AL24:AL25)</f>
        <v>4.390535469546096E-2</v>
      </c>
      <c r="AK13" s="29">
        <f>SUM(Emissions!AM24:AM25)</f>
        <v>4.3812024692947822E-2</v>
      </c>
      <c r="AL13" s="29">
        <f>SUM(Emissions!AN24:AN25)</f>
        <v>4.3715412165843966E-2</v>
      </c>
      <c r="AM13" s="29">
        <f>SUM(Emissions!AO24:AO25)</f>
        <v>4.3619536476422235E-2</v>
      </c>
      <c r="AN13" s="29">
        <f>SUM(Emissions!AP24:AP25)</f>
        <v>4.3520834988147031E-2</v>
      </c>
      <c r="AO13" s="29">
        <f>SUM(Emissions!AQ24:AQ25)</f>
        <v>4.3425411132281808E-2</v>
      </c>
      <c r="AP13" s="29">
        <f>SUM(Emissions!AR24:AR25)</f>
        <v>4.333034673356579E-2</v>
      </c>
      <c r="AQ13" s="29">
        <f>SUM(Emissions!AS24:AS25)</f>
        <v>4.3234413282847439E-2</v>
      </c>
      <c r="AR13" s="29">
        <f>SUM(Emissions!AT24:AT25)</f>
        <v>4.3142916412847773E-2</v>
      </c>
      <c r="AS13" s="29">
        <f>SUM(Emissions!AU24:AU25)</f>
        <v>4.3054713862086799E-2</v>
      </c>
      <c r="AT13" s="29">
        <f>SUM(Emissions!AV24:AV25)</f>
        <v>4.297010631151859E-2</v>
      </c>
      <c r="AU13" s="29">
        <f>SUM(Emissions!AW24:AW25)</f>
        <v>4.2913062537847046E-2</v>
      </c>
      <c r="AV13" s="29">
        <f>SUM(Emissions!AX24:AX25)</f>
        <v>4.2850108511330559E-2</v>
      </c>
      <c r="AW13" s="29">
        <f>SUM(Emissions!AY24:AY25)</f>
        <v>4.2800485046860376E-2</v>
      </c>
      <c r="AX13" s="29">
        <f>SUM(Emissions!AZ24:AZ25)</f>
        <v>4.2760180813595672E-2</v>
      </c>
      <c r="AY13" s="29">
        <f>SUM(Emissions!BA24:BA25)</f>
        <v>4.2729700204675675E-2</v>
      </c>
      <c r="AZ13" s="29">
        <f>SUM(Emissions!BB24:BB25)</f>
        <v>4.2696515942527047E-2</v>
      </c>
      <c r="BA13" s="29">
        <f>SUM(Emissions!BC24:BC25)</f>
        <v>4.2670088660049135E-2</v>
      </c>
      <c r="BB13" s="29">
        <f>SUM(Emissions!BD24:BD25)</f>
        <v>4.2646171571285418E-2</v>
      </c>
      <c r="BC13" s="29">
        <f>SUM(Emissions!BE24:BE25)</f>
        <v>4.2629075182744405E-2</v>
      </c>
      <c r="BD13" s="29">
        <f>SUM(Emissions!BF24:BF25)</f>
        <v>4.2622616276716561E-2</v>
      </c>
      <c r="BE13" s="29">
        <f>SUM(Emissions!BG24:BG25)</f>
        <v>4.2596761710687367E-2</v>
      </c>
      <c r="BF13" s="29">
        <f>SUM(Emissions!BH24:BH25)</f>
        <v>4.2579073201057416E-2</v>
      </c>
      <c r="BG13" s="29">
        <f>SUM(Emissions!BI24:BI25)</f>
        <v>4.2569085231538212E-2</v>
      </c>
      <c r="BH13" s="29">
        <f>SUM(Emissions!BJ24:BJ25)</f>
        <v>4.2567946840636486E-2</v>
      </c>
      <c r="BI13" s="29">
        <f>SUM(Emissions!BK24:BK25)</f>
        <v>4.2580213652135337E-2</v>
      </c>
      <c r="BJ13" s="29">
        <f>SUM(Emissions!BL24:BL25)</f>
        <v>4.2611535637072956E-2</v>
      </c>
      <c r="BK13" s="29">
        <f>SUM(Emissions!BM24:BM25)</f>
        <v>4.2654415963465649E-2</v>
      </c>
      <c r="BL13" s="29">
        <f>SUM(Emissions!BN24:BN25)</f>
        <v>4.2700194715541546E-2</v>
      </c>
      <c r="BM13" s="29">
        <f>SUM(Emissions!BO24:BO25)</f>
        <v>4.2758579366189216E-2</v>
      </c>
      <c r="BN13" s="29">
        <f>SUM(Emissions!BP24:BP25)</f>
        <v>4.2830621856467931E-2</v>
      </c>
    </row>
    <row r="14" spans="1:72" x14ac:dyDescent="0.25">
      <c r="A14" t="str">
        <f t="shared" si="2"/>
        <v>3A Livestock</v>
      </c>
      <c r="B14" t="str">
        <f t="shared" ref="B14:B18" si="11">B13</f>
        <v>3A2 Manure management (CH4)</v>
      </c>
      <c r="C14" t="str">
        <f t="shared" si="8"/>
        <v>3A1d Goats</v>
      </c>
      <c r="D14" t="str">
        <f t="shared" si="9"/>
        <v>CH4</v>
      </c>
      <c r="E14" t="str">
        <f t="shared" si="10"/>
        <v>Gg CH4</v>
      </c>
      <c r="F14" s="29">
        <f>SUM(Emissions!H26:H27)</f>
        <v>5.7474022342600642E-2</v>
      </c>
      <c r="G14" s="29">
        <f>SUM(Emissions!I26:I27)</f>
        <v>5.0823279310165601E-2</v>
      </c>
      <c r="H14" s="29">
        <f>SUM(Emissions!J26:J27)</f>
        <v>4.7342516601601464E-2</v>
      </c>
      <c r="I14" s="29">
        <f>SUM(Emissions!K26:K27)</f>
        <v>4.4731944570178372E-2</v>
      </c>
      <c r="J14" s="29">
        <f>SUM(Emissions!L26:L27)</f>
        <v>4.8419895535204649E-2</v>
      </c>
      <c r="K14" s="29">
        <f>SUM(Emissions!M26:M27)</f>
        <v>4.9082897955883539E-2</v>
      </c>
      <c r="L14" s="29">
        <f>SUM(Emissions!N26:N27)</f>
        <v>4.9849494504793493E-2</v>
      </c>
      <c r="M14" s="29">
        <f>SUM(Emissions!O26:O27)</f>
        <v>4.9600868597038911E-2</v>
      </c>
      <c r="N14" s="29">
        <f>SUM(Emissions!P26:P27)</f>
        <v>4.8896428525067599E-2</v>
      </c>
      <c r="O14" s="29">
        <f>SUM(Emissions!Q26:Q27)</f>
        <v>4.8171269627450081E-2</v>
      </c>
      <c r="P14" s="29">
        <f>SUM(Emissions!R26:R27)</f>
        <v>4.8792834396836522E-2</v>
      </c>
      <c r="Q14" s="29">
        <f>SUM(Emissions!S26:S27)</f>
        <v>5.0284589843364008E-2</v>
      </c>
      <c r="R14" s="29">
        <f>SUM(Emissions!T26:T27)</f>
        <v>4.5912917632012634E-2</v>
      </c>
      <c r="S14" s="29">
        <f>SUM(Emissions!U26:U27)</f>
        <v>4.475266339582458E-2</v>
      </c>
      <c r="T14" s="29">
        <f>SUM(Emissions!V26:V27)</f>
        <v>4.4835538698409449E-2</v>
      </c>
      <c r="U14" s="29">
        <f>SUM(Emissions!W26:W27)</f>
        <v>4.4255411580315415E-2</v>
      </c>
      <c r="V14" s="29">
        <f>SUM(Emissions!X26:X27)</f>
        <v>4.5187758734395102E-2</v>
      </c>
      <c r="W14" s="29">
        <f>SUM(Emissions!Y26:Y27)</f>
        <v>4.3841035067391121E-2</v>
      </c>
      <c r="X14" s="29">
        <f>SUM(Emissions!Z26:Z27)</f>
        <v>4.3799597416098693E-2</v>
      </c>
      <c r="Y14" s="29">
        <f>SUM(Emissions!AA26:AA27)</f>
        <v>4.3033000867188732E-2</v>
      </c>
      <c r="Z14" s="29">
        <f>SUM(Emissions!AB26:AB27)</f>
        <v>4.2515030226033354E-2</v>
      </c>
      <c r="AA14" s="29">
        <f>SUM(Emissions!AC26:AC27)</f>
        <v>4.2121372538755267E-2</v>
      </c>
      <c r="AB14" s="29">
        <f>SUM(Emissions!AD26:AD27)</f>
        <v>4.201777841052419E-2</v>
      </c>
      <c r="AC14" s="29">
        <f>SUM(Emissions!AE26:AE27)</f>
        <v>4.1541245420661246E-2</v>
      </c>
      <c r="AD14" s="29">
        <f>SUM(Emissions!AF26:AF27)</f>
        <v>4.1168306559029373E-2</v>
      </c>
      <c r="AE14" s="29">
        <f>SUM(Emissions!AG26:AG27)</f>
        <v>4.0608898266581567E-2</v>
      </c>
      <c r="AF14" s="29">
        <f>SUM(Emissions!AH26:AH27)</f>
        <v>3.9386487553454877E-2</v>
      </c>
      <c r="AG14" s="29">
        <f>SUM(Emissions!AI26:AI27)</f>
        <v>3.8184795665974401E-2</v>
      </c>
      <c r="AH14" s="29">
        <f>SUM(Emissions!AJ26:AJ27)</f>
        <v>4.062022211915424E-2</v>
      </c>
      <c r="AI14" s="29">
        <f>SUM(Emissions!AK26:AK27)</f>
        <v>4.0308194764369303E-2</v>
      </c>
      <c r="AJ14" s="29">
        <f>SUM(Emissions!AL26:AL27)</f>
        <v>3.9997741102632711E-2</v>
      </c>
      <c r="AK14" s="29">
        <f>SUM(Emissions!AM26:AM27)</f>
        <v>3.9681235346364988E-2</v>
      </c>
      <c r="AL14" s="29">
        <f>SUM(Emissions!AN26:AN27)</f>
        <v>3.9364745592911282E-2</v>
      </c>
      <c r="AM14" s="29">
        <f>SUM(Emissions!AO26:AO27)</f>
        <v>3.9048252248573459E-2</v>
      </c>
      <c r="AN14" s="29">
        <f>SUM(Emissions!AP26:AP27)</f>
        <v>3.8731772675404633E-2</v>
      </c>
      <c r="AO14" s="29">
        <f>SUM(Emissions!AQ26:AQ27)</f>
        <v>3.8415277123263217E-2</v>
      </c>
      <c r="AP14" s="29">
        <f>SUM(Emissions!AR26:AR27)</f>
        <v>3.8072347617613009E-2</v>
      </c>
      <c r="AQ14" s="29">
        <f>SUM(Emissions!AS26:AS27)</f>
        <v>3.7729422347176508E-2</v>
      </c>
      <c r="AR14" s="29">
        <f>SUM(Emissions!AT26:AT27)</f>
        <v>3.7386475455631771E-2</v>
      </c>
      <c r="AS14" s="29">
        <f>SUM(Emissions!AU26:AU27)</f>
        <v>3.7043512509643883E-2</v>
      </c>
      <c r="AT14" s="29">
        <f>SUM(Emissions!AV26:AV27)</f>
        <v>3.6700532043882725E-2</v>
      </c>
      <c r="AU14" s="29">
        <f>SUM(Emissions!AW26:AW27)</f>
        <v>3.6369075481525535E-2</v>
      </c>
      <c r="AV14" s="29">
        <f>SUM(Emissions!AX26:AX27)</f>
        <v>3.6037647727879658E-2</v>
      </c>
      <c r="AW14" s="29">
        <f>SUM(Emissions!AY26:AY27)</f>
        <v>3.5706155003595384E-2</v>
      </c>
      <c r="AX14" s="29">
        <f>SUM(Emissions!AZ26:AZ27)</f>
        <v>3.5374616869081291E-2</v>
      </c>
      <c r="AY14" s="29">
        <f>SUM(Emissions!BA26:BA27)</f>
        <v>3.5043030860391386E-2</v>
      </c>
      <c r="AZ14" s="29">
        <f>SUM(Emissions!BB26:BB27)</f>
        <v>3.4698415984733805E-2</v>
      </c>
      <c r="BA14" s="29">
        <f>SUM(Emissions!BC26:BC27)</f>
        <v>3.4353768179800709E-2</v>
      </c>
      <c r="BB14" s="29">
        <f>SUM(Emissions!BD26:BD27)</f>
        <v>3.4009108147610448E-2</v>
      </c>
      <c r="BC14" s="29">
        <f>SUM(Emissions!BE26:BE27)</f>
        <v>3.3664414869760115E-2</v>
      </c>
      <c r="BD14" s="29">
        <f>SUM(Emissions!BF26:BF27)</f>
        <v>3.3319669751500358E-2</v>
      </c>
      <c r="BE14" s="29">
        <f>SUM(Emissions!BG26:BG27)</f>
        <v>3.2926223492578566E-2</v>
      </c>
      <c r="BF14" s="29">
        <f>SUM(Emissions!BH26:BH27)</f>
        <v>3.2532737443276775E-2</v>
      </c>
      <c r="BG14" s="29">
        <f>SUM(Emissions!BI26:BI27)</f>
        <v>3.2139213860527836E-2</v>
      </c>
      <c r="BH14" s="29">
        <f>SUM(Emissions!BJ26:BJ27)</f>
        <v>3.1745647150490261E-2</v>
      </c>
      <c r="BI14" s="29">
        <f>SUM(Emissions!BK26:BK27)</f>
        <v>3.1352015111914676E-2</v>
      </c>
      <c r="BJ14" s="29">
        <f>SUM(Emissions!BL26:BL27)</f>
        <v>3.09721810101403E-2</v>
      </c>
      <c r="BK14" s="29">
        <f>SUM(Emissions!BM26:BM27)</f>
        <v>3.0592290580268338E-2</v>
      </c>
      <c r="BL14" s="29">
        <f>SUM(Emissions!BN26:BN27)</f>
        <v>3.0212386019439211E-2</v>
      </c>
      <c r="BM14" s="29">
        <f>SUM(Emissions!BO26:BO27)</f>
        <v>2.9832420031227561E-2</v>
      </c>
      <c r="BN14" s="29">
        <f>SUM(Emissions!BP26:BP27)</f>
        <v>2.9452387483282678E-2</v>
      </c>
    </row>
    <row r="15" spans="1:72" x14ac:dyDescent="0.25">
      <c r="A15" t="str">
        <f t="shared" si="2"/>
        <v>3A Livestock</v>
      </c>
      <c r="B15" t="str">
        <f t="shared" si="11"/>
        <v>3A2 Manure management (CH4)</v>
      </c>
      <c r="C15" t="str">
        <f t="shared" si="8"/>
        <v>3A1f Horses</v>
      </c>
      <c r="D15" t="str">
        <f t="shared" si="9"/>
        <v>CH4</v>
      </c>
      <c r="E15" t="str">
        <f t="shared" si="10"/>
        <v>Gg CH4</v>
      </c>
      <c r="F15" s="29">
        <f>Emissions!H28</f>
        <v>3.0819999999999997E-3</v>
      </c>
      <c r="G15" s="29">
        <f>Emissions!I28</f>
        <v>3.0819999999999997E-3</v>
      </c>
      <c r="H15" s="29">
        <f>Emissions!J28</f>
        <v>3.0819999999999997E-3</v>
      </c>
      <c r="I15" s="29">
        <f>Emissions!K28</f>
        <v>3.1489999999999999E-3</v>
      </c>
      <c r="J15" s="29">
        <f>Emissions!L28</f>
        <v>3.2159999999999997E-3</v>
      </c>
      <c r="K15" s="29">
        <f>Emissions!M28</f>
        <v>3.2829999999999999E-3</v>
      </c>
      <c r="L15" s="29">
        <f>Emissions!N28</f>
        <v>3.3499999999999997E-3</v>
      </c>
      <c r="M15" s="29">
        <f>Emissions!O28</f>
        <v>3.4169999999999999E-3</v>
      </c>
      <c r="N15" s="29">
        <f>Emissions!P28</f>
        <v>3.4839999999999997E-3</v>
      </c>
      <c r="O15" s="29">
        <f>Emissions!Q28</f>
        <v>3.4572000000000001E-3</v>
      </c>
      <c r="P15" s="29">
        <f>Emissions!R28</f>
        <v>3.6179999999999997E-3</v>
      </c>
      <c r="Q15" s="29">
        <f>Emissions!S28</f>
        <v>3.6179999999999997E-3</v>
      </c>
      <c r="R15" s="29">
        <f>Emissions!T28</f>
        <v>3.6179999999999997E-3</v>
      </c>
      <c r="S15" s="29">
        <f>Emissions!U28</f>
        <v>3.6179999999999997E-3</v>
      </c>
      <c r="T15" s="29">
        <f>Emissions!V28</f>
        <v>3.6179999999999997E-3</v>
      </c>
      <c r="U15" s="29">
        <f>Emissions!W28</f>
        <v>3.6179999999999997E-3</v>
      </c>
      <c r="V15" s="29">
        <f>Emissions!X28</f>
        <v>3.7519999999999997E-3</v>
      </c>
      <c r="W15" s="29">
        <f>Emissions!Y28</f>
        <v>3.8859999999999997E-3</v>
      </c>
      <c r="X15" s="29">
        <f>Emissions!Z28</f>
        <v>3.9931999999999997E-3</v>
      </c>
      <c r="Y15" s="29">
        <f>Emissions!AA28</f>
        <v>4.0200000000000001E-3</v>
      </c>
      <c r="Z15" s="29">
        <f>Emissions!AB28</f>
        <v>4.0200000000000001E-3</v>
      </c>
      <c r="AA15" s="29">
        <f>Emissions!AC28</f>
        <v>4.0869999999999995E-3</v>
      </c>
      <c r="AB15" s="29">
        <f>Emissions!AD28</f>
        <v>4.1271999999999993E-3</v>
      </c>
      <c r="AC15" s="29">
        <f>Emissions!AE28</f>
        <v>4.1539999999999997E-3</v>
      </c>
      <c r="AD15" s="29">
        <f>Emissions!AF28</f>
        <v>4.1808000000000001E-3</v>
      </c>
      <c r="AE15" s="29">
        <f>Emissions!AG28</f>
        <v>4.218655E-3</v>
      </c>
      <c r="AF15" s="29">
        <f>Emissions!AH28</f>
        <v>4.2995239999999999E-3</v>
      </c>
      <c r="AG15" s="29">
        <f>Emissions!AI28</f>
        <v>4.3251314000000004E-3</v>
      </c>
      <c r="AH15" s="29">
        <f>Emissions!AJ28</f>
        <v>4.2540738433816429E-3</v>
      </c>
      <c r="AI15" s="29">
        <f>Emissions!AK28</f>
        <v>4.2532428937814039E-3</v>
      </c>
      <c r="AJ15" s="29">
        <f>Emissions!AL28</f>
        <v>4.1811077611930035E-3</v>
      </c>
      <c r="AK15" s="29">
        <f>Emissions!AM28</f>
        <v>4.1913981156021631E-3</v>
      </c>
      <c r="AL15" s="29">
        <f>Emissions!AN28</f>
        <v>4.200785549531935E-3</v>
      </c>
      <c r="AM15" s="29">
        <f>Emissions!AO28</f>
        <v>4.2101582044255757E-3</v>
      </c>
      <c r="AN15" s="29">
        <f>Emissions!AP28</f>
        <v>4.218758377150072E-3</v>
      </c>
      <c r="AO15" s="29">
        <f>Emissions!AQ28</f>
        <v>4.2278940599515275E-3</v>
      </c>
      <c r="AP15" s="29">
        <f>Emissions!AR28</f>
        <v>4.239343607155885E-3</v>
      </c>
      <c r="AQ15" s="29">
        <f>Emissions!AS28</f>
        <v>4.2503932535242856E-3</v>
      </c>
      <c r="AR15" s="29">
        <f>Emissions!AT28</f>
        <v>4.262141251941156E-3</v>
      </c>
      <c r="AS15" s="29">
        <f>Emissions!AU28</f>
        <v>4.2743360606829683E-3</v>
      </c>
      <c r="AT15" s="29">
        <f>Emissions!AV28</f>
        <v>4.2870255947122793E-3</v>
      </c>
      <c r="AU15" s="29">
        <f>Emissions!AW28</f>
        <v>4.303980036903382E-3</v>
      </c>
      <c r="AV15" s="29">
        <f>Emissions!AX28</f>
        <v>4.3194667993480089E-3</v>
      </c>
      <c r="AW15" s="29">
        <f>Emissions!AY28</f>
        <v>4.33729029837235E-3</v>
      </c>
      <c r="AX15" s="29">
        <f>Emissions!AZ28</f>
        <v>4.3566112147277528E-3</v>
      </c>
      <c r="AY15" s="29">
        <f>Emissions!BA28</f>
        <v>4.3774877565870797E-3</v>
      </c>
      <c r="AZ15" s="29">
        <f>Emissions!BB28</f>
        <v>4.3985192958913028E-3</v>
      </c>
      <c r="BA15" s="29">
        <f>Emissions!BC28</f>
        <v>4.4204565420997814E-3</v>
      </c>
      <c r="BB15" s="29">
        <f>Emissions!BD28</f>
        <v>4.4424803630742265E-3</v>
      </c>
      <c r="BC15" s="29">
        <f>Emissions!BE28</f>
        <v>4.465388824735763E-3</v>
      </c>
      <c r="BD15" s="29">
        <f>Emissions!BF28</f>
        <v>4.4898616836185502E-3</v>
      </c>
      <c r="BE15" s="29">
        <f>Emissions!BG28</f>
        <v>4.5139202354912422E-3</v>
      </c>
      <c r="BF15" s="29">
        <f>Emissions!BH28</f>
        <v>4.5389901537551108E-3</v>
      </c>
      <c r="BG15" s="29">
        <f>Emissions!BI28</f>
        <v>4.5649592926852688E-3</v>
      </c>
      <c r="BH15" s="29">
        <f>Emissions!BJ28</f>
        <v>4.5920057125305282E-3</v>
      </c>
      <c r="BI15" s="29">
        <f>Emissions!BK28</f>
        <v>4.620898555762038E-3</v>
      </c>
      <c r="BJ15" s="29">
        <f>Emissions!BL28</f>
        <v>4.6516531708545089E-3</v>
      </c>
      <c r="BK15" s="29">
        <f>Emissions!BM28</f>
        <v>4.6838549991032805E-3</v>
      </c>
      <c r="BL15" s="29">
        <f>Emissions!BN28</f>
        <v>4.7159864226644036E-3</v>
      </c>
      <c r="BM15" s="29">
        <f>Emissions!BO28</f>
        <v>4.749693300984072E-3</v>
      </c>
      <c r="BN15" s="29">
        <f>Emissions!BP28</f>
        <v>4.7851114600101947E-3</v>
      </c>
    </row>
    <row r="16" spans="1:72" x14ac:dyDescent="0.25">
      <c r="A16" t="str">
        <f t="shared" si="2"/>
        <v>3A Livestock</v>
      </c>
      <c r="B16" t="str">
        <f t="shared" si="11"/>
        <v>3A2 Manure management (CH4)</v>
      </c>
      <c r="C16" t="str">
        <f t="shared" si="8"/>
        <v>3A1g Mules &amp; asses</v>
      </c>
      <c r="D16" t="str">
        <f t="shared" si="9"/>
        <v>CH4</v>
      </c>
      <c r="E16" t="str">
        <f t="shared" si="10"/>
        <v>Gg CH4</v>
      </c>
      <c r="F16" s="29">
        <f>Emissions!H29</f>
        <v>1.0079999999999998E-3</v>
      </c>
      <c r="G16" s="29">
        <f>Emissions!I29</f>
        <v>1.0079999999999998E-3</v>
      </c>
      <c r="H16" s="29">
        <f>Emissions!J29</f>
        <v>1.0079999999999998E-3</v>
      </c>
      <c r="I16" s="29">
        <f>Emissions!K29</f>
        <v>1.0079999999999998E-3</v>
      </c>
      <c r="J16" s="29">
        <f>Emissions!L29</f>
        <v>1.0079999999999998E-3</v>
      </c>
      <c r="K16" s="29">
        <f>Emissions!M29</f>
        <v>1.0079999999999998E-3</v>
      </c>
      <c r="L16" s="29">
        <f>Emissions!N29</f>
        <v>1.0079999999999998E-3</v>
      </c>
      <c r="M16" s="29">
        <f>Emissions!O29</f>
        <v>1.0079999999999998E-3</v>
      </c>
      <c r="N16" s="29">
        <f>Emissions!P29</f>
        <v>1.0079999999999998E-3</v>
      </c>
      <c r="O16" s="29">
        <f>Emissions!Q29</f>
        <v>1.0079999999999998E-3</v>
      </c>
      <c r="P16" s="29">
        <f>Emissions!R29</f>
        <v>7.3799999999999994E-4</v>
      </c>
      <c r="Q16" s="29">
        <f>Emissions!S29</f>
        <v>7.3799999999999994E-4</v>
      </c>
      <c r="R16" s="29">
        <f>Emissions!T29</f>
        <v>7.3799999999999994E-4</v>
      </c>
      <c r="S16" s="29">
        <f>Emissions!U29</f>
        <v>7.3799999999999994E-4</v>
      </c>
      <c r="T16" s="29">
        <f>Emissions!V29</f>
        <v>7.3799999999999994E-4</v>
      </c>
      <c r="U16" s="29">
        <f>Emissions!W29</f>
        <v>7.3799999999999994E-4</v>
      </c>
      <c r="V16" s="29">
        <f>Emissions!X29</f>
        <v>7.3822499999999991E-4</v>
      </c>
      <c r="W16" s="29">
        <f>Emissions!Y29</f>
        <v>7.4069999999999995E-4</v>
      </c>
      <c r="X16" s="29">
        <f>Emissions!Z29</f>
        <v>7.4114999999999999E-4</v>
      </c>
      <c r="Y16" s="29">
        <f>Emissions!AA29</f>
        <v>7.4159999999999992E-4</v>
      </c>
      <c r="Z16" s="29">
        <f>Emissions!AB29</f>
        <v>7.4834999999999984E-4</v>
      </c>
      <c r="AA16" s="29">
        <f>Emissions!AC29</f>
        <v>7.515E-4</v>
      </c>
      <c r="AB16" s="29">
        <f>Emissions!AD29</f>
        <v>7.515E-4</v>
      </c>
      <c r="AC16" s="29">
        <f>Emissions!AE29</f>
        <v>7.6724999999999981E-4</v>
      </c>
      <c r="AD16" s="29">
        <f>Emissions!AF29</f>
        <v>7.6949999999999989E-4</v>
      </c>
      <c r="AE16" s="29">
        <f>Emissions!AG29</f>
        <v>7.6063049999999994E-4</v>
      </c>
      <c r="AF16" s="29">
        <f>Emissions!AH29</f>
        <v>7.2840599999999991E-4</v>
      </c>
      <c r="AG16" s="29">
        <f>Emissions!AI29</f>
        <v>7.3268999999999993E-4</v>
      </c>
      <c r="AH16" s="29">
        <f>Emissions!AJ29</f>
        <v>7.1999999999999994E-4</v>
      </c>
      <c r="AI16" s="29">
        <f>Emissions!AK29</f>
        <v>7.1999999999999994E-4</v>
      </c>
      <c r="AJ16" s="29">
        <f>Emissions!AL29</f>
        <v>7.1999999999999994E-4</v>
      </c>
      <c r="AK16" s="29">
        <f>Emissions!AM29</f>
        <v>7.1999999999999994E-4</v>
      </c>
      <c r="AL16" s="29">
        <f>Emissions!AN29</f>
        <v>7.1999999999999994E-4</v>
      </c>
      <c r="AM16" s="29">
        <f>Emissions!AO29</f>
        <v>7.1999999999999994E-4</v>
      </c>
      <c r="AN16" s="29">
        <f>Emissions!AP29</f>
        <v>7.1999999999999994E-4</v>
      </c>
      <c r="AO16" s="29">
        <f>Emissions!AQ29</f>
        <v>7.1999999999999994E-4</v>
      </c>
      <c r="AP16" s="29">
        <f>Emissions!AR29</f>
        <v>7.1999999999999994E-4</v>
      </c>
      <c r="AQ16" s="29">
        <f>Emissions!AS29</f>
        <v>7.1999999999999994E-4</v>
      </c>
      <c r="AR16" s="29">
        <f>Emissions!AT29</f>
        <v>7.1999999999999994E-4</v>
      </c>
      <c r="AS16" s="29">
        <f>Emissions!AU29</f>
        <v>7.1999999999999994E-4</v>
      </c>
      <c r="AT16" s="29">
        <f>Emissions!AV29</f>
        <v>7.1999999999999994E-4</v>
      </c>
      <c r="AU16" s="29">
        <f>Emissions!AW29</f>
        <v>7.1999999999999994E-4</v>
      </c>
      <c r="AV16" s="29">
        <f>Emissions!AX29</f>
        <v>7.1999999999999994E-4</v>
      </c>
      <c r="AW16" s="29">
        <f>Emissions!AY29</f>
        <v>7.1999999999999994E-4</v>
      </c>
      <c r="AX16" s="29">
        <f>Emissions!AZ29</f>
        <v>7.1999999999999994E-4</v>
      </c>
      <c r="AY16" s="29">
        <f>Emissions!BA29</f>
        <v>7.1999999999999994E-4</v>
      </c>
      <c r="AZ16" s="29">
        <f>Emissions!BB29</f>
        <v>7.1999999999999994E-4</v>
      </c>
      <c r="BA16" s="29">
        <f>Emissions!BC29</f>
        <v>7.1999999999999994E-4</v>
      </c>
      <c r="BB16" s="29">
        <f>Emissions!BD29</f>
        <v>7.1999999999999994E-4</v>
      </c>
      <c r="BC16" s="29">
        <f>Emissions!BE29</f>
        <v>7.1999999999999994E-4</v>
      </c>
      <c r="BD16" s="29">
        <f>Emissions!BF29</f>
        <v>7.1999999999999994E-4</v>
      </c>
      <c r="BE16" s="29">
        <f>Emissions!BG29</f>
        <v>7.1999999999999994E-4</v>
      </c>
      <c r="BF16" s="29">
        <f>Emissions!BH29</f>
        <v>7.1999999999999994E-4</v>
      </c>
      <c r="BG16" s="29">
        <f>Emissions!BI29</f>
        <v>7.1999999999999994E-4</v>
      </c>
      <c r="BH16" s="29">
        <f>Emissions!BJ29</f>
        <v>7.1999999999999994E-4</v>
      </c>
      <c r="BI16" s="29">
        <f>Emissions!BK29</f>
        <v>7.1999999999999994E-4</v>
      </c>
      <c r="BJ16" s="29">
        <f>Emissions!BL29</f>
        <v>7.1999999999999994E-4</v>
      </c>
      <c r="BK16" s="29">
        <f>Emissions!BM29</f>
        <v>7.1999999999999994E-4</v>
      </c>
      <c r="BL16" s="29">
        <f>Emissions!BN29</f>
        <v>7.1999999999999994E-4</v>
      </c>
      <c r="BM16" s="29">
        <f>Emissions!BO29</f>
        <v>7.1999999999999994E-4</v>
      </c>
      <c r="BN16" s="29">
        <f>Emissions!BP29</f>
        <v>7.1999999999999994E-4</v>
      </c>
    </row>
    <row r="17" spans="1:66" x14ac:dyDescent="0.25">
      <c r="A17" t="str">
        <f t="shared" si="2"/>
        <v>3A Livestock</v>
      </c>
      <c r="B17" t="str">
        <f t="shared" si="11"/>
        <v>3A2 Manure management (CH4)</v>
      </c>
      <c r="C17" t="str">
        <f t="shared" si="8"/>
        <v>3A1h Swine</v>
      </c>
      <c r="D17" t="str">
        <f t="shared" si="9"/>
        <v>CH4</v>
      </c>
      <c r="E17" t="str">
        <f t="shared" si="10"/>
        <v>Gg CH4</v>
      </c>
      <c r="F17" s="29">
        <f>SUM(Emissions!H30:H31)</f>
        <v>21.491561588124931</v>
      </c>
      <c r="G17" s="29">
        <f>SUM(Emissions!I30:I31)</f>
        <v>23.479954097262475</v>
      </c>
      <c r="H17" s="29">
        <f>SUM(Emissions!J30:J31)</f>
        <v>23.324831277400676</v>
      </c>
      <c r="I17" s="29">
        <f>SUM(Emissions!K30:K31)</f>
        <v>23.310729202867787</v>
      </c>
      <c r="J17" s="29">
        <f>SUM(Emissions!L30:L31)</f>
        <v>22.140257016637882</v>
      </c>
      <c r="K17" s="29">
        <f>SUM(Emissions!M30:M31)</f>
        <v>22.351788134631242</v>
      </c>
      <c r="L17" s="29">
        <f>SUM(Emissions!N30:N31)</f>
        <v>24.072241227643865</v>
      </c>
      <c r="M17" s="29">
        <f>SUM(Emissions!O30:O31)</f>
        <v>23.959424631380745</v>
      </c>
      <c r="N17" s="29">
        <f>SUM(Emissions!P30:P31)</f>
        <v>24.481201389097684</v>
      </c>
      <c r="O17" s="29">
        <f>SUM(Emissions!Q30:Q31)</f>
        <v>25.101692668544864</v>
      </c>
      <c r="P17" s="29">
        <f>SUM(Emissions!R30:R31)</f>
        <v>23.22611675567045</v>
      </c>
      <c r="Q17" s="29">
        <f>SUM(Emissions!S30:S31)</f>
        <v>23.663281066190045</v>
      </c>
      <c r="R17" s="29">
        <f>SUM(Emissions!T30:T31)</f>
        <v>24.11454745124254</v>
      </c>
      <c r="S17" s="29">
        <f>SUM(Emissions!U30:U31)</f>
        <v>23.451749948196689</v>
      </c>
      <c r="T17" s="29">
        <f>SUM(Emissions!V30:V31)</f>
        <v>23.451749948196689</v>
      </c>
      <c r="U17" s="29">
        <f>SUM(Emissions!W30:W31)</f>
        <v>23.282525053802008</v>
      </c>
      <c r="V17" s="29">
        <f>SUM(Emissions!X30:X31)</f>
        <v>22.873564892348188</v>
      </c>
      <c r="W17" s="29">
        <f>SUM(Emissions!Y30:Y31)</f>
        <v>23.282525053802008</v>
      </c>
      <c r="X17" s="29">
        <f>SUM(Emissions!Z30:Z31)</f>
        <v>22.774850370617955</v>
      </c>
      <c r="Y17" s="29">
        <f>SUM(Emissions!AA30:AA31)</f>
        <v>22.746646221552176</v>
      </c>
      <c r="Z17" s="29">
        <f>SUM(Emissions!AB30:AB31)</f>
        <v>22.478706805427255</v>
      </c>
      <c r="AA17" s="29">
        <f>SUM(Emissions!AC30:AC31)</f>
        <v>22.337686060098353</v>
      </c>
      <c r="AB17" s="29">
        <f>SUM(Emissions!AD30:AD31)</f>
        <v>22.267175687433898</v>
      </c>
      <c r="AC17" s="29">
        <f>SUM(Emissions!AE30:AE31)</f>
        <v>22.196665314769451</v>
      </c>
      <c r="AD17" s="29">
        <f>SUM(Emissions!AF30:AF31)</f>
        <v>22.027440420374763</v>
      </c>
      <c r="AE17" s="29">
        <f>SUM(Emissions!AG30:AG31)</f>
        <v>21.477459513592038</v>
      </c>
      <c r="AF17" s="29">
        <f>SUM(Emissions!AH30:AH31)</f>
        <v>21.322336693730243</v>
      </c>
      <c r="AG17" s="29">
        <f>SUM(Emissions!AI30:AI31)</f>
        <v>20.885172383210644</v>
      </c>
      <c r="AH17" s="29">
        <f>SUM(Emissions!AJ30:AJ31)</f>
        <v>21.740357907226617</v>
      </c>
      <c r="AI17" s="29">
        <f>SUM(Emissions!AK30:AK31)</f>
        <v>21.708404798064866</v>
      </c>
      <c r="AJ17" s="29">
        <f>SUM(Emissions!AL30:AL31)</f>
        <v>21.794325084636807</v>
      </c>
      <c r="AK17" s="29">
        <f>SUM(Emissions!AM30:AM31)</f>
        <v>21.744532537839305</v>
      </c>
      <c r="AL17" s="29">
        <f>SUM(Emissions!AN30:AN31)</f>
        <v>21.695938203640154</v>
      </c>
      <c r="AM17" s="29">
        <f>SUM(Emissions!AO30:AO31)</f>
        <v>21.647074903579917</v>
      </c>
      <c r="AN17" s="29">
        <f>SUM(Emissions!AP30:AP31)</f>
        <v>21.599243097212689</v>
      </c>
      <c r="AO17" s="29">
        <f>SUM(Emissions!AQ30:AQ31)</f>
        <v>21.550214864026586</v>
      </c>
      <c r="AP17" s="29">
        <f>SUM(Emissions!AR30:AR31)</f>
        <v>21.494062061276274</v>
      </c>
      <c r="AQ17" s="29">
        <f>SUM(Emissions!AS30:AS31)</f>
        <v>21.438226486221843</v>
      </c>
      <c r="AR17" s="29">
        <f>SUM(Emissions!AT30:AT31)</f>
        <v>21.380771438137955</v>
      </c>
      <c r="AS17" s="29">
        <f>SUM(Emissions!AU30:AU31)</f>
        <v>21.322113873635274</v>
      </c>
      <c r="AT17" s="29">
        <f>SUM(Emissions!AV30:AV31)</f>
        <v>21.262144035960471</v>
      </c>
      <c r="AU17" s="29">
        <f>SUM(Emissions!AW30:AW31)</f>
        <v>21.195197169898108</v>
      </c>
      <c r="AV17" s="29">
        <f>SUM(Emissions!AX30:AX31)</f>
        <v>21.130407708953364</v>
      </c>
      <c r="AW17" s="29">
        <f>SUM(Emissions!AY30:AY31)</f>
        <v>21.060752227544221</v>
      </c>
      <c r="AX17" s="29">
        <f>SUM(Emissions!AZ30:AZ31)</f>
        <v>20.987694973986191</v>
      </c>
      <c r="AY17" s="29">
        <f>SUM(Emissions!BA30:BA31)</f>
        <v>20.911051829471461</v>
      </c>
      <c r="AZ17" s="29">
        <f>SUM(Emissions!BB30:BB31)</f>
        <v>20.831944964992289</v>
      </c>
      <c r="BA17" s="29">
        <f>SUM(Emissions!BC30:BC31)</f>
        <v>20.750371618546222</v>
      </c>
      <c r="BB17" s="29">
        <f>SUM(Emissions!BD30:BD31)</f>
        <v>20.667881984443252</v>
      </c>
      <c r="BC17" s="29">
        <f>SUM(Emissions!BE30:BE31)</f>
        <v>20.582902607085149</v>
      </c>
      <c r="BD17" s="29">
        <f>SUM(Emissions!BF30:BF31)</f>
        <v>20.49404025832996</v>
      </c>
      <c r="BE17" s="29">
        <f>SUM(Emissions!BG30:BG31)</f>
        <v>20.399347634938298</v>
      </c>
      <c r="BF17" s="29">
        <f>SUM(Emissions!BH30:BH31)</f>
        <v>20.301674179670314</v>
      </c>
      <c r="BG17" s="29">
        <f>SUM(Emissions!BI30:BI31)</f>
        <v>20.20118981557863</v>
      </c>
      <c r="BH17" s="29">
        <f>SUM(Emissions!BJ30:BJ31)</f>
        <v>20.097475113800822</v>
      </c>
      <c r="BI17" s="29">
        <f>SUM(Emissions!BK30:BK31)</f>
        <v>19.988867147340422</v>
      </c>
      <c r="BJ17" s="29">
        <f>SUM(Emissions!BL30:BL31)</f>
        <v>19.876978711477385</v>
      </c>
      <c r="BK17" s="29">
        <f>SUM(Emissions!BM30:BM31)</f>
        <v>19.760871165574727</v>
      </c>
      <c r="BL17" s="29">
        <f>SUM(Emissions!BN30:BN31)</f>
        <v>19.643705613656401</v>
      </c>
      <c r="BM17" s="29">
        <f>SUM(Emissions!BO30:BO31)</f>
        <v>19.521938566312642</v>
      </c>
      <c r="BN17" s="29">
        <f>SUM(Emissions!BP30:BP31)</f>
        <v>19.395186034803093</v>
      </c>
    </row>
    <row r="18" spans="1:66" x14ac:dyDescent="0.25">
      <c r="A18" t="str">
        <f t="shared" si="2"/>
        <v>3A Livestock</v>
      </c>
      <c r="B18" t="str">
        <f t="shared" si="11"/>
        <v>3A2 Manure management (CH4)</v>
      </c>
      <c r="C18" t="str">
        <f>'IPCC Categories'!C19</f>
        <v>3A2i Poultry</v>
      </c>
      <c r="D18" t="str">
        <f t="shared" si="9"/>
        <v>CH4</v>
      </c>
      <c r="E18" t="str">
        <f t="shared" si="10"/>
        <v>Gg CH4</v>
      </c>
      <c r="F18" s="29">
        <f>SUM(Emissions!H32:H35)</f>
        <v>1.3455156687778258</v>
      </c>
      <c r="G18" s="29">
        <f>SUM(Emissions!I32:I35)</f>
        <v>1.2760746173506023</v>
      </c>
      <c r="H18" s="29">
        <f>SUM(Emissions!J32:J35)</f>
        <v>1.2071518876777516</v>
      </c>
      <c r="I18" s="29">
        <f>SUM(Emissions!K32:K35)</f>
        <v>1.3112406123644875</v>
      </c>
      <c r="J18" s="29">
        <f>SUM(Emissions!L32:L35)</f>
        <v>1.2878479203358015</v>
      </c>
      <c r="K18" s="29">
        <f>SUM(Emissions!M32:M35)</f>
        <v>1.4574822448350102</v>
      </c>
      <c r="L18" s="29">
        <f>SUM(Emissions!N32:N35)</f>
        <v>1.6585519756378786</v>
      </c>
      <c r="M18" s="29">
        <f>SUM(Emissions!O32:O35)</f>
        <v>1.6829831179003492</v>
      </c>
      <c r="N18" s="29">
        <f>SUM(Emissions!P32:P35)</f>
        <v>1.8549562107540372</v>
      </c>
      <c r="O18" s="29">
        <f>SUM(Emissions!Q32:Q35)</f>
        <v>1.9479379111082711</v>
      </c>
      <c r="P18" s="29">
        <f>SUM(Emissions!R32:R35)</f>
        <v>2.0536731601042231</v>
      </c>
      <c r="Q18" s="29">
        <f>SUM(Emissions!S32:S35)</f>
        <v>2.0089908832558949</v>
      </c>
      <c r="R18" s="29">
        <f>SUM(Emissions!T32:T35)</f>
        <v>2.1759262032341824</v>
      </c>
      <c r="S18" s="29">
        <f>SUM(Emissions!U32:U35)</f>
        <v>2.0734984652627912</v>
      </c>
      <c r="T18" s="29">
        <f>SUM(Emissions!V32:V35)</f>
        <v>2.1285917053454204</v>
      </c>
      <c r="U18" s="29">
        <f>SUM(Emissions!W32:W35)</f>
        <v>2.3353468813999299</v>
      </c>
      <c r="V18" s="29">
        <f>SUM(Emissions!X32:X35)</f>
        <v>2.5134086143565382</v>
      </c>
      <c r="W18" s="29">
        <f>SUM(Emissions!Y32:Y35)</f>
        <v>2.6601525958477232</v>
      </c>
      <c r="X18" s="29">
        <f>SUM(Emissions!Z32:Z35)</f>
        <v>2.8035850548611285</v>
      </c>
      <c r="Y18" s="29">
        <f>SUM(Emissions!AA32:AA35)</f>
        <v>2.6565217675227304</v>
      </c>
      <c r="Z18" s="29">
        <f>SUM(Emissions!AB32:AB35)</f>
        <v>2.7308472443629443</v>
      </c>
      <c r="AA18" s="29">
        <f>SUM(Emissions!AC32:AC35)</f>
        <v>2.8311378814399824</v>
      </c>
      <c r="AB18" s="29">
        <f>SUM(Emissions!AD32:AD35)</f>
        <v>2.9025790967295291</v>
      </c>
      <c r="AC18" s="29">
        <f>SUM(Emissions!AE32:AE35)</f>
        <v>2.8307207551465305</v>
      </c>
      <c r="AD18" s="29">
        <f>SUM(Emissions!AF32:AF35)</f>
        <v>2.92700480806187</v>
      </c>
      <c r="AE18" s="29">
        <f>SUM(Emissions!AG32:AG35)</f>
        <v>3.0335551998640375</v>
      </c>
      <c r="AF18" s="29">
        <f>SUM(Emissions!AH32:AH35)</f>
        <v>2.8623805375080003</v>
      </c>
      <c r="AG18" s="29">
        <f>SUM(Emissions!AI32:AI35)</f>
        <v>2.819336235967</v>
      </c>
      <c r="AH18" s="29">
        <f>SUM(Emissions!AJ32:AJ35)</f>
        <v>3.1212515770832083</v>
      </c>
      <c r="AI18" s="29">
        <f>SUM(Emissions!AK32:AK35)</f>
        <v>3.1721782796463578</v>
      </c>
      <c r="AJ18" s="29">
        <f>SUM(Emissions!AL32:AL35)</f>
        <v>3.2142726565345616</v>
      </c>
      <c r="AK18" s="29">
        <f>SUM(Emissions!AM32:AM35)</f>
        <v>3.267196503688079</v>
      </c>
      <c r="AL18" s="29">
        <f>SUM(Emissions!AN32:AN35)</f>
        <v>3.3200305671303343</v>
      </c>
      <c r="AM18" s="29">
        <f>SUM(Emissions!AO32:AO35)</f>
        <v>3.3728847843491536</v>
      </c>
      <c r="AN18" s="29">
        <f>SUM(Emissions!AP32:AP35)</f>
        <v>3.4256617111143326</v>
      </c>
      <c r="AO18" s="29">
        <f>SUM(Emissions!AQ32:AQ35)</f>
        <v>3.4785282877812262</v>
      </c>
      <c r="AP18" s="29">
        <f>SUM(Emissions!AR32:AR35)</f>
        <v>3.5360310387065361</v>
      </c>
      <c r="AQ18" s="29">
        <f>SUM(Emissions!AS32:AS35)</f>
        <v>3.5935100195664651</v>
      </c>
      <c r="AR18" s="29">
        <f>SUM(Emissions!AT32:AT35)</f>
        <v>3.6511103485315282</v>
      </c>
      <c r="AS18" s="29">
        <f>SUM(Emissions!AU32:AU35)</f>
        <v>3.7088007827877321</v>
      </c>
      <c r="AT18" s="29">
        <f>SUM(Emissions!AV32:AV35)</f>
        <v>3.7665895464757693</v>
      </c>
      <c r="AU18" s="29">
        <f>SUM(Emissions!AW32:AW35)</f>
        <v>3.8230917243178046</v>
      </c>
      <c r="AV18" s="29">
        <f>SUM(Emissions!AX32:AX35)</f>
        <v>3.879432245566131</v>
      </c>
      <c r="AW18" s="29">
        <f>SUM(Emissions!AY32:AY35)</f>
        <v>3.9361373816136402</v>
      </c>
      <c r="AX18" s="29">
        <f>SUM(Emissions!AZ32:AZ35)</f>
        <v>3.9930974136219572</v>
      </c>
      <c r="AY18" s="29">
        <f>SUM(Emissions!BA32:BA35)</f>
        <v>4.050326138634043</v>
      </c>
      <c r="AZ18" s="29">
        <f>SUM(Emissions!BB32:BB35)</f>
        <v>4.1097636205231876</v>
      </c>
      <c r="BA18" s="29">
        <f>SUM(Emissions!BC32:BC35)</f>
        <v>4.1693859174154726</v>
      </c>
      <c r="BB18" s="29">
        <f>SUM(Emissions!BD32:BD35)</f>
        <v>4.2290768713945894</v>
      </c>
      <c r="BC18" s="29">
        <f>SUM(Emissions!BE32:BE35)</f>
        <v>4.2889543842674342</v>
      </c>
      <c r="BD18" s="29">
        <f>SUM(Emissions!BF32:BF35)</f>
        <v>4.349122850563246</v>
      </c>
      <c r="BE18" s="29">
        <f>SUM(Emissions!BG32:BG35)</f>
        <v>4.4173013587557648</v>
      </c>
      <c r="BF18" s="29">
        <f>SUM(Emissions!BH32:BH35)</f>
        <v>4.4857032215968724</v>
      </c>
      <c r="BG18" s="29">
        <f>SUM(Emissions!BI32:BI35)</f>
        <v>4.5543157084642969</v>
      </c>
      <c r="BH18" s="29">
        <f>SUM(Emissions!BJ32:BJ35)</f>
        <v>4.62317024651135</v>
      </c>
      <c r="BI18" s="29">
        <f>SUM(Emissions!BK32:BK35)</f>
        <v>4.6923914398755011</v>
      </c>
      <c r="BJ18" s="29">
        <f>SUM(Emissions!BL32:BL35)</f>
        <v>4.7597025633726942</v>
      </c>
      <c r="BK18" s="29">
        <f>SUM(Emissions!BM32:BM35)</f>
        <v>4.8273298273670386</v>
      </c>
      <c r="BL18" s="29">
        <f>SUM(Emissions!BN32:BN35)</f>
        <v>4.8950363693076069</v>
      </c>
      <c r="BM18" s="29">
        <f>SUM(Emissions!BO32:BO35)</f>
        <v>4.9630877032082648</v>
      </c>
      <c r="BN18" s="29">
        <f>SUM(Emissions!BP32:BP35)</f>
        <v>5.0315126024883332</v>
      </c>
    </row>
    <row r="19" spans="1:66" s="19" customFormat="1" ht="15.75" x14ac:dyDescent="0.25">
      <c r="A19" s="19" t="str">
        <f>A26</f>
        <v>3A Livestock</v>
      </c>
      <c r="B19" s="19" t="str">
        <f>B26</f>
        <v>3A2 Manure management (N2O)</v>
      </c>
      <c r="C19" s="19" t="s">
        <v>152</v>
      </c>
      <c r="D19" s="19" t="str">
        <f>D26</f>
        <v>N2O</v>
      </c>
      <c r="E19" s="19" t="str">
        <f>E26</f>
        <v>Gg N2O</v>
      </c>
      <c r="F19" s="47">
        <f t="shared" ref="F19:AK19" si="12">SUM(F20:F26)</f>
        <v>4.0489202435061733</v>
      </c>
      <c r="G19" s="47">
        <f t="shared" si="12"/>
        <v>4.0581108516258499</v>
      </c>
      <c r="H19" s="47">
        <f t="shared" si="12"/>
        <v>3.9523108469855508</v>
      </c>
      <c r="I19" s="47">
        <f t="shared" si="12"/>
        <v>3.9881370090214134</v>
      </c>
      <c r="J19" s="47">
        <f t="shared" si="12"/>
        <v>3.8596091660510146</v>
      </c>
      <c r="K19" s="47">
        <f t="shared" si="12"/>
        <v>4.0056915692552817</v>
      </c>
      <c r="L19" s="47">
        <f t="shared" si="12"/>
        <v>4.2146380949607511</v>
      </c>
      <c r="M19" s="47">
        <f t="shared" si="12"/>
        <v>4.2631402122136377</v>
      </c>
      <c r="N19" s="47">
        <f t="shared" si="12"/>
        <v>4.4285472775715782</v>
      </c>
      <c r="O19" s="47">
        <f t="shared" si="12"/>
        <v>4.5084214708754295</v>
      </c>
      <c r="P19" s="47">
        <f t="shared" si="12"/>
        <v>4.6359747139413212</v>
      </c>
      <c r="Q19" s="47">
        <f t="shared" si="12"/>
        <v>4.583075053876323</v>
      </c>
      <c r="R19" s="47">
        <f t="shared" si="12"/>
        <v>4.6903004002985913</v>
      </c>
      <c r="S19" s="47">
        <f t="shared" si="12"/>
        <v>4.5922622280724834</v>
      </c>
      <c r="T19" s="47">
        <f t="shared" si="12"/>
        <v>4.6024310028472675</v>
      </c>
      <c r="U19" s="47">
        <f t="shared" si="12"/>
        <v>4.7649961403990622</v>
      </c>
      <c r="V19" s="47">
        <f t="shared" si="12"/>
        <v>4.8955839913686727</v>
      </c>
      <c r="W19" s="47">
        <f t="shared" si="12"/>
        <v>5.0445282551941304</v>
      </c>
      <c r="X19" s="47">
        <f t="shared" si="12"/>
        <v>5.1644447960615416</v>
      </c>
      <c r="Y19" s="47">
        <f t="shared" si="12"/>
        <v>5.0655807972972005</v>
      </c>
      <c r="Z19" s="47">
        <f t="shared" si="12"/>
        <v>5.0962811115216784</v>
      </c>
      <c r="AA19" s="47">
        <f t="shared" si="12"/>
        <v>5.2595978575440903</v>
      </c>
      <c r="AB19" s="47">
        <f t="shared" si="12"/>
        <v>5.2980002301343747</v>
      </c>
      <c r="AC19" s="47">
        <f t="shared" si="12"/>
        <v>5.3717836320914856</v>
      </c>
      <c r="AD19" s="47">
        <f t="shared" si="12"/>
        <v>5.4485557063259131</v>
      </c>
      <c r="AE19" s="47">
        <f t="shared" si="12"/>
        <v>5.5343109528771919</v>
      </c>
      <c r="AF19" s="47">
        <f t="shared" si="12"/>
        <v>5.4225989123082678</v>
      </c>
      <c r="AG19" s="47">
        <f t="shared" si="12"/>
        <v>5.409277741134332</v>
      </c>
      <c r="AH19" s="47">
        <f t="shared" si="12"/>
        <v>5.5984737975475944</v>
      </c>
      <c r="AI19" s="47">
        <f t="shared" si="12"/>
        <v>5.7500163876716925</v>
      </c>
      <c r="AJ19" s="47">
        <f t="shared" si="12"/>
        <v>5.7834551048561984</v>
      </c>
      <c r="AK19" s="47">
        <f t="shared" si="12"/>
        <v>5.8421679833344156</v>
      </c>
      <c r="AL19" s="47">
        <f t="shared" ref="AL19:BN19" si="13">SUM(AL20:AL26)</f>
        <v>5.9006636037780158</v>
      </c>
      <c r="AM19" s="47">
        <f t="shared" si="13"/>
        <v>5.9592079924850871</v>
      </c>
      <c r="AN19" s="47">
        <f t="shared" si="13"/>
        <v>6.0175653531582407</v>
      </c>
      <c r="AO19" s="47">
        <f t="shared" si="13"/>
        <v>6.0761396480726404</v>
      </c>
      <c r="AP19" s="47">
        <f t="shared" si="13"/>
        <v>6.1401490875043425</v>
      </c>
      <c r="AQ19" s="47">
        <f t="shared" si="13"/>
        <v>6.2041010079490961</v>
      </c>
      <c r="AR19" s="47">
        <f t="shared" si="13"/>
        <v>6.2683465674715606</v>
      </c>
      <c r="AS19" s="47">
        <f t="shared" si="13"/>
        <v>6.3328101644702404</v>
      </c>
      <c r="AT19" s="47">
        <f t="shared" si="13"/>
        <v>6.3975116997840118</v>
      </c>
      <c r="AU19" s="47">
        <f t="shared" si="13"/>
        <v>6.4616508276100912</v>
      </c>
      <c r="AV19" s="47">
        <f t="shared" si="13"/>
        <v>6.5253987788480625</v>
      </c>
      <c r="AW19" s="47">
        <f t="shared" si="13"/>
        <v>6.5900290265000567</v>
      </c>
      <c r="AX19" s="47">
        <f t="shared" si="13"/>
        <v>6.6552760746377562</v>
      </c>
      <c r="AY19" s="47">
        <f t="shared" si="13"/>
        <v>6.721173308171652</v>
      </c>
      <c r="AZ19" s="47">
        <f t="shared" si="13"/>
        <v>6.7895616405896915</v>
      </c>
      <c r="BA19" s="47">
        <f t="shared" si="13"/>
        <v>6.8583971897731661</v>
      </c>
      <c r="BB19" s="47">
        <f t="shared" si="13"/>
        <v>6.9273988771833235</v>
      </c>
      <c r="BC19" s="47">
        <f t="shared" si="13"/>
        <v>6.9968519999586167</v>
      </c>
      <c r="BD19" s="47">
        <f t="shared" si="13"/>
        <v>7.0670091740636156</v>
      </c>
      <c r="BE19" s="47">
        <f t="shared" si="13"/>
        <v>7.1458723599002631</v>
      </c>
      <c r="BF19" s="47">
        <f t="shared" si="13"/>
        <v>7.2252760223128263</v>
      </c>
      <c r="BG19" s="47">
        <f t="shared" si="13"/>
        <v>7.305189353083378</v>
      </c>
      <c r="BH19" s="47">
        <f t="shared" si="13"/>
        <v>7.3856884011592427</v>
      </c>
      <c r="BI19" s="47">
        <f t="shared" si="13"/>
        <v>7.4670746845902167</v>
      </c>
      <c r="BJ19" s="47">
        <f t="shared" si="13"/>
        <v>7.5468783467552667</v>
      </c>
      <c r="BK19" s="47">
        <f t="shared" si="13"/>
        <v>7.627447008125765</v>
      </c>
      <c r="BL19" s="47">
        <f t="shared" si="13"/>
        <v>7.7082075055998747</v>
      </c>
      <c r="BM19" s="47">
        <f t="shared" si="13"/>
        <v>7.7898023345898562</v>
      </c>
      <c r="BN19" s="47">
        <f t="shared" si="13"/>
        <v>7.8723011199568482</v>
      </c>
    </row>
    <row r="20" spans="1:66" x14ac:dyDescent="0.25">
      <c r="A20" t="str">
        <f>A18</f>
        <v>3A Livestock</v>
      </c>
      <c r="B20" t="str">
        <f>'IPCC Categories'!B20</f>
        <v>3A2 Manure management (N2O)</v>
      </c>
      <c r="C20" t="str">
        <f t="shared" ref="C20:C26" si="14">C12</f>
        <v>3A1a Cattle</v>
      </c>
      <c r="D20" t="s">
        <v>143</v>
      </c>
      <c r="E20" t="s">
        <v>291</v>
      </c>
      <c r="F20" s="29">
        <f>SUM(Emissions!H36:H41)</f>
        <v>2.5010375387464534</v>
      </c>
      <c r="G20" s="29">
        <f>SUM(Emissions!I36:I41)</f>
        <v>2.5832887235505946</v>
      </c>
      <c r="H20" s="29">
        <f>SUM(Emissions!J36:J41)</f>
        <v>2.5498113714020896</v>
      </c>
      <c r="I20" s="29">
        <f>SUM(Emissions!K36:K41)</f>
        <v>2.5290634259622209</v>
      </c>
      <c r="J20" s="29">
        <f>SUM(Emissions!L36:L41)</f>
        <v>2.4097368305027631</v>
      </c>
      <c r="K20" s="29">
        <f>SUM(Emissions!M36:M41)</f>
        <v>2.4304813872257673</v>
      </c>
      <c r="L20" s="29">
        <f>SUM(Emissions!N36:N41)</f>
        <v>2.4750424550200139</v>
      </c>
      <c r="M20" s="29">
        <f>SUM(Emissions!O36:O41)</f>
        <v>2.5114913609472325</v>
      </c>
      <c r="N20" s="29">
        <f>SUM(Emissions!P36:P41)</f>
        <v>2.5511693225135841</v>
      </c>
      <c r="O20" s="29">
        <f>SUM(Emissions!Q36:Q41)</f>
        <v>2.5690639496362295</v>
      </c>
      <c r="P20" s="29">
        <f>SUM(Emissions!R36:R41)</f>
        <v>2.6305009198027434</v>
      </c>
      <c r="Q20" s="29">
        <f>SUM(Emissions!S36:S41)</f>
        <v>2.6124014550191936</v>
      </c>
      <c r="R20" s="29">
        <f>SUM(Emissions!T36:T41)</f>
        <v>2.6048290524397744</v>
      </c>
      <c r="S20" s="29">
        <f>SUM(Emissions!U36:U41)</f>
        <v>2.5891750372763642</v>
      </c>
      <c r="T20" s="29">
        <f>SUM(Emissions!V36:V41)</f>
        <v>2.5631164252640359</v>
      </c>
      <c r="U20" s="29">
        <f>SUM(Emissions!W36:W41)</f>
        <v>2.5743989921830224</v>
      </c>
      <c r="V20" s="29">
        <f>SUM(Emissions!X36:X41)</f>
        <v>2.5785831511763577</v>
      </c>
      <c r="W20" s="29">
        <f>SUM(Emissions!Y36:Y41)</f>
        <v>2.6261984816679491</v>
      </c>
      <c r="X20" s="29">
        <f>SUM(Emissions!Z36:Z41)</f>
        <v>2.6393793156186018</v>
      </c>
      <c r="Y20" s="29">
        <f>SUM(Emissions!AA36:AA41)</f>
        <v>2.6532322274635911</v>
      </c>
      <c r="Z20" s="29">
        <f>SUM(Emissions!AB36:AB41)</f>
        <v>2.6375647156747131</v>
      </c>
      <c r="AA20" s="29">
        <f>SUM(Emissions!AC36:AC41)</f>
        <v>2.731928919852928</v>
      </c>
      <c r="AB20" s="29">
        <f>SUM(Emissions!AD36:AD41)</f>
        <v>2.718984512328932</v>
      </c>
      <c r="AC20" s="29">
        <f>SUM(Emissions!AE36:AE41)</f>
        <v>2.8463169968798976</v>
      </c>
      <c r="AD20" s="29">
        <f>SUM(Emissions!AF36:AF41)</f>
        <v>2.8537173064511911</v>
      </c>
      <c r="AE20" s="29">
        <f>SUM(Emissions!AG36:AG41)</f>
        <v>2.8661137054025243</v>
      </c>
      <c r="AF20" s="29">
        <f>SUM(Emissions!AH36:AH41)</f>
        <v>2.8961147336369608</v>
      </c>
      <c r="AG20" s="29">
        <f>SUM(Emissions!AI36:AI41)</f>
        <v>2.9194748211971158</v>
      </c>
      <c r="AH20" s="29">
        <f>SUM(Emissions!AJ36:AJ41)</f>
        <v>2.8664599190531708</v>
      </c>
      <c r="AI20" s="29">
        <f>SUM(Emissions!AK36:AK41)</f>
        <v>2.9818544389498389</v>
      </c>
      <c r="AJ20" s="29">
        <f>SUM(Emissions!AL36:AL41)</f>
        <v>2.9850991515835799</v>
      </c>
      <c r="AK20" s="29">
        <f>SUM(Emissions!AM36:AM41)</f>
        <v>3.0062929115460495</v>
      </c>
      <c r="AL20" s="29">
        <f>SUM(Emissions!AN36:AN41)</f>
        <v>3.0273299386892889</v>
      </c>
      <c r="AM20" s="29">
        <f>SUM(Emissions!AO36:AO41)</f>
        <v>3.048402147990402</v>
      </c>
      <c r="AN20" s="29">
        <f>SUM(Emissions!AP36:AP41)</f>
        <v>3.0693394324582819</v>
      </c>
      <c r="AO20" s="29">
        <f>SUM(Emissions!AQ36:AQ41)</f>
        <v>3.0904332161559886</v>
      </c>
      <c r="AP20" s="29">
        <f>SUM(Emissions!AR36:AR41)</f>
        <v>3.1136831888556866</v>
      </c>
      <c r="AQ20" s="29">
        <f>SUM(Emissions!AS36:AS41)</f>
        <v>3.1368916664941411</v>
      </c>
      <c r="AR20" s="29">
        <f>SUM(Emissions!AT36:AT41)</f>
        <v>3.1603119797743484</v>
      </c>
      <c r="AS20" s="29">
        <f>SUM(Emissions!AU36:AU41)</f>
        <v>3.1838895885652909</v>
      </c>
      <c r="AT20" s="29">
        <f>SUM(Emissions!AV36:AV41)</f>
        <v>3.2076388496310866</v>
      </c>
      <c r="AU20" s="29">
        <f>SUM(Emissions!AW36:AW41)</f>
        <v>3.2317607697845028</v>
      </c>
      <c r="AV20" s="29">
        <f>SUM(Emissions!AX36:AX41)</f>
        <v>3.2556004896615685</v>
      </c>
      <c r="AW20" s="29">
        <f>SUM(Emissions!AY36:AY41)</f>
        <v>3.2800767110350764</v>
      </c>
      <c r="AX20" s="29">
        <f>SUM(Emissions!AZ36:AZ41)</f>
        <v>3.3049979019352747</v>
      </c>
      <c r="AY20" s="29">
        <f>SUM(Emissions!BA36:BA41)</f>
        <v>3.3303881463474765</v>
      </c>
      <c r="AZ20" s="29">
        <f>SUM(Emissions!BB36:BB41)</f>
        <v>3.3567047253429756</v>
      </c>
      <c r="BA20" s="29">
        <f>SUM(Emissions!BC36:BC41)</f>
        <v>3.3833439332312212</v>
      </c>
      <c r="BB20" s="29">
        <f>SUM(Emissions!BD36:BD41)</f>
        <v>3.4101029961225757</v>
      </c>
      <c r="BC20" s="29">
        <f>SUM(Emissions!BE36:BE41)</f>
        <v>3.4371877308772465</v>
      </c>
      <c r="BD20" s="29">
        <f>SUM(Emissions!BF36:BF41)</f>
        <v>3.4647803788375358</v>
      </c>
      <c r="BE20" s="29">
        <f>SUM(Emissions!BG36:BG41)</f>
        <v>3.4953957213346776</v>
      </c>
      <c r="BF20" s="29">
        <f>SUM(Emissions!BH36:BH41)</f>
        <v>3.526400972143438</v>
      </c>
      <c r="BG20" s="29">
        <f>SUM(Emissions!BI36:BI41)</f>
        <v>3.5577739049713406</v>
      </c>
      <c r="BH20" s="29">
        <f>SUM(Emissions!BJ36:BJ41)</f>
        <v>3.5895693830620337</v>
      </c>
      <c r="BI20" s="29">
        <f>SUM(Emissions!BK36:BK41)</f>
        <v>3.6220049260660914</v>
      </c>
      <c r="BJ20" s="29">
        <f>SUM(Emissions!BL36:BL41)</f>
        <v>3.6542261930657149</v>
      </c>
      <c r="BK20" s="29">
        <f>SUM(Emissions!BM36:BM41)</f>
        <v>3.6869993419840874</v>
      </c>
      <c r="BL20" s="29">
        <f>SUM(Emissions!BN36:BN41)</f>
        <v>3.719910883958768</v>
      </c>
      <c r="BM20" s="29">
        <f>SUM(Emissions!BO36:BO41)</f>
        <v>3.7534243256130875</v>
      </c>
      <c r="BN20" s="29">
        <f>SUM(Emissions!BP36:BP41)</f>
        <v>3.787589894977156</v>
      </c>
    </row>
    <row r="21" spans="1:66" x14ac:dyDescent="0.25">
      <c r="A21" t="str">
        <f t="shared" si="2"/>
        <v>3A Livestock</v>
      </c>
      <c r="B21" t="str">
        <f>B20</f>
        <v>3A2 Manure management (N2O)</v>
      </c>
      <c r="C21" t="str">
        <f t="shared" si="14"/>
        <v>3A1c Sheep</v>
      </c>
      <c r="D21" t="str">
        <f>D20</f>
        <v>N2O</v>
      </c>
      <c r="E21" t="str">
        <f>E20</f>
        <v>Gg N2O</v>
      </c>
      <c r="F21" s="29">
        <f>SUM(Emissions!H42:H43)</f>
        <v>0.27697977351015546</v>
      </c>
      <c r="G21" s="29">
        <f>SUM(Emissions!I42:I43)</f>
        <v>0.26452543098066184</v>
      </c>
      <c r="H21" s="29">
        <f>SUM(Emissions!J42:J43)</f>
        <v>0.25359554432458542</v>
      </c>
      <c r="I21" s="29">
        <f>SUM(Emissions!K42:K43)</f>
        <v>0.23716837739770139</v>
      </c>
      <c r="J21" s="29">
        <f>SUM(Emissions!L42:L43)</f>
        <v>0.23884065929520765</v>
      </c>
      <c r="K21" s="29">
        <f>SUM(Emissions!M42:M43)</f>
        <v>0.23542218248815072</v>
      </c>
      <c r="L21" s="29">
        <f>SUM(Emissions!N42:N43)</f>
        <v>0.23620750824112324</v>
      </c>
      <c r="M21" s="29">
        <f>SUM(Emissions!O42:O43)</f>
        <v>0.23107055390403242</v>
      </c>
      <c r="N21" s="29">
        <f>SUM(Emissions!P42:P43)</f>
        <v>0.23170805363291622</v>
      </c>
      <c r="O21" s="29">
        <f>SUM(Emissions!Q42:Q43)</f>
        <v>0.22601675170549185</v>
      </c>
      <c r="P21" s="29">
        <f>SUM(Emissions!R42:R43)</f>
        <v>0.21791403776011653</v>
      </c>
      <c r="Q21" s="29">
        <f>SUM(Emissions!S42:S43)</f>
        <v>0.21248143137484779</v>
      </c>
      <c r="R21" s="29">
        <f>SUM(Emissions!T42:T43)</f>
        <v>0.20893360679671308</v>
      </c>
      <c r="S21" s="29">
        <f>SUM(Emissions!U42:U43)</f>
        <v>0.20966349779065224</v>
      </c>
      <c r="T21" s="29">
        <f>SUM(Emissions!V42:V43)</f>
        <v>0.20593089068240639</v>
      </c>
      <c r="U21" s="29">
        <f>SUM(Emissions!W42:W43)</f>
        <v>0.20544121697761175</v>
      </c>
      <c r="V21" s="29">
        <f>SUM(Emissions!X42:X43)</f>
        <v>0.20275263116449405</v>
      </c>
      <c r="W21" s="29">
        <f>SUM(Emissions!Y42:Y43)</f>
        <v>0.20255860950787735</v>
      </c>
      <c r="X21" s="29">
        <f>SUM(Emissions!Z42:Z43)</f>
        <v>0.203214587489772</v>
      </c>
      <c r="Y21" s="29">
        <f>SUM(Emissions!AA42:AA43)</f>
        <v>0.20249393562233842</v>
      </c>
      <c r="Z21" s="29">
        <f>SUM(Emissions!AB42:AB43)</f>
        <v>0.19857654598398133</v>
      </c>
      <c r="AA21" s="29">
        <f>SUM(Emissions!AC42:AC43)</f>
        <v>0.19702437273104745</v>
      </c>
      <c r="AB21" s="29">
        <f>SUM(Emissions!AD42:AD43)</f>
        <v>0.19796676363461446</v>
      </c>
      <c r="AC21" s="29">
        <f>SUM(Emissions!AE42:AE43)</f>
        <v>0.19946350212851505</v>
      </c>
      <c r="AD21" s="29">
        <f>SUM(Emissions!AF42:AF43)</f>
        <v>0.19588796017086368</v>
      </c>
      <c r="AE21" s="29">
        <f>SUM(Emissions!AG42:AG43)</f>
        <v>0.19432654779142416</v>
      </c>
      <c r="AF21" s="29">
        <f>SUM(Emissions!AH42:AH43)</f>
        <v>0.18882926752061654</v>
      </c>
      <c r="AG21" s="29">
        <f>SUM(Emissions!AI42:AI43)</f>
        <v>0.18424666077385926</v>
      </c>
      <c r="AH21" s="29">
        <f>SUM(Emissions!AJ42:AJ43)</f>
        <v>0.19614725604332961</v>
      </c>
      <c r="AI21" s="29">
        <f>SUM(Emissions!AK42:AK43)</f>
        <v>0.19553414421079512</v>
      </c>
      <c r="AJ21" s="29">
        <f>SUM(Emissions!AL42:AL43)</f>
        <v>0.19349788721842595</v>
      </c>
      <c r="AK21" s="29">
        <f>SUM(Emissions!AM42:AM43)</f>
        <v>0.19308656704061061</v>
      </c>
      <c r="AL21" s="29">
        <f>SUM(Emissions!AN42:AN43)</f>
        <v>0.19266078025439515</v>
      </c>
      <c r="AM21" s="29">
        <f>SUM(Emissions!AO42:AO43)</f>
        <v>0.19223824082913843</v>
      </c>
      <c r="AN21" s="29">
        <f>SUM(Emissions!AP42:AP43)</f>
        <v>0.19180324765850945</v>
      </c>
      <c r="AO21" s="29">
        <f>SUM(Emissions!AQ42:AQ43)</f>
        <v>0.19138269953566139</v>
      </c>
      <c r="AP21" s="29">
        <f>SUM(Emissions!AR42:AR43)</f>
        <v>0.19096373559769003</v>
      </c>
      <c r="AQ21" s="29">
        <f>SUM(Emissions!AS42:AS43)</f>
        <v>0.19054094160920426</v>
      </c>
      <c r="AR21" s="29">
        <f>SUM(Emissions!AT42:AT43)</f>
        <v>0.19013770033818311</v>
      </c>
      <c r="AS21" s="29">
        <f>SUM(Emissions!AU42:AU43)</f>
        <v>0.18974897765645318</v>
      </c>
      <c r="AT21" s="29">
        <f>SUM(Emissions!AV42:AV43)</f>
        <v>0.18937609871284292</v>
      </c>
      <c r="AU21" s="29">
        <f>SUM(Emissions!AW42:AW43)</f>
        <v>0.18912469772175716</v>
      </c>
      <c r="AV21" s="29">
        <f>SUM(Emissions!AX42:AX43)</f>
        <v>0.18884724930555999</v>
      </c>
      <c r="AW21" s="29">
        <f>SUM(Emissions!AY42:AY43)</f>
        <v>0.18862855079832686</v>
      </c>
      <c r="AX21" s="29">
        <f>SUM(Emissions!AZ42:AZ43)</f>
        <v>0.18845092362649837</v>
      </c>
      <c r="AY21" s="29">
        <f>SUM(Emissions!BA42:BA43)</f>
        <v>0.1883165907309311</v>
      </c>
      <c r="AZ21" s="29">
        <f>SUM(Emissions!BB42:BB43)</f>
        <v>0.18817034240520408</v>
      </c>
      <c r="BA21" s="29">
        <f>SUM(Emissions!BC42:BC43)</f>
        <v>0.18805387316449598</v>
      </c>
      <c r="BB21" s="29">
        <f>SUM(Emissions!BD42:BD43)</f>
        <v>0.18794846674707161</v>
      </c>
      <c r="BC21" s="29">
        <f>SUM(Emissions!BE42:BE43)</f>
        <v>0.18787312024128211</v>
      </c>
      <c r="BD21" s="29">
        <f>SUM(Emissions!BF42:BF43)</f>
        <v>0.18784465481425622</v>
      </c>
      <c r="BE21" s="29">
        <f>SUM(Emissions!BG42:BG43)</f>
        <v>0.1877307096261055</v>
      </c>
      <c r="BF21" s="29">
        <f>SUM(Emissions!BH42:BH43)</f>
        <v>0.1876527535484202</v>
      </c>
      <c r="BG21" s="29">
        <f>SUM(Emissions!BI42:BI43)</f>
        <v>0.1876087349768138</v>
      </c>
      <c r="BH21" s="29">
        <f>SUM(Emissions!BJ42:BJ43)</f>
        <v>0.18760371790689506</v>
      </c>
      <c r="BI21" s="29">
        <f>SUM(Emissions!BK42:BK43)</f>
        <v>0.18765777969786332</v>
      </c>
      <c r="BJ21" s="29">
        <f>SUM(Emissions!BL42:BL43)</f>
        <v>0.18779582067147482</v>
      </c>
      <c r="BK21" s="29">
        <f>SUM(Emissions!BM42:BM43)</f>
        <v>0.18798480109579377</v>
      </c>
      <c r="BL21" s="29">
        <f>SUM(Emissions!BN42:BN43)</f>
        <v>0.18818655534348455</v>
      </c>
      <c r="BM21" s="29">
        <f>SUM(Emissions!BO42:BO43)</f>
        <v>0.18844386579285166</v>
      </c>
      <c r="BN21" s="29">
        <f>SUM(Emissions!BP42:BP43)</f>
        <v>0.18876136851559649</v>
      </c>
    </row>
    <row r="22" spans="1:66" x14ac:dyDescent="0.25">
      <c r="A22" t="str">
        <f t="shared" si="2"/>
        <v>3A Livestock</v>
      </c>
      <c r="B22" t="str">
        <f t="shared" ref="B22:B26" si="15">B21</f>
        <v>3A2 Manure management (N2O)</v>
      </c>
      <c r="C22" t="str">
        <f t="shared" si="14"/>
        <v>3A1d Goats</v>
      </c>
      <c r="D22" t="str">
        <f t="shared" ref="D22:D26" si="16">D21</f>
        <v>N2O</v>
      </c>
      <c r="E22" t="str">
        <f t="shared" ref="E22:E26" si="17">E21</f>
        <v>Gg N2O</v>
      </c>
      <c r="F22" s="29">
        <f>SUM(Emissions!H44:H45)</f>
        <v>0.17617782385130304</v>
      </c>
      <c r="G22" s="29">
        <f>SUM(Emissions!I44:I45)</f>
        <v>0.15579098843087474</v>
      </c>
      <c r="H22" s="29">
        <f>SUM(Emissions!J44:J45)</f>
        <v>0.14512124279027669</v>
      </c>
      <c r="I22" s="29">
        <f>SUM(Emissions!K44:K45)</f>
        <v>0.13711893355982818</v>
      </c>
      <c r="J22" s="29">
        <f>SUM(Emissions!L44:L45)</f>
        <v>0.14842378310760462</v>
      </c>
      <c r="K22" s="29">
        <f>SUM(Emissions!M44:M45)</f>
        <v>0.1504561156105757</v>
      </c>
      <c r="L22" s="29">
        <f>SUM(Emissions!N44:N45)</f>
        <v>0.15280600006713599</v>
      </c>
      <c r="M22" s="29">
        <f>SUM(Emissions!O44:O45)</f>
        <v>0.15204387537852188</v>
      </c>
      <c r="N22" s="29">
        <f>SUM(Emissions!P44:P45)</f>
        <v>0.1498845220941151</v>
      </c>
      <c r="O22" s="29">
        <f>SUM(Emissions!Q44:Q45)</f>
        <v>0.14766165841899051</v>
      </c>
      <c r="P22" s="29">
        <f>SUM(Emissions!R44:R45)</f>
        <v>0.14956697014052586</v>
      </c>
      <c r="Q22" s="29">
        <f>SUM(Emissions!S44:S45)</f>
        <v>0.15413971827221074</v>
      </c>
      <c r="R22" s="29">
        <f>SUM(Emissions!T44:T45)</f>
        <v>0.14073902583074538</v>
      </c>
      <c r="S22" s="29">
        <f>SUM(Emissions!U44:U45)</f>
        <v>0.13718244395054602</v>
      </c>
      <c r="T22" s="29">
        <f>SUM(Emissions!V44:V45)</f>
        <v>0.13743648551341742</v>
      </c>
      <c r="U22" s="29">
        <f>SUM(Emissions!W44:W45)</f>
        <v>0.13565819457331774</v>
      </c>
      <c r="V22" s="29">
        <f>SUM(Emissions!X44:X45)</f>
        <v>0.13851616215562079</v>
      </c>
      <c r="W22" s="29">
        <f>SUM(Emissions!Y44:Y45)</f>
        <v>0.13438798675896085</v>
      </c>
      <c r="X22" s="29">
        <f>SUM(Emissions!Z44:Z45)</f>
        <v>0.13426096597752513</v>
      </c>
      <c r="Y22" s="29">
        <f>SUM(Emissions!AA44:AA45)</f>
        <v>0.13191108152096487</v>
      </c>
      <c r="Z22" s="29">
        <f>SUM(Emissions!AB44:AB45)</f>
        <v>0.13032332175301872</v>
      </c>
      <c r="AA22" s="29">
        <f>SUM(Emissions!AC44:AC45)</f>
        <v>0.12911662432937968</v>
      </c>
      <c r="AB22" s="29">
        <f>SUM(Emissions!AD44:AD45)</f>
        <v>0.12879907237579044</v>
      </c>
      <c r="AC22" s="29">
        <f>SUM(Emissions!AE44:AE45)</f>
        <v>0.12733833338928</v>
      </c>
      <c r="AD22" s="29">
        <f>SUM(Emissions!AF44:AF45)</f>
        <v>0.12619514635635878</v>
      </c>
      <c r="AE22" s="29">
        <f>SUM(Emissions!AG44:AG45)</f>
        <v>0.12448036580697694</v>
      </c>
      <c r="AF22" s="29">
        <f>SUM(Emissions!AH44:AH45)</f>
        <v>0.12073325275462407</v>
      </c>
      <c r="AG22" s="29">
        <f>SUM(Emissions!AI44:AI45)</f>
        <v>0.11704965009298902</v>
      </c>
      <c r="AH22" s="29">
        <f>SUM(Emissions!AJ44:AJ45)</f>
        <v>0.12074385603157141</v>
      </c>
      <c r="AI22" s="29">
        <f>SUM(Emissions!AK44:AK45)</f>
        <v>0.11955394296915563</v>
      </c>
      <c r="AJ22" s="29">
        <f>SUM(Emissions!AL44:AL45)</f>
        <v>0.11836547368093417</v>
      </c>
      <c r="AK22" s="29">
        <f>SUM(Emissions!AM44:AM45)</f>
        <v>0.11715915521807731</v>
      </c>
      <c r="AL22" s="29">
        <f>SUM(Emissions!AN44:AN45)</f>
        <v>0.11595285145380228</v>
      </c>
      <c r="AM22" s="29">
        <f>SUM(Emissions!AO44:AO45)</f>
        <v>0.11474654439509455</v>
      </c>
      <c r="AN22" s="29">
        <f>SUM(Emissions!AP44:AP45)</f>
        <v>0.113540249970654</v>
      </c>
      <c r="AO22" s="29">
        <f>SUM(Emissions!AQ44:AQ45)</f>
        <v>0.11233394086950478</v>
      </c>
      <c r="AP22" s="29">
        <f>SUM(Emissions!AR44:AR45)</f>
        <v>0.11102699719968086</v>
      </c>
      <c r="AQ22" s="29">
        <f>SUM(Emissions!AS44:AS45)</f>
        <v>0.10972005741542554</v>
      </c>
      <c r="AR22" s="29">
        <f>SUM(Emissions!AT44:AT45)</f>
        <v>0.1084130977950286</v>
      </c>
      <c r="AS22" s="29">
        <f>SUM(Emissions!AU44:AU45)</f>
        <v>0.10710612344558987</v>
      </c>
      <c r="AT22" s="29">
        <f>SUM(Emissions!AV44:AV45)</f>
        <v>0.10579913302275194</v>
      </c>
      <c r="AU22" s="29">
        <f>SUM(Emissions!AW44:AW45)</f>
        <v>0.10453640470659059</v>
      </c>
      <c r="AV22" s="29">
        <f>SUM(Emissions!AX44:AX45)</f>
        <v>0.1032737028376962</v>
      </c>
      <c r="AW22" s="29">
        <f>SUM(Emissions!AY44:AY45)</f>
        <v>0.10201094134501597</v>
      </c>
      <c r="AX22" s="29">
        <f>SUM(Emissions!AZ44:AZ45)</f>
        <v>0.10074813820792999</v>
      </c>
      <c r="AY22" s="29">
        <f>SUM(Emissions!BA44:BA45)</f>
        <v>9.9485291149000649E-2</v>
      </c>
      <c r="AZ22" s="29">
        <f>SUM(Emissions!BB44:BB45)</f>
        <v>9.8172802372917867E-2</v>
      </c>
      <c r="BA22" s="29">
        <f>SUM(Emissions!BC44:BC45)</f>
        <v>9.6860283386090873E-2</v>
      </c>
      <c r="BB22" s="29">
        <f>SUM(Emissions!BD44:BD45)</f>
        <v>9.5547753198355137E-2</v>
      </c>
      <c r="BC22" s="29">
        <f>SUM(Emissions!BE44:BE45)</f>
        <v>9.4235192492703401E-2</v>
      </c>
      <c r="BD22" s="29">
        <f>SUM(Emissions!BF44:BF45)</f>
        <v>9.2922584226413682E-2</v>
      </c>
      <c r="BE22" s="29">
        <f>SUM(Emissions!BG44:BG45)</f>
        <v>9.1424287308496943E-2</v>
      </c>
      <c r="BF22" s="29">
        <f>SUM(Emissions!BH44:BH45)</f>
        <v>8.9925953902068256E-2</v>
      </c>
      <c r="BG22" s="29">
        <f>SUM(Emissions!BI44:BI45)</f>
        <v>8.8427586043921841E-2</v>
      </c>
      <c r="BH22" s="29">
        <f>SUM(Emissions!BJ44:BJ45)</f>
        <v>8.6929178618932082E-2</v>
      </c>
      <c r="BI22" s="29">
        <f>SUM(Emissions!BK44:BK45)</f>
        <v>8.5430711258710698E-2</v>
      </c>
      <c r="BJ22" s="29">
        <f>SUM(Emissions!BL44:BL45)</f>
        <v>8.3985043903559556E-2</v>
      </c>
      <c r="BK22" s="29">
        <f>SUM(Emissions!BM44:BM45)</f>
        <v>8.253932487057089E-2</v>
      </c>
      <c r="BL22" s="29">
        <f>SUM(Emissions!BN44:BN45)</f>
        <v>8.1093592856322921E-2</v>
      </c>
      <c r="BM22" s="29">
        <f>SUM(Emissions!BO44:BO45)</f>
        <v>7.9647804502839314E-2</v>
      </c>
      <c r="BN22" s="29">
        <f>SUM(Emissions!BP44:BP45)</f>
        <v>7.8201955084572214E-2</v>
      </c>
    </row>
    <row r="23" spans="1:66" x14ac:dyDescent="0.25">
      <c r="A23" t="str">
        <f t="shared" si="2"/>
        <v>3A Livestock</v>
      </c>
      <c r="B23" t="str">
        <f t="shared" si="15"/>
        <v>3A2 Manure management (N2O)</v>
      </c>
      <c r="C23" t="str">
        <f t="shared" si="14"/>
        <v>3A1f Horses</v>
      </c>
      <c r="D23" t="str">
        <f t="shared" si="16"/>
        <v>N2O</v>
      </c>
      <c r="E23" t="str">
        <f t="shared" si="17"/>
        <v>Gg N2O</v>
      </c>
      <c r="F23" s="29" t="str">
        <f>Emissions!H46</f>
        <v>NO</v>
      </c>
      <c r="G23" s="29" t="str">
        <f>Emissions!I46</f>
        <v>NO</v>
      </c>
      <c r="H23" s="29" t="str">
        <f>Emissions!J46</f>
        <v>NO</v>
      </c>
      <c r="I23" s="29" t="str">
        <f>Emissions!K46</f>
        <v>NO</v>
      </c>
      <c r="J23" s="29" t="str">
        <f>Emissions!L46</f>
        <v>NO</v>
      </c>
      <c r="K23" s="29" t="str">
        <f>Emissions!M46</f>
        <v>NO</v>
      </c>
      <c r="L23" s="29" t="str">
        <f>Emissions!N46</f>
        <v>NO</v>
      </c>
      <c r="M23" s="29" t="str">
        <f>Emissions!O46</f>
        <v>NO</v>
      </c>
      <c r="N23" s="29" t="str">
        <f>Emissions!P46</f>
        <v>NO</v>
      </c>
      <c r="O23" s="29" t="str">
        <f>Emissions!Q46</f>
        <v>NO</v>
      </c>
      <c r="P23" s="29" t="str">
        <f>Emissions!R46</f>
        <v>NO</v>
      </c>
      <c r="Q23" s="29" t="str">
        <f>Emissions!S46</f>
        <v>NO</v>
      </c>
      <c r="R23" s="29" t="str">
        <f>Emissions!T46</f>
        <v>NO</v>
      </c>
      <c r="S23" s="29" t="str">
        <f>Emissions!U46</f>
        <v>NO</v>
      </c>
      <c r="T23" s="29" t="str">
        <f>Emissions!V46</f>
        <v>NO</v>
      </c>
      <c r="U23" s="29" t="str">
        <f>Emissions!W46</f>
        <v>NO</v>
      </c>
      <c r="V23" s="29" t="str">
        <f>Emissions!X46</f>
        <v>NO</v>
      </c>
      <c r="W23" s="29" t="str">
        <f>Emissions!Y46</f>
        <v>NO</v>
      </c>
      <c r="X23" s="29" t="str">
        <f>Emissions!Z46</f>
        <v>NO</v>
      </c>
      <c r="Y23" s="29" t="str">
        <f>Emissions!AA46</f>
        <v>NO</v>
      </c>
      <c r="Z23" s="29" t="str">
        <f>Emissions!AB46</f>
        <v>NO</v>
      </c>
      <c r="AA23" s="29" t="str">
        <f>Emissions!AC46</f>
        <v>NO</v>
      </c>
      <c r="AB23" s="29" t="str">
        <f>Emissions!AD46</f>
        <v>NO</v>
      </c>
      <c r="AC23" s="29" t="str">
        <f>Emissions!AE46</f>
        <v>NO</v>
      </c>
      <c r="AD23" s="29" t="str">
        <f>Emissions!AF46</f>
        <v>NO</v>
      </c>
      <c r="AE23" s="29" t="str">
        <f>Emissions!AG46</f>
        <v>NO</v>
      </c>
      <c r="AF23" s="29" t="str">
        <f>Emissions!AH46</f>
        <v>NO</v>
      </c>
      <c r="AG23" s="29" t="str">
        <f>Emissions!AI46</f>
        <v>NO</v>
      </c>
      <c r="AH23" s="29" t="str">
        <f>Emissions!AJ46</f>
        <v>NO</v>
      </c>
      <c r="AI23" s="29" t="str">
        <f>Emissions!AK46</f>
        <v>NO</v>
      </c>
      <c r="AJ23" s="29" t="str">
        <f>Emissions!AL46</f>
        <v>NO</v>
      </c>
      <c r="AK23" s="29" t="str">
        <f>Emissions!AM46</f>
        <v>NO</v>
      </c>
      <c r="AL23" s="29" t="str">
        <f>Emissions!AN46</f>
        <v>NO</v>
      </c>
      <c r="AM23" s="29" t="str">
        <f>Emissions!AO46</f>
        <v>NO</v>
      </c>
      <c r="AN23" s="29" t="str">
        <f>Emissions!AP46</f>
        <v>NO</v>
      </c>
      <c r="AO23" s="29" t="str">
        <f>Emissions!AQ46</f>
        <v>NO</v>
      </c>
      <c r="AP23" s="29" t="str">
        <f>Emissions!AR46</f>
        <v>NO</v>
      </c>
      <c r="AQ23" s="29" t="str">
        <f>Emissions!AS46</f>
        <v>NO</v>
      </c>
      <c r="AR23" s="29" t="str">
        <f>Emissions!AT46</f>
        <v>NO</v>
      </c>
      <c r="AS23" s="29" t="str">
        <f>Emissions!AU46</f>
        <v>NO</v>
      </c>
      <c r="AT23" s="29" t="str">
        <f>Emissions!AV46</f>
        <v>NO</v>
      </c>
      <c r="AU23" s="29" t="str">
        <f>Emissions!AW46</f>
        <v>NO</v>
      </c>
      <c r="AV23" s="29" t="str">
        <f>Emissions!AX46</f>
        <v>NO</v>
      </c>
      <c r="AW23" s="29" t="str">
        <f>Emissions!AY46</f>
        <v>NO</v>
      </c>
      <c r="AX23" s="29" t="str">
        <f>Emissions!AZ46</f>
        <v>NO</v>
      </c>
      <c r="AY23" s="29" t="str">
        <f>Emissions!BA46</f>
        <v>NO</v>
      </c>
      <c r="AZ23" s="29" t="str">
        <f>Emissions!BB46</f>
        <v>NO</v>
      </c>
      <c r="BA23" s="29" t="str">
        <f>Emissions!BC46</f>
        <v>NO</v>
      </c>
      <c r="BB23" s="29" t="str">
        <f>Emissions!BD46</f>
        <v>NO</v>
      </c>
      <c r="BC23" s="29" t="str">
        <f>Emissions!BE46</f>
        <v>NO</v>
      </c>
      <c r="BD23" s="29" t="str">
        <f>Emissions!BF46</f>
        <v>NO</v>
      </c>
      <c r="BE23" s="29" t="str">
        <f>Emissions!BG46</f>
        <v>NO</v>
      </c>
      <c r="BF23" s="29" t="str">
        <f>Emissions!BH46</f>
        <v>NO</v>
      </c>
      <c r="BG23" s="29" t="str">
        <f>Emissions!BI46</f>
        <v>NO</v>
      </c>
      <c r="BH23" s="29" t="str">
        <f>Emissions!BJ46</f>
        <v>NO</v>
      </c>
      <c r="BI23" s="29" t="str">
        <f>Emissions!BK46</f>
        <v>NO</v>
      </c>
      <c r="BJ23" s="29" t="str">
        <f>Emissions!BL46</f>
        <v>NO</v>
      </c>
      <c r="BK23" s="29" t="str">
        <f>Emissions!BM46</f>
        <v>NO</v>
      </c>
      <c r="BL23" s="29" t="str">
        <f>Emissions!BN46</f>
        <v>NO</v>
      </c>
      <c r="BM23" s="29" t="str">
        <f>Emissions!BO46</f>
        <v>NO</v>
      </c>
      <c r="BN23" s="29" t="str">
        <f>Emissions!BP46</f>
        <v>NO</v>
      </c>
    </row>
    <row r="24" spans="1:66" x14ac:dyDescent="0.25">
      <c r="A24" t="str">
        <f t="shared" si="2"/>
        <v>3A Livestock</v>
      </c>
      <c r="B24" t="str">
        <f t="shared" si="15"/>
        <v>3A2 Manure management (N2O)</v>
      </c>
      <c r="C24" t="str">
        <f t="shared" si="14"/>
        <v>3A1g Mules &amp; asses</v>
      </c>
      <c r="D24" t="str">
        <f t="shared" si="16"/>
        <v>N2O</v>
      </c>
      <c r="E24" t="str">
        <f t="shared" si="17"/>
        <v>Gg N2O</v>
      </c>
      <c r="F24" s="29" t="str">
        <f>Emissions!H47</f>
        <v>NO</v>
      </c>
      <c r="G24" s="29" t="str">
        <f>Emissions!I47</f>
        <v>NO</v>
      </c>
      <c r="H24" s="29" t="str">
        <f>Emissions!J47</f>
        <v>NO</v>
      </c>
      <c r="I24" s="29" t="str">
        <f>Emissions!K47</f>
        <v>NO</v>
      </c>
      <c r="J24" s="29" t="str">
        <f>Emissions!L47</f>
        <v>NO</v>
      </c>
      <c r="K24" s="29" t="str">
        <f>Emissions!M47</f>
        <v>NO</v>
      </c>
      <c r="L24" s="29" t="str">
        <f>Emissions!N47</f>
        <v>NO</v>
      </c>
      <c r="M24" s="29" t="str">
        <f>Emissions!O47</f>
        <v>NO</v>
      </c>
      <c r="N24" s="29" t="str">
        <f>Emissions!P47</f>
        <v>NO</v>
      </c>
      <c r="O24" s="29" t="str">
        <f>Emissions!Q47</f>
        <v>NO</v>
      </c>
      <c r="P24" s="29" t="str">
        <f>Emissions!R47</f>
        <v>NO</v>
      </c>
      <c r="Q24" s="29" t="str">
        <f>Emissions!S47</f>
        <v>NO</v>
      </c>
      <c r="R24" s="29" t="str">
        <f>Emissions!T47</f>
        <v>NO</v>
      </c>
      <c r="S24" s="29" t="str">
        <f>Emissions!U47</f>
        <v>NO</v>
      </c>
      <c r="T24" s="29" t="str">
        <f>Emissions!V47</f>
        <v>NO</v>
      </c>
      <c r="U24" s="29" t="str">
        <f>Emissions!W47</f>
        <v>NO</v>
      </c>
      <c r="V24" s="29" t="str">
        <f>Emissions!X47</f>
        <v>NO</v>
      </c>
      <c r="W24" s="29" t="str">
        <f>Emissions!Y47</f>
        <v>NO</v>
      </c>
      <c r="X24" s="29" t="str">
        <f>Emissions!Z47</f>
        <v>NO</v>
      </c>
      <c r="Y24" s="29" t="str">
        <f>Emissions!AA47</f>
        <v>NO</v>
      </c>
      <c r="Z24" s="29" t="str">
        <f>Emissions!AB47</f>
        <v>NO</v>
      </c>
      <c r="AA24" s="29" t="str">
        <f>Emissions!AC47</f>
        <v>NO</v>
      </c>
      <c r="AB24" s="29" t="str">
        <f>Emissions!AD47</f>
        <v>NO</v>
      </c>
      <c r="AC24" s="29" t="str">
        <f>Emissions!AE47</f>
        <v>NO</v>
      </c>
      <c r="AD24" s="29" t="str">
        <f>Emissions!AF47</f>
        <v>NO</v>
      </c>
      <c r="AE24" s="29" t="str">
        <f>Emissions!AG47</f>
        <v>NO</v>
      </c>
      <c r="AF24" s="29" t="str">
        <f>Emissions!AH47</f>
        <v>NO</v>
      </c>
      <c r="AG24" s="29" t="str">
        <f>Emissions!AI47</f>
        <v>NO</v>
      </c>
      <c r="AH24" s="29" t="str">
        <f>Emissions!AJ47</f>
        <v>NO</v>
      </c>
      <c r="AI24" s="29" t="str">
        <f>Emissions!AK47</f>
        <v>NO</v>
      </c>
      <c r="AJ24" s="29" t="str">
        <f>Emissions!AL47</f>
        <v>NO</v>
      </c>
      <c r="AK24" s="29" t="str">
        <f>Emissions!AM47</f>
        <v>NO</v>
      </c>
      <c r="AL24" s="29" t="str">
        <f>Emissions!AN47</f>
        <v>NO</v>
      </c>
      <c r="AM24" s="29" t="str">
        <f>Emissions!AO47</f>
        <v>NO</v>
      </c>
      <c r="AN24" s="29" t="str">
        <f>Emissions!AP47</f>
        <v>NO</v>
      </c>
      <c r="AO24" s="29" t="str">
        <f>Emissions!AQ47</f>
        <v>NO</v>
      </c>
      <c r="AP24" s="29" t="str">
        <f>Emissions!AR47</f>
        <v>NO</v>
      </c>
      <c r="AQ24" s="29" t="str">
        <f>Emissions!AS47</f>
        <v>NO</v>
      </c>
      <c r="AR24" s="29" t="str">
        <f>Emissions!AT47</f>
        <v>NO</v>
      </c>
      <c r="AS24" s="29" t="str">
        <f>Emissions!AU47</f>
        <v>NO</v>
      </c>
      <c r="AT24" s="29" t="str">
        <f>Emissions!AV47</f>
        <v>NO</v>
      </c>
      <c r="AU24" s="29" t="str">
        <f>Emissions!AW47</f>
        <v>NO</v>
      </c>
      <c r="AV24" s="29" t="str">
        <f>Emissions!AX47</f>
        <v>NO</v>
      </c>
      <c r="AW24" s="29" t="str">
        <f>Emissions!AY47</f>
        <v>NO</v>
      </c>
      <c r="AX24" s="29" t="str">
        <f>Emissions!AZ47</f>
        <v>NO</v>
      </c>
      <c r="AY24" s="29" t="str">
        <f>Emissions!BA47</f>
        <v>NO</v>
      </c>
      <c r="AZ24" s="29" t="str">
        <f>Emissions!BB47</f>
        <v>NO</v>
      </c>
      <c r="BA24" s="29" t="str">
        <f>Emissions!BC47</f>
        <v>NO</v>
      </c>
      <c r="BB24" s="29" t="str">
        <f>Emissions!BD47</f>
        <v>NO</v>
      </c>
      <c r="BC24" s="29" t="str">
        <f>Emissions!BE47</f>
        <v>NO</v>
      </c>
      <c r="BD24" s="29" t="str">
        <f>Emissions!BF47</f>
        <v>NO</v>
      </c>
      <c r="BE24" s="29" t="str">
        <f>Emissions!BG47</f>
        <v>NO</v>
      </c>
      <c r="BF24" s="29" t="str">
        <f>Emissions!BH47</f>
        <v>NO</v>
      </c>
      <c r="BG24" s="29" t="str">
        <f>Emissions!BI47</f>
        <v>NO</v>
      </c>
      <c r="BH24" s="29" t="str">
        <f>Emissions!BJ47</f>
        <v>NO</v>
      </c>
      <c r="BI24" s="29" t="str">
        <f>Emissions!BK47</f>
        <v>NO</v>
      </c>
      <c r="BJ24" s="29" t="str">
        <f>Emissions!BL47</f>
        <v>NO</v>
      </c>
      <c r="BK24" s="29" t="str">
        <f>Emissions!BM47</f>
        <v>NO</v>
      </c>
      <c r="BL24" s="29" t="str">
        <f>Emissions!BN47</f>
        <v>NO</v>
      </c>
      <c r="BM24" s="29" t="str">
        <f>Emissions!BO47</f>
        <v>NO</v>
      </c>
      <c r="BN24" s="29" t="str">
        <f>Emissions!BP47</f>
        <v>NO</v>
      </c>
    </row>
    <row r="25" spans="1:66" x14ac:dyDescent="0.25">
      <c r="A25" t="str">
        <f t="shared" si="2"/>
        <v>3A Livestock</v>
      </c>
      <c r="B25" t="str">
        <f t="shared" si="15"/>
        <v>3A2 Manure management (N2O)</v>
      </c>
      <c r="C25" t="str">
        <f t="shared" si="14"/>
        <v>3A1h Swine</v>
      </c>
      <c r="D25" t="str">
        <f t="shared" si="16"/>
        <v>N2O</v>
      </c>
      <c r="E25" t="str">
        <f t="shared" si="17"/>
        <v>Gg N2O</v>
      </c>
      <c r="F25" s="29">
        <f>SUM(Emissions!H48:H49)</f>
        <v>0.12329867623327949</v>
      </c>
      <c r="G25" s="29">
        <f>SUM(Emissions!I48:I49)</f>
        <v>0.13470623092415376</v>
      </c>
      <c r="H25" s="29">
        <f>SUM(Emissions!J48:J49)</f>
        <v>0.13381627984897917</v>
      </c>
      <c r="I25" s="29">
        <f>SUM(Emissions!K48:K49)</f>
        <v>0.13373537520578149</v>
      </c>
      <c r="J25" s="29">
        <f>SUM(Emissions!L48:L49)</f>
        <v>0.12702028982037319</v>
      </c>
      <c r="K25" s="29">
        <f>SUM(Emissions!M48:M49)</f>
        <v>0.12823385946833857</v>
      </c>
      <c r="L25" s="29">
        <f>SUM(Emissions!N48:N49)</f>
        <v>0.13810422593845673</v>
      </c>
      <c r="M25" s="29">
        <f>SUM(Emissions!O48:O49)</f>
        <v>0.13745698879287524</v>
      </c>
      <c r="N25" s="29">
        <f>SUM(Emissions!P48:P49)</f>
        <v>0.14045046059118976</v>
      </c>
      <c r="O25" s="29">
        <f>SUM(Emissions!Q48:Q49)</f>
        <v>0.14401026489188812</v>
      </c>
      <c r="P25" s="29">
        <f>SUM(Emissions!R48:R49)</f>
        <v>0.13324994734659534</v>
      </c>
      <c r="Q25" s="29">
        <f>SUM(Emissions!S48:S49)</f>
        <v>0.13575799128572374</v>
      </c>
      <c r="R25" s="29">
        <f>SUM(Emissions!T48:T49)</f>
        <v>0.1383469398680498</v>
      </c>
      <c r="S25" s="29">
        <f>SUM(Emissions!U48:U49)</f>
        <v>0.1345444216377584</v>
      </c>
      <c r="T25" s="29">
        <f>SUM(Emissions!V48:V49)</f>
        <v>0.1345444216377584</v>
      </c>
      <c r="U25" s="29">
        <f>SUM(Emissions!W48:W49)</f>
        <v>0.1335735659193861</v>
      </c>
      <c r="V25" s="29">
        <f>SUM(Emissions!X48:X49)</f>
        <v>0.13122733126665309</v>
      </c>
      <c r="W25" s="29">
        <f>SUM(Emissions!Y48:Y49)</f>
        <v>0.1335735659193861</v>
      </c>
      <c r="X25" s="29">
        <f>SUM(Emissions!Z48:Z49)</f>
        <v>0.13066099876426929</v>
      </c>
      <c r="Y25" s="29">
        <f>SUM(Emissions!AA48:AA49)</f>
        <v>0.13049918947787389</v>
      </c>
      <c r="Z25" s="29">
        <f>SUM(Emissions!AB48:AB49)</f>
        <v>0.12896200125711779</v>
      </c>
      <c r="AA25" s="29">
        <f>SUM(Emissions!AC48:AC49)</f>
        <v>0.12815295482514089</v>
      </c>
      <c r="AB25" s="29">
        <f>SUM(Emissions!AD48:AD49)</f>
        <v>0.12774843160915245</v>
      </c>
      <c r="AC25" s="29">
        <f>SUM(Emissions!AE48:AE49)</f>
        <v>0.12734390839316398</v>
      </c>
      <c r="AD25" s="29">
        <f>SUM(Emissions!AF48:AF49)</f>
        <v>0.12637305267479171</v>
      </c>
      <c r="AE25" s="29">
        <f>SUM(Emissions!AG48:AG49)</f>
        <v>0.12321777159008179</v>
      </c>
      <c r="AF25" s="29">
        <f>SUM(Emissions!AH48:AH49)</f>
        <v>0.1223278205149072</v>
      </c>
      <c r="AG25" s="29">
        <f>SUM(Emissions!AI48:AI49)</f>
        <v>0.11981977657577882</v>
      </c>
      <c r="AH25" s="29">
        <f>SUM(Emissions!AJ48:AJ49)</f>
        <v>0.1248330614503112</v>
      </c>
      <c r="AI25" s="29">
        <f>SUM(Emissions!AK48:AK49)</f>
        <v>0.12464958680575662</v>
      </c>
      <c r="AJ25" s="29">
        <f>SUM(Emissions!AL48:AL49)</f>
        <v>0.12514294080016802</v>
      </c>
      <c r="AK25" s="29">
        <f>SUM(Emissions!AM48:AM49)</f>
        <v>0.12485703216514625</v>
      </c>
      <c r="AL25" s="29">
        <f>SUM(Emissions!AN48:AN49)</f>
        <v>0.12457800366280482</v>
      </c>
      <c r="AM25" s="29">
        <f>SUM(Emissions!AO48:AO49)</f>
        <v>0.12429743075940028</v>
      </c>
      <c r="AN25" s="29">
        <f>SUM(Emissions!AP48:AP49)</f>
        <v>0.12402278068928646</v>
      </c>
      <c r="AO25" s="29">
        <f>SUM(Emissions!AQ48:AQ49)</f>
        <v>0.12374126074043193</v>
      </c>
      <c r="AP25" s="29">
        <f>SUM(Emissions!AR48:AR49)</f>
        <v>0.1234188315372767</v>
      </c>
      <c r="AQ25" s="29">
        <f>SUM(Emissions!AS48:AS49)</f>
        <v>0.12309822385447651</v>
      </c>
      <c r="AR25" s="29">
        <f>SUM(Emissions!AT48:AT49)</f>
        <v>0.12276831716302769</v>
      </c>
      <c r="AS25" s="29">
        <f>SUM(Emissions!AU48:AU49)</f>
        <v>0.12243150562637609</v>
      </c>
      <c r="AT25" s="29">
        <f>SUM(Emissions!AV48:AV49)</f>
        <v>0.12208715902161592</v>
      </c>
      <c r="AU25" s="29">
        <f>SUM(Emissions!AW48:AW49)</f>
        <v>0.12170275034349151</v>
      </c>
      <c r="AV25" s="29">
        <f>SUM(Emissions!AX48:AX49)</f>
        <v>0.1213307294782435</v>
      </c>
      <c r="AW25" s="29">
        <f>SUM(Emissions!AY48:AY49)</f>
        <v>0.12093076793997423</v>
      </c>
      <c r="AX25" s="29">
        <f>SUM(Emissions!AZ48:AZ49)</f>
        <v>0.12051127343755075</v>
      </c>
      <c r="AY25" s="29">
        <f>SUM(Emissions!BA48:BA49)</f>
        <v>0.12007118876140234</v>
      </c>
      <c r="AZ25" s="29">
        <f>SUM(Emissions!BB48:BB49)</f>
        <v>0.11961695741356479</v>
      </c>
      <c r="BA25" s="29">
        <f>SUM(Emissions!BC48:BC49)</f>
        <v>0.11914856353462941</v>
      </c>
      <c r="BB25" s="29">
        <f>SUM(Emissions!BD48:BD49)</f>
        <v>0.11867490833507235</v>
      </c>
      <c r="BC25" s="29">
        <f>SUM(Emissions!BE48:BE49)</f>
        <v>0.11818695703817915</v>
      </c>
      <c r="BD25" s="29">
        <f>SUM(Emissions!BF48:BF49)</f>
        <v>0.11767670973267882</v>
      </c>
      <c r="BE25" s="29">
        <f>SUM(Emissions!BG48:BG49)</f>
        <v>0.11713298500996791</v>
      </c>
      <c r="BF25" s="29">
        <f>SUM(Emissions!BH48:BH49)</f>
        <v>0.11657214436072177</v>
      </c>
      <c r="BG25" s="29">
        <f>SUM(Emissions!BI48:BI49)</f>
        <v>0.11599516348253289</v>
      </c>
      <c r="BH25" s="29">
        <f>SUM(Emissions!BJ48:BJ49)</f>
        <v>0.11539963401629415</v>
      </c>
      <c r="BI25" s="29">
        <f>SUM(Emissions!BK48:BK49)</f>
        <v>0.11477600744082558</v>
      </c>
      <c r="BJ25" s="29">
        <f>SUM(Emissions!BL48:BL49)</f>
        <v>0.11413354442116079</v>
      </c>
      <c r="BK25" s="29">
        <f>SUM(Emissions!BM48:BM49)</f>
        <v>0.11346685528594226</v>
      </c>
      <c r="BL25" s="29">
        <f>SUM(Emissions!BN48:BN49)</f>
        <v>0.11279409108376603</v>
      </c>
      <c r="BM25" s="29">
        <f>SUM(Emissions!BO48:BO49)</f>
        <v>0.11209490511044615</v>
      </c>
      <c r="BN25" s="29">
        <f>SUM(Emissions!BP48:BP49)</f>
        <v>0.11136709250393642</v>
      </c>
    </row>
    <row r="26" spans="1:66" x14ac:dyDescent="0.25">
      <c r="A26" t="str">
        <f t="shared" si="2"/>
        <v>3A Livestock</v>
      </c>
      <c r="B26" t="str">
        <f t="shared" si="15"/>
        <v>3A2 Manure management (N2O)</v>
      </c>
      <c r="C26" t="str">
        <f t="shared" si="14"/>
        <v>3A2i Poultry</v>
      </c>
      <c r="D26" t="str">
        <f t="shared" si="16"/>
        <v>N2O</v>
      </c>
      <c r="E26" t="str">
        <f t="shared" si="17"/>
        <v>Gg N2O</v>
      </c>
      <c r="F26" s="29">
        <f>SUM(Emissions!H50:H53)</f>
        <v>0.97142643116498173</v>
      </c>
      <c r="G26" s="29">
        <f>SUM(Emissions!I50:I53)</f>
        <v>0.91979947773956539</v>
      </c>
      <c r="H26" s="29">
        <f>SUM(Emissions!J50:J53)</f>
        <v>0.86996640861962027</v>
      </c>
      <c r="I26" s="29">
        <f>SUM(Emissions!K50:K53)</f>
        <v>0.95105089689588118</v>
      </c>
      <c r="J26" s="29">
        <f>SUM(Emissions!L50:L53)</f>
        <v>0.93558760332506563</v>
      </c>
      <c r="K26" s="29">
        <f>SUM(Emissions!M50:M53)</f>
        <v>1.0610980244624493</v>
      </c>
      <c r="L26" s="29">
        <f>SUM(Emissions!N50:N53)</f>
        <v>1.2124779056940209</v>
      </c>
      <c r="M26" s="29">
        <f>SUM(Emissions!O50:O53)</f>
        <v>1.2310774331909755</v>
      </c>
      <c r="N26" s="29">
        <f>SUM(Emissions!P50:P53)</f>
        <v>1.3553349187397734</v>
      </c>
      <c r="O26" s="29">
        <f>SUM(Emissions!Q50:Q53)</f>
        <v>1.4216688462228295</v>
      </c>
      <c r="P26" s="29">
        <f>SUM(Emissions!R50:R53)</f>
        <v>1.5047428388913393</v>
      </c>
      <c r="Q26" s="29">
        <f>SUM(Emissions!S50:S53)</f>
        <v>1.4682944579243469</v>
      </c>
      <c r="R26" s="29">
        <f>SUM(Emissions!T50:T53)</f>
        <v>1.5974517753633082</v>
      </c>
      <c r="S26" s="29">
        <f>SUM(Emissions!U50:U53)</f>
        <v>1.5216968274171625</v>
      </c>
      <c r="T26" s="29">
        <f>SUM(Emissions!V50:V53)</f>
        <v>1.561402779749649</v>
      </c>
      <c r="U26" s="29">
        <f>SUM(Emissions!W50:W53)</f>
        <v>1.715924170745724</v>
      </c>
      <c r="V26" s="29">
        <f>SUM(Emissions!X50:X53)</f>
        <v>1.8445047156055465</v>
      </c>
      <c r="W26" s="29">
        <f>SUM(Emissions!Y50:Y53)</f>
        <v>1.9478096113399568</v>
      </c>
      <c r="X26" s="29">
        <f>SUM(Emissions!Z50:Z53)</f>
        <v>2.0569289282113736</v>
      </c>
      <c r="Y26" s="29">
        <f>SUM(Emissions!AA50:AA53)</f>
        <v>1.9474443632124327</v>
      </c>
      <c r="Z26" s="29">
        <f>SUM(Emissions!AB50:AB53)</f>
        <v>2.0008545268528479</v>
      </c>
      <c r="AA26" s="29">
        <f>SUM(Emissions!AC50:AC53)</f>
        <v>2.0733749858055939</v>
      </c>
      <c r="AB26" s="29">
        <f>SUM(Emissions!AD50:AD53)</f>
        <v>2.1245014501858854</v>
      </c>
      <c r="AC26" s="29">
        <f>SUM(Emissions!AE50:AE53)</f>
        <v>2.0713208913006285</v>
      </c>
      <c r="AD26" s="29">
        <f>SUM(Emissions!AF50:AF53)</f>
        <v>2.146382240672708</v>
      </c>
      <c r="AE26" s="29">
        <f>SUM(Emissions!AG50:AG53)</f>
        <v>2.2261725622861848</v>
      </c>
      <c r="AF26" s="29">
        <f>SUM(Emissions!AH50:AH53)</f>
        <v>2.0945938378811597</v>
      </c>
      <c r="AG26" s="29">
        <f>SUM(Emissions!AI50:AI53)</f>
        <v>2.0686868324945897</v>
      </c>
      <c r="AH26" s="29">
        <f>SUM(Emissions!AJ50:AJ53)</f>
        <v>2.2902897049692119</v>
      </c>
      <c r="AI26" s="29">
        <f>SUM(Emissions!AK50:AK53)</f>
        <v>2.3284242747361463</v>
      </c>
      <c r="AJ26" s="29">
        <f>SUM(Emissions!AL50:AL53)</f>
        <v>2.3613496515730898</v>
      </c>
      <c r="AK26" s="29">
        <f>SUM(Emissions!AM50:AM53)</f>
        <v>2.4007723173645319</v>
      </c>
      <c r="AL26" s="29">
        <f>SUM(Emissions!AN50:AN53)</f>
        <v>2.440142029717725</v>
      </c>
      <c r="AM26" s="29">
        <f>SUM(Emissions!AO50:AO53)</f>
        <v>2.479523628511052</v>
      </c>
      <c r="AN26" s="29">
        <f>SUM(Emissions!AP50:AP53)</f>
        <v>2.5188596423815088</v>
      </c>
      <c r="AO26" s="29">
        <f>SUM(Emissions!AQ50:AQ53)</f>
        <v>2.5582485307710536</v>
      </c>
      <c r="AP26" s="29">
        <f>SUM(Emissions!AR50:AR53)</f>
        <v>2.6010563343140083</v>
      </c>
      <c r="AQ26" s="29">
        <f>SUM(Emissions!AS50:AS53)</f>
        <v>2.6438501185758487</v>
      </c>
      <c r="AR26" s="29">
        <f>SUM(Emissions!AT50:AT53)</f>
        <v>2.6867154724009725</v>
      </c>
      <c r="AS26" s="29">
        <f>SUM(Emissions!AU50:AU53)</f>
        <v>2.7296339691765303</v>
      </c>
      <c r="AT26" s="29">
        <f>SUM(Emissions!AV50:AV53)</f>
        <v>2.7726104593957146</v>
      </c>
      <c r="AU26" s="29">
        <f>SUM(Emissions!AW50:AW53)</f>
        <v>2.8145262050537498</v>
      </c>
      <c r="AV26" s="29">
        <f>SUM(Emissions!AX50:AX53)</f>
        <v>2.8563466075649946</v>
      </c>
      <c r="AW26" s="29">
        <f>SUM(Emissions!AY50:AY53)</f>
        <v>2.898382055381663</v>
      </c>
      <c r="AX26" s="29">
        <f>SUM(Emissions!AZ50:AZ53)</f>
        <v>2.9405678374305029</v>
      </c>
      <c r="AY26" s="29">
        <f>SUM(Emissions!BA50:BA53)</f>
        <v>2.9829120911828411</v>
      </c>
      <c r="AZ26" s="29">
        <f>SUM(Emissions!BB50:BB53)</f>
        <v>3.0268968130550293</v>
      </c>
      <c r="BA26" s="29">
        <f>SUM(Emissions!BC50:BC53)</f>
        <v>3.0709905364567294</v>
      </c>
      <c r="BB26" s="29">
        <f>SUM(Emissions!BD50:BD53)</f>
        <v>3.1151247527802481</v>
      </c>
      <c r="BC26" s="29">
        <f>SUM(Emissions!BE50:BE53)</f>
        <v>3.1593689993092053</v>
      </c>
      <c r="BD26" s="29">
        <f>SUM(Emissions!BF50:BF53)</f>
        <v>3.2037848464527308</v>
      </c>
      <c r="BE26" s="29">
        <f>SUM(Emissions!BG50:BG53)</f>
        <v>3.2541886566210145</v>
      </c>
      <c r="BF26" s="29">
        <f>SUM(Emissions!BH50:BH53)</f>
        <v>3.3047241983581785</v>
      </c>
      <c r="BG26" s="29">
        <f>SUM(Emissions!BI50:BI53)</f>
        <v>3.355383963608769</v>
      </c>
      <c r="BH26" s="29">
        <f>SUM(Emissions!BJ50:BJ53)</f>
        <v>3.4061864875550878</v>
      </c>
      <c r="BI26" s="29">
        <f>SUM(Emissions!BK50:BK53)</f>
        <v>3.4572052601267256</v>
      </c>
      <c r="BJ26" s="29">
        <f>SUM(Emissions!BL50:BL53)</f>
        <v>3.506737744693357</v>
      </c>
      <c r="BK26" s="29">
        <f>SUM(Emissions!BM50:BM53)</f>
        <v>3.5564566848893713</v>
      </c>
      <c r="BL26" s="29">
        <f>SUM(Emissions!BN50:BN53)</f>
        <v>3.606222382357533</v>
      </c>
      <c r="BM26" s="29">
        <f>SUM(Emissions!BO50:BO53)</f>
        <v>3.6561914335706316</v>
      </c>
      <c r="BN26" s="29">
        <f>SUM(Emissions!BP50:BP53)</f>
        <v>3.7063808088755872</v>
      </c>
    </row>
    <row r="27" spans="1:66" s="19" customFormat="1" ht="15.75" x14ac:dyDescent="0.25">
      <c r="A27" s="19" t="str">
        <f>'IPCC Categories'!A59</f>
        <v>3C Aggregated and non-CO2 emissions on land</v>
      </c>
      <c r="B27" s="19" t="str">
        <f>'IPCC Categories'!B59</f>
        <v>3C1 Biomass burning (CH4)</v>
      </c>
      <c r="C27" s="19" t="s">
        <v>152</v>
      </c>
      <c r="D27" s="19" t="s">
        <v>125</v>
      </c>
      <c r="E27" s="19" t="s">
        <v>290</v>
      </c>
      <c r="F27" s="50">
        <f>SUM(F28:F33)</f>
        <v>53.0453492171862</v>
      </c>
      <c r="G27" s="50">
        <f t="shared" ref="G27:BN27" si="18">SUM(G28:G33)</f>
        <v>53.0453492171862</v>
      </c>
      <c r="H27" s="50">
        <f t="shared" si="18"/>
        <v>53.0453492171862</v>
      </c>
      <c r="I27" s="50">
        <f t="shared" si="18"/>
        <v>53.0453492171862</v>
      </c>
      <c r="J27" s="50">
        <f t="shared" si="18"/>
        <v>53.0453492171862</v>
      </c>
      <c r="K27" s="50">
        <f t="shared" si="18"/>
        <v>53.0453492171862</v>
      </c>
      <c r="L27" s="50">
        <f t="shared" si="18"/>
        <v>53.0453492171862</v>
      </c>
      <c r="M27" s="50">
        <f t="shared" si="18"/>
        <v>53.0453492171862</v>
      </c>
      <c r="N27" s="50">
        <f t="shared" si="18"/>
        <v>53.0453492171862</v>
      </c>
      <c r="O27" s="50">
        <f t="shared" si="18"/>
        <v>53.0453492171862</v>
      </c>
      <c r="P27" s="50">
        <f t="shared" si="18"/>
        <v>52.546557109309774</v>
      </c>
      <c r="Q27" s="50">
        <f t="shared" si="18"/>
        <v>61.073892579993647</v>
      </c>
      <c r="R27" s="50">
        <f t="shared" si="18"/>
        <v>61.377028794942774</v>
      </c>
      <c r="S27" s="50">
        <f t="shared" si="18"/>
        <v>48.163551471837515</v>
      </c>
      <c r="T27" s="50">
        <f t="shared" si="18"/>
        <v>42.065716129847253</v>
      </c>
      <c r="U27" s="50">
        <f t="shared" si="18"/>
        <v>67.254014225099425</v>
      </c>
      <c r="V27" s="50">
        <f t="shared" si="18"/>
        <v>58.899233231775128</v>
      </c>
      <c r="W27" s="50">
        <f t="shared" si="18"/>
        <v>58.027482006018275</v>
      </c>
      <c r="X27" s="50">
        <f t="shared" si="18"/>
        <v>54.279261632604765</v>
      </c>
      <c r="Y27" s="50">
        <f t="shared" si="18"/>
        <v>51.374827411779322</v>
      </c>
      <c r="Z27" s="50">
        <f t="shared" si="18"/>
        <v>52.716909833999999</v>
      </c>
      <c r="AA27" s="50">
        <f t="shared" si="18"/>
        <v>52.066398634182001</v>
      </c>
      <c r="AB27" s="50">
        <f t="shared" si="18"/>
        <v>47.788747949735999</v>
      </c>
      <c r="AC27" s="50">
        <f t="shared" si="18"/>
        <v>45.218110137389992</v>
      </c>
      <c r="AD27" s="50">
        <f t="shared" si="18"/>
        <v>48.426511194071999</v>
      </c>
      <c r="AE27" s="50">
        <f t="shared" si="18"/>
        <v>35.136560400695991</v>
      </c>
      <c r="AF27" s="50">
        <f t="shared" si="18"/>
        <v>21.247104690575995</v>
      </c>
      <c r="AG27" s="50">
        <f t="shared" si="18"/>
        <v>19.843186705145996</v>
      </c>
      <c r="AH27" s="50">
        <f t="shared" si="18"/>
        <v>54.576781529177261</v>
      </c>
      <c r="AI27" s="50">
        <f t="shared" si="18"/>
        <v>54.910695364216316</v>
      </c>
      <c r="AJ27" s="50">
        <f t="shared" si="18"/>
        <v>55.244609199255393</v>
      </c>
      <c r="AK27" s="50">
        <f t="shared" si="18"/>
        <v>55.578523034294435</v>
      </c>
      <c r="AL27" s="50">
        <f t="shared" si="18"/>
        <v>55.912436869333497</v>
      </c>
      <c r="AM27" s="50">
        <f t="shared" si="18"/>
        <v>56.246350704372567</v>
      </c>
      <c r="AN27" s="50">
        <f t="shared" si="18"/>
        <v>56.580264539411623</v>
      </c>
      <c r="AO27" s="50">
        <f t="shared" si="18"/>
        <v>56.914178374450685</v>
      </c>
      <c r="AP27" s="50">
        <f t="shared" si="18"/>
        <v>57.248092209489748</v>
      </c>
      <c r="AQ27" s="50">
        <f t="shared" si="18"/>
        <v>57.582006044528811</v>
      </c>
      <c r="AR27" s="50">
        <f t="shared" si="18"/>
        <v>57.915919879567866</v>
      </c>
      <c r="AS27" s="50">
        <f t="shared" si="18"/>
        <v>58.249833714606929</v>
      </c>
      <c r="AT27" s="50">
        <f t="shared" si="18"/>
        <v>58.583747549645992</v>
      </c>
      <c r="AU27" s="50">
        <f t="shared" si="18"/>
        <v>58.917661384685069</v>
      </c>
      <c r="AV27" s="50">
        <f t="shared" si="18"/>
        <v>59.251575219724124</v>
      </c>
      <c r="AW27" s="50">
        <f t="shared" si="18"/>
        <v>59.585489054763187</v>
      </c>
      <c r="AX27" s="50">
        <f t="shared" si="18"/>
        <v>59.919402889802249</v>
      </c>
      <c r="AY27" s="50">
        <f t="shared" si="18"/>
        <v>60.253316724841319</v>
      </c>
      <c r="AZ27" s="50">
        <f t="shared" si="18"/>
        <v>60.587230559880389</v>
      </c>
      <c r="BA27" s="50">
        <f t="shared" si="18"/>
        <v>60.921144394919459</v>
      </c>
      <c r="BB27" s="50">
        <f t="shared" si="18"/>
        <v>61.255058229958522</v>
      </c>
      <c r="BC27" s="50">
        <f t="shared" si="18"/>
        <v>61.588972064997584</v>
      </c>
      <c r="BD27" s="50">
        <f t="shared" si="18"/>
        <v>61.922885900036654</v>
      </c>
      <c r="BE27" s="50">
        <f t="shared" si="18"/>
        <v>62.256799735075724</v>
      </c>
      <c r="BF27" s="50">
        <f t="shared" si="18"/>
        <v>62.590713570114787</v>
      </c>
      <c r="BG27" s="50">
        <f t="shared" si="18"/>
        <v>62.924627405153849</v>
      </c>
      <c r="BH27" s="50">
        <f t="shared" si="18"/>
        <v>63.258541240192919</v>
      </c>
      <c r="BI27" s="50">
        <f t="shared" si="18"/>
        <v>63.592455075231982</v>
      </c>
      <c r="BJ27" s="50">
        <f t="shared" si="18"/>
        <v>63.926368910271059</v>
      </c>
      <c r="BK27" s="50">
        <f t="shared" si="18"/>
        <v>64.260282745310121</v>
      </c>
      <c r="BL27" s="50">
        <f t="shared" si="18"/>
        <v>64.594196580349191</v>
      </c>
      <c r="BM27" s="50">
        <f t="shared" si="18"/>
        <v>64.928110415388232</v>
      </c>
      <c r="BN27" s="50">
        <f t="shared" si="18"/>
        <v>65.262024250427302</v>
      </c>
    </row>
    <row r="28" spans="1:66" x14ac:dyDescent="0.25">
      <c r="A28" t="str">
        <f>'IPCC Categories'!A59</f>
        <v>3C Aggregated and non-CO2 emissions on land</v>
      </c>
      <c r="B28" t="str">
        <f>'IPCC Categories'!B59</f>
        <v>3C1 Biomass burning (CH4)</v>
      </c>
      <c r="C28" t="str">
        <f>'IPCC Categories'!C59</f>
        <v>3C1a Biomass burning in forest land</v>
      </c>
      <c r="D28" t="s">
        <v>125</v>
      </c>
      <c r="E28" t="s">
        <v>290</v>
      </c>
      <c r="F28" s="23">
        <f>SUMIF(Emissions!$C$54:$C$69,'Emissions summary'!$C28,Emissions!H$54:H$69)</f>
        <v>17.00038365344173</v>
      </c>
      <c r="G28" s="23">
        <f>SUMIF(Emissions!$C$54:$C$69,'Emissions summary'!$C28,Emissions!I$54:I$69)</f>
        <v>17.00038365344173</v>
      </c>
      <c r="H28" s="23">
        <f>SUMIF(Emissions!$C$54:$C$69,'Emissions summary'!$C28,Emissions!J$54:J$69)</f>
        <v>17.00038365344173</v>
      </c>
      <c r="I28" s="23">
        <f>SUMIF(Emissions!$C$54:$C$69,'Emissions summary'!$C28,Emissions!K$54:K$69)</f>
        <v>17.00038365344173</v>
      </c>
      <c r="J28" s="23">
        <f>SUMIF(Emissions!$C$54:$C$69,'Emissions summary'!$C28,Emissions!L$54:L$69)</f>
        <v>17.00038365344173</v>
      </c>
      <c r="K28" s="23">
        <f>SUMIF(Emissions!$C$54:$C$69,'Emissions summary'!$C28,Emissions!M$54:M$69)</f>
        <v>17.00038365344173</v>
      </c>
      <c r="L28" s="23">
        <f>SUMIF(Emissions!$C$54:$C$69,'Emissions summary'!$C28,Emissions!N$54:N$69)</f>
        <v>17.00038365344173</v>
      </c>
      <c r="M28" s="23">
        <f>SUMIF(Emissions!$C$54:$C$69,'Emissions summary'!$C28,Emissions!O$54:O$69)</f>
        <v>17.00038365344173</v>
      </c>
      <c r="N28" s="23">
        <f>SUMIF(Emissions!$C$54:$C$69,'Emissions summary'!$C28,Emissions!P$54:P$69)</f>
        <v>17.00038365344173</v>
      </c>
      <c r="O28" s="23">
        <f>SUMIF(Emissions!$C$54:$C$69,'Emissions summary'!$C28,Emissions!Q$54:Q$69)</f>
        <v>17.00038365344173</v>
      </c>
      <c r="P28" s="23">
        <f>SUMIF(Emissions!$C$54:$C$69,'Emissions summary'!$C28,Emissions!R$54:R$69)</f>
        <v>16.569822193461611</v>
      </c>
      <c r="Q28" s="23">
        <f>SUMIF(Emissions!$C$54:$C$69,'Emissions summary'!$C28,Emissions!S$54:S$69)</f>
        <v>21.58066748690964</v>
      </c>
      <c r="R28" s="23">
        <f>SUMIF(Emissions!$C$54:$C$69,'Emissions summary'!$C28,Emissions!T$54:T$69)</f>
        <v>18.378408970459198</v>
      </c>
      <c r="S28" s="23">
        <f>SUMIF(Emissions!$C$54:$C$69,'Emissions summary'!$C28,Emissions!U$54:U$69)</f>
        <v>14.650554917049229</v>
      </c>
      <c r="T28" s="23">
        <f>SUMIF(Emissions!$C$54:$C$69,'Emissions summary'!$C28,Emissions!V$54:V$69)</f>
        <v>13.82246469932897</v>
      </c>
      <c r="U28" s="23">
        <f>SUMIF(Emissions!$C$54:$C$69,'Emissions summary'!$C28,Emissions!W$54:W$69)</f>
        <v>21.599133953641967</v>
      </c>
      <c r="V28" s="23">
        <f>SUMIF(Emissions!$C$54:$C$69,'Emissions summary'!$C28,Emissions!X$54:X$69)</f>
        <v>17.797777704403263</v>
      </c>
      <c r="W28" s="23">
        <f>SUMIF(Emissions!$C$54:$C$69,'Emissions summary'!$C28,Emissions!Y$54:Y$69)</f>
        <v>21.680359355173707</v>
      </c>
      <c r="X28" s="23">
        <f>SUMIF(Emissions!$C$54:$C$69,'Emissions summary'!$C28,Emissions!Z$54:Z$69)</f>
        <v>20.332068235899591</v>
      </c>
      <c r="Y28" s="23">
        <f>SUMIF(Emissions!$C$54:$C$69,'Emissions summary'!$C28,Emissions!AA$54:AA$69)</f>
        <v>15.730541423024663</v>
      </c>
      <c r="Z28" s="23">
        <f>SUMIF(Emissions!$C$54:$C$69,'Emissions summary'!$C28,Emissions!AB$54:AB$69)</f>
        <v>16.81926023646</v>
      </c>
      <c r="AA28" s="23">
        <f>SUMIF(Emissions!$C$54:$C$69,'Emissions summary'!$C28,Emissions!AC$54:AC$69)</f>
        <v>16.168604044590001</v>
      </c>
      <c r="AB28" s="23">
        <f>SUMIF(Emissions!$C$54:$C$69,'Emissions summary'!$C28,Emissions!AD$54:AD$69)</f>
        <v>15.723757542960001</v>
      </c>
      <c r="AC28" s="23">
        <f>SUMIF(Emissions!$C$54:$C$69,'Emissions summary'!$C28,Emissions!AE$54:AE$69)</f>
        <v>13.489881850890001</v>
      </c>
      <c r="AD28" s="23">
        <f>SUMIF(Emissions!$C$54:$C$69,'Emissions summary'!$C28,Emissions!AF$54:AF$69)</f>
        <v>19.50808060908</v>
      </c>
      <c r="AE28" s="23">
        <f>SUMIF(Emissions!$C$54:$C$69,'Emissions summary'!$C28,Emissions!AG$54:AG$69)</f>
        <v>13.424822891460002</v>
      </c>
      <c r="AF28" s="23">
        <f>SUMIF(Emissions!$C$54:$C$69,'Emissions summary'!$C28,Emissions!AH$54:AH$69)</f>
        <v>7.2339233587200003</v>
      </c>
      <c r="AG28" s="23">
        <f>SUMIF(Emissions!$C$54:$C$69,'Emissions summary'!$C28,Emissions!AI$54:AI$69)</f>
        <v>6.9066487462500001</v>
      </c>
      <c r="AH28" s="23">
        <f>SUMIF(Emissions!$C$54:$C$69,'Emissions summary'!$C28,Emissions!AJ$54:AJ$69)</f>
        <v>13.165059406929444</v>
      </c>
      <c r="AI28" s="23">
        <f>SUMIF(Emissions!$C$54:$C$69,'Emissions summary'!$C28,Emissions!AK$54:AK$69)</f>
        <v>13.194796621156314</v>
      </c>
      <c r="AJ28" s="23">
        <f>SUMIF(Emissions!$C$54:$C$69,'Emissions summary'!$C28,Emissions!AL$54:AL$69)</f>
        <v>13.224533835383184</v>
      </c>
      <c r="AK28" s="23">
        <f>SUMIF(Emissions!$C$54:$C$69,'Emissions summary'!$C28,Emissions!AM$54:AM$69)</f>
        <v>13.254271049610054</v>
      </c>
      <c r="AL28" s="23">
        <f>SUMIF(Emissions!$C$54:$C$69,'Emissions summary'!$C28,Emissions!AN$54:AN$69)</f>
        <v>13.284008263836926</v>
      </c>
      <c r="AM28" s="23">
        <f>SUMIF(Emissions!$C$54:$C$69,'Emissions summary'!$C28,Emissions!AO$54:AO$69)</f>
        <v>13.313745478063796</v>
      </c>
      <c r="AN28" s="23">
        <f>SUMIF(Emissions!$C$54:$C$69,'Emissions summary'!$C28,Emissions!AP$54:AP$69)</f>
        <v>13.343482692290667</v>
      </c>
      <c r="AO28" s="23">
        <f>SUMIF(Emissions!$C$54:$C$69,'Emissions summary'!$C28,Emissions!AQ$54:AQ$69)</f>
        <v>13.373219906517537</v>
      </c>
      <c r="AP28" s="23">
        <f>SUMIF(Emissions!$C$54:$C$69,'Emissions summary'!$C28,Emissions!AR$54:AR$69)</f>
        <v>13.402957120744405</v>
      </c>
      <c r="AQ28" s="23">
        <f>SUMIF(Emissions!$C$54:$C$69,'Emissions summary'!$C28,Emissions!AS$54:AS$69)</f>
        <v>13.432694334971277</v>
      </c>
      <c r="AR28" s="23">
        <f>SUMIF(Emissions!$C$54:$C$69,'Emissions summary'!$C28,Emissions!AT$54:AT$69)</f>
        <v>13.462431549198149</v>
      </c>
      <c r="AS28" s="23">
        <f>SUMIF(Emissions!$C$54:$C$69,'Emissions summary'!$C28,Emissions!AU$54:AU$69)</f>
        <v>13.492168763425017</v>
      </c>
      <c r="AT28" s="23">
        <f>SUMIF(Emissions!$C$54:$C$69,'Emissions summary'!$C28,Emissions!AV$54:AV$69)</f>
        <v>13.521905977651887</v>
      </c>
      <c r="AU28" s="23">
        <f>SUMIF(Emissions!$C$54:$C$69,'Emissions summary'!$C28,Emissions!AW$54:AW$69)</f>
        <v>13.551643191878759</v>
      </c>
      <c r="AV28" s="23">
        <f>SUMIF(Emissions!$C$54:$C$69,'Emissions summary'!$C28,Emissions!AX$54:AX$69)</f>
        <v>13.58138040610563</v>
      </c>
      <c r="AW28" s="23">
        <f>SUMIF(Emissions!$C$54:$C$69,'Emissions summary'!$C28,Emissions!AY$54:AY$69)</f>
        <v>13.6111176203325</v>
      </c>
      <c r="AX28" s="23">
        <f>SUMIF(Emissions!$C$54:$C$69,'Emissions summary'!$C28,Emissions!AZ$54:AZ$69)</f>
        <v>13.640854834559368</v>
      </c>
      <c r="AY28" s="23">
        <f>SUMIF(Emissions!$C$54:$C$69,'Emissions summary'!$C28,Emissions!BA$54:BA$69)</f>
        <v>13.67059204878624</v>
      </c>
      <c r="AZ28" s="23">
        <f>SUMIF(Emissions!$C$54:$C$69,'Emissions summary'!$C28,Emissions!BB$54:BB$69)</f>
        <v>13.70032926301311</v>
      </c>
      <c r="BA28" s="23">
        <f>SUMIF(Emissions!$C$54:$C$69,'Emissions summary'!$C28,Emissions!BC$54:BC$69)</f>
        <v>13.730066477239983</v>
      </c>
      <c r="BB28" s="23">
        <f>SUMIF(Emissions!$C$54:$C$69,'Emissions summary'!$C28,Emissions!BD$54:BD$69)</f>
        <v>13.75980369146685</v>
      </c>
      <c r="BC28" s="23">
        <f>SUMIF(Emissions!$C$54:$C$69,'Emissions summary'!$C28,Emissions!BE$54:BE$69)</f>
        <v>13.78954090569372</v>
      </c>
      <c r="BD28" s="23">
        <f>SUMIF(Emissions!$C$54:$C$69,'Emissions summary'!$C28,Emissions!BF$54:BF$69)</f>
        <v>13.819278119920591</v>
      </c>
      <c r="BE28" s="23">
        <f>SUMIF(Emissions!$C$54:$C$69,'Emissions summary'!$C28,Emissions!BG$54:BG$69)</f>
        <v>13.849015334147463</v>
      </c>
      <c r="BF28" s="23">
        <f>SUMIF(Emissions!$C$54:$C$69,'Emissions summary'!$C28,Emissions!BH$54:BH$69)</f>
        <v>13.878752548374333</v>
      </c>
      <c r="BG28" s="23">
        <f>SUMIF(Emissions!$C$54:$C$69,'Emissions summary'!$C28,Emissions!BI$54:BI$69)</f>
        <v>13.908489762601201</v>
      </c>
      <c r="BH28" s="23">
        <f>SUMIF(Emissions!$C$54:$C$69,'Emissions summary'!$C28,Emissions!BJ$54:BJ$69)</f>
        <v>13.938226976828073</v>
      </c>
      <c r="BI28" s="23">
        <f>SUMIF(Emissions!$C$54:$C$69,'Emissions summary'!$C28,Emissions!BK$54:BK$69)</f>
        <v>13.967964191054943</v>
      </c>
      <c r="BJ28" s="23">
        <f>SUMIF(Emissions!$C$54:$C$69,'Emissions summary'!$C28,Emissions!BL$54:BL$69)</f>
        <v>13.997701405281813</v>
      </c>
      <c r="BK28" s="23">
        <f>SUMIF(Emissions!$C$54:$C$69,'Emissions summary'!$C28,Emissions!BM$54:BM$69)</f>
        <v>14.027438619508683</v>
      </c>
      <c r="BL28" s="23">
        <f>SUMIF(Emissions!$C$54:$C$69,'Emissions summary'!$C28,Emissions!BN$54:BN$69)</f>
        <v>14.057175833735554</v>
      </c>
      <c r="BM28" s="23">
        <f>SUMIF(Emissions!$C$54:$C$69,'Emissions summary'!$C28,Emissions!BO$54:BO$69)</f>
        <v>14.086913047962422</v>
      </c>
      <c r="BN28" s="23">
        <f>SUMIF(Emissions!$C$54:$C$69,'Emissions summary'!$C28,Emissions!BP$54:BP$69)</f>
        <v>14.116650262189294</v>
      </c>
    </row>
    <row r="29" spans="1:66" x14ac:dyDescent="0.25">
      <c r="A29" t="str">
        <f>A28</f>
        <v>3C Aggregated and non-CO2 emissions on land</v>
      </c>
      <c r="B29" t="str">
        <f>B28</f>
        <v>3C1 Biomass burning (CH4)</v>
      </c>
      <c r="C29" t="str">
        <f>'IPCC Categories'!C60</f>
        <v>3C1b Biomass burning in Croplands</v>
      </c>
      <c r="D29" t="str">
        <f>D28</f>
        <v>CH4</v>
      </c>
      <c r="E29" t="str">
        <f>E28</f>
        <v>Gg CH4</v>
      </c>
      <c r="F29" s="23">
        <f>SUMIF(Emissions!$C$54:$C$69,'Emissions summary'!$C29,Emissions!H$54:H$69)</f>
        <v>10.116490581610325</v>
      </c>
      <c r="G29" s="23">
        <f>SUMIF(Emissions!$C$54:$C$69,'Emissions summary'!$C29,Emissions!I$54:I$69)</f>
        <v>10.116490581610325</v>
      </c>
      <c r="H29" s="23">
        <f>SUMIF(Emissions!$C$54:$C$69,'Emissions summary'!$C29,Emissions!J$54:J$69)</f>
        <v>10.116490581610325</v>
      </c>
      <c r="I29" s="23">
        <f>SUMIF(Emissions!$C$54:$C$69,'Emissions summary'!$C29,Emissions!K$54:K$69)</f>
        <v>10.116490581610325</v>
      </c>
      <c r="J29" s="23">
        <f>SUMIF(Emissions!$C$54:$C$69,'Emissions summary'!$C29,Emissions!L$54:L$69)</f>
        <v>10.116490581610325</v>
      </c>
      <c r="K29" s="23">
        <f>SUMIF(Emissions!$C$54:$C$69,'Emissions summary'!$C29,Emissions!M$54:M$69)</f>
        <v>10.116490581610325</v>
      </c>
      <c r="L29" s="23">
        <f>SUMIF(Emissions!$C$54:$C$69,'Emissions summary'!$C29,Emissions!N$54:N$69)</f>
        <v>10.116490581610325</v>
      </c>
      <c r="M29" s="23">
        <f>SUMIF(Emissions!$C$54:$C$69,'Emissions summary'!$C29,Emissions!O$54:O$69)</f>
        <v>10.116490581610325</v>
      </c>
      <c r="N29" s="23">
        <f>SUMIF(Emissions!$C$54:$C$69,'Emissions summary'!$C29,Emissions!P$54:P$69)</f>
        <v>10.116490581610325</v>
      </c>
      <c r="O29" s="23">
        <f>SUMIF(Emissions!$C$54:$C$69,'Emissions summary'!$C29,Emissions!Q$54:Q$69)</f>
        <v>10.116490581610325</v>
      </c>
      <c r="P29" s="23">
        <f>SUMIF(Emissions!$C$54:$C$69,'Emissions summary'!$C29,Emissions!R$54:R$69)</f>
        <v>10.51046399228327</v>
      </c>
      <c r="Q29" s="23">
        <f>SUMIF(Emissions!$C$54:$C$69,'Emissions summary'!$C29,Emissions!S$54:S$69)</f>
        <v>10.882894026282271</v>
      </c>
      <c r="R29" s="23">
        <f>SUMIF(Emissions!$C$54:$C$69,'Emissions summary'!$C29,Emissions!T$54:T$69)</f>
        <v>11.945235434738436</v>
      </c>
      <c r="S29" s="23">
        <f>SUMIF(Emissions!$C$54:$C$69,'Emissions summary'!$C29,Emissions!U$54:U$69)</f>
        <v>9.2981039284457765</v>
      </c>
      <c r="T29" s="23">
        <f>SUMIF(Emissions!$C$54:$C$69,'Emissions summary'!$C29,Emissions!V$54:V$69)</f>
        <v>7.9457555263018627</v>
      </c>
      <c r="U29" s="23">
        <f>SUMIF(Emissions!$C$54:$C$69,'Emissions summary'!$C29,Emissions!W$54:W$69)</f>
        <v>13.860153794562336</v>
      </c>
      <c r="V29" s="23">
        <f>SUMIF(Emissions!$C$54:$C$69,'Emissions summary'!$C29,Emissions!X$54:X$69)</f>
        <v>13.058600630053951</v>
      </c>
      <c r="W29" s="23">
        <f>SUMIF(Emissions!$C$54:$C$69,'Emissions summary'!$C29,Emissions!Y$54:Y$69)</f>
        <v>10.476884235119428</v>
      </c>
      <c r="X29" s="23">
        <f>SUMIF(Emissions!$C$54:$C$69,'Emissions summary'!$C29,Emissions!Z$54:Z$69)</f>
        <v>9.4298063526468283</v>
      </c>
      <c r="Y29" s="23">
        <f>SUMIF(Emissions!$C$54:$C$69,'Emissions summary'!$C29,Emissions!AA$54:AA$69)</f>
        <v>9.8044168903577642</v>
      </c>
      <c r="Z29" s="23">
        <f>SUMIF(Emissions!$C$54:$C$69,'Emissions summary'!$C29,Emissions!AB$54:AB$69)</f>
        <v>9.7783617960000022</v>
      </c>
      <c r="AA29" s="23">
        <f>SUMIF(Emissions!$C$54:$C$69,'Emissions summary'!$C29,Emissions!AC$54:AC$69)</f>
        <v>9.4288811400000014</v>
      </c>
      <c r="AB29" s="23">
        <f>SUMIF(Emissions!$C$54:$C$69,'Emissions summary'!$C29,Emissions!AD$54:AD$69)</f>
        <v>7.3359928530000005</v>
      </c>
      <c r="AC29" s="23">
        <f>SUMIF(Emissions!$C$54:$C$69,'Emissions summary'!$C29,Emissions!AE$54:AE$69)</f>
        <v>7.8064027020000006</v>
      </c>
      <c r="AD29" s="23">
        <f>SUMIF(Emissions!$C$54:$C$69,'Emissions summary'!$C29,Emissions!AF$54:AF$69)</f>
        <v>8.2564005509999987</v>
      </c>
      <c r="AE29" s="23">
        <f>SUMIF(Emissions!$C$54:$C$69,'Emissions summary'!$C29,Emissions!AG$54:AG$69)</f>
        <v>5.4319972139999999</v>
      </c>
      <c r="AF29" s="23">
        <f>SUMIF(Emissions!$C$54:$C$69,'Emissions summary'!$C29,Emissions!AH$54:AH$69)</f>
        <v>2.7387613890000004</v>
      </c>
      <c r="AG29" s="23">
        <f>SUMIF(Emissions!$C$54:$C$69,'Emissions summary'!$C29,Emissions!AI$54:AI$69)</f>
        <v>2.7234013590000004</v>
      </c>
      <c r="AH29" s="23">
        <f>SUMIF(Emissions!$C$54:$C$69,'Emissions summary'!$C29,Emissions!AJ$54:AJ$69)</f>
        <v>8.9306217373140608</v>
      </c>
      <c r="AI29" s="23">
        <f>SUMIF(Emissions!$C$54:$C$69,'Emissions summary'!$C29,Emissions!AK$54:AK$69)</f>
        <v>8.9246144051699368</v>
      </c>
      <c r="AJ29" s="23">
        <f>SUMIF(Emissions!$C$54:$C$69,'Emissions summary'!$C29,Emissions!AL$54:AL$69)</f>
        <v>8.9186070730258145</v>
      </c>
      <c r="AK29" s="23">
        <f>SUMIF(Emissions!$C$54:$C$69,'Emissions summary'!$C29,Emissions!AM$54:AM$69)</f>
        <v>8.9125997408816886</v>
      </c>
      <c r="AL29" s="23">
        <f>SUMIF(Emissions!$C$54:$C$69,'Emissions summary'!$C29,Emissions!AN$54:AN$69)</f>
        <v>8.9065924087375645</v>
      </c>
      <c r="AM29" s="23">
        <f>SUMIF(Emissions!$C$54:$C$69,'Emissions summary'!$C29,Emissions!AO$54:AO$69)</f>
        <v>8.9005850765934422</v>
      </c>
      <c r="AN29" s="23">
        <f>SUMIF(Emissions!$C$54:$C$69,'Emissions summary'!$C29,Emissions!AP$54:AP$69)</f>
        <v>8.8945777444493181</v>
      </c>
      <c r="AO29" s="23">
        <f>SUMIF(Emissions!$C$54:$C$69,'Emissions summary'!$C29,Emissions!AQ$54:AQ$69)</f>
        <v>8.8885704123051941</v>
      </c>
      <c r="AP29" s="23">
        <f>SUMIF(Emissions!$C$54:$C$69,'Emissions summary'!$C29,Emissions!AR$54:AR$69)</f>
        <v>8.8825630801610682</v>
      </c>
      <c r="AQ29" s="23">
        <f>SUMIF(Emissions!$C$54:$C$69,'Emissions summary'!$C29,Emissions!AS$54:AS$69)</f>
        <v>8.8765557480169459</v>
      </c>
      <c r="AR29" s="23">
        <f>SUMIF(Emissions!$C$54:$C$69,'Emissions summary'!$C29,Emissions!AT$54:AT$69)</f>
        <v>8.8705484158728201</v>
      </c>
      <c r="AS29" s="23">
        <f>SUMIF(Emissions!$C$54:$C$69,'Emissions summary'!$C29,Emissions!AU$54:AU$69)</f>
        <v>8.8645410837286995</v>
      </c>
      <c r="AT29" s="23">
        <f>SUMIF(Emissions!$C$54:$C$69,'Emissions summary'!$C29,Emissions!AV$54:AV$69)</f>
        <v>8.8585337515845737</v>
      </c>
      <c r="AU29" s="23">
        <f>SUMIF(Emissions!$C$54:$C$69,'Emissions summary'!$C29,Emissions!AW$54:AW$69)</f>
        <v>8.8525264194404496</v>
      </c>
      <c r="AV29" s="23">
        <f>SUMIF(Emissions!$C$54:$C$69,'Emissions summary'!$C29,Emissions!AX$54:AX$69)</f>
        <v>8.8465190872963255</v>
      </c>
      <c r="AW29" s="23">
        <f>SUMIF(Emissions!$C$54:$C$69,'Emissions summary'!$C29,Emissions!AY$54:AY$69)</f>
        <v>8.8405117551522014</v>
      </c>
      <c r="AX29" s="23">
        <f>SUMIF(Emissions!$C$54:$C$69,'Emissions summary'!$C29,Emissions!AZ$54:AZ$69)</f>
        <v>8.8345044230080774</v>
      </c>
      <c r="AY29" s="23">
        <f>SUMIF(Emissions!$C$54:$C$69,'Emissions summary'!$C29,Emissions!BA$54:BA$69)</f>
        <v>8.8284970908639533</v>
      </c>
      <c r="AZ29" s="23">
        <f>SUMIF(Emissions!$C$54:$C$69,'Emissions summary'!$C29,Emissions!BB$54:BB$69)</f>
        <v>8.822489758719831</v>
      </c>
      <c r="BA29" s="23">
        <f>SUMIF(Emissions!$C$54:$C$69,'Emissions summary'!$C29,Emissions!BC$54:BC$69)</f>
        <v>8.8164824265757051</v>
      </c>
      <c r="BB29" s="23">
        <f>SUMIF(Emissions!$C$54:$C$69,'Emissions summary'!$C29,Emissions!BD$54:BD$69)</f>
        <v>8.8104750944315828</v>
      </c>
      <c r="BC29" s="23">
        <f>SUMIF(Emissions!$C$54:$C$69,'Emissions summary'!$C29,Emissions!BE$54:BE$69)</f>
        <v>8.8044677622874588</v>
      </c>
      <c r="BD29" s="23">
        <f>SUMIF(Emissions!$C$54:$C$69,'Emissions summary'!$C29,Emissions!BF$54:BF$69)</f>
        <v>8.7984604301433347</v>
      </c>
      <c r="BE29" s="23">
        <f>SUMIF(Emissions!$C$54:$C$69,'Emissions summary'!$C29,Emissions!BG$54:BG$69)</f>
        <v>8.7924530979992106</v>
      </c>
      <c r="BF29" s="23">
        <f>SUMIF(Emissions!$C$54:$C$69,'Emissions summary'!$C29,Emissions!BH$54:BH$69)</f>
        <v>8.7864457658550883</v>
      </c>
      <c r="BG29" s="23">
        <f>SUMIF(Emissions!$C$54:$C$69,'Emissions summary'!$C29,Emissions!BI$54:BI$69)</f>
        <v>8.7804384337109624</v>
      </c>
      <c r="BH29" s="23">
        <f>SUMIF(Emissions!$C$54:$C$69,'Emissions summary'!$C29,Emissions!BJ$54:BJ$69)</f>
        <v>8.7744311015668366</v>
      </c>
      <c r="BI29" s="23">
        <f>SUMIF(Emissions!$C$54:$C$69,'Emissions summary'!$C29,Emissions!BK$54:BK$69)</f>
        <v>8.7684237694227143</v>
      </c>
      <c r="BJ29" s="23">
        <f>SUMIF(Emissions!$C$54:$C$69,'Emissions summary'!$C29,Emissions!BL$54:BL$69)</f>
        <v>8.7624164372785902</v>
      </c>
      <c r="BK29" s="23">
        <f>SUMIF(Emissions!$C$54:$C$69,'Emissions summary'!$C29,Emissions!BM$54:BM$69)</f>
        <v>8.7564091051344679</v>
      </c>
      <c r="BL29" s="23">
        <f>SUMIF(Emissions!$C$54:$C$69,'Emissions summary'!$C29,Emissions!BN$54:BN$69)</f>
        <v>8.7504017729903421</v>
      </c>
      <c r="BM29" s="23">
        <f>SUMIF(Emissions!$C$54:$C$69,'Emissions summary'!$C29,Emissions!BO$54:BO$69)</f>
        <v>8.7443944408462198</v>
      </c>
      <c r="BN29" s="23">
        <f>SUMIF(Emissions!$C$54:$C$69,'Emissions summary'!$C29,Emissions!BP$54:BP$69)</f>
        <v>8.7383871087020957</v>
      </c>
    </row>
    <row r="30" spans="1:66" x14ac:dyDescent="0.25">
      <c r="A30" t="str">
        <f t="shared" ref="A30:B46" si="19">A29</f>
        <v>3C Aggregated and non-CO2 emissions on land</v>
      </c>
      <c r="B30" t="str">
        <f t="shared" ref="B30:B33" si="20">B29</f>
        <v>3C1 Biomass burning (CH4)</v>
      </c>
      <c r="C30" t="str">
        <f>'IPCC Categories'!C61</f>
        <v>3C1c Biomass burning in Grasslands</v>
      </c>
      <c r="D30" t="str">
        <f t="shared" ref="D30:E33" si="21">D29</f>
        <v>CH4</v>
      </c>
      <c r="E30" t="str">
        <f t="shared" si="21"/>
        <v>Gg CH4</v>
      </c>
      <c r="F30" s="23">
        <f>SUMIF(Emissions!$C$54:$C$69,'Emissions summary'!$C30,Emissions!H$54:H$69)</f>
        <v>24.633908128575744</v>
      </c>
      <c r="G30" s="23">
        <f>SUMIF(Emissions!$C$54:$C$69,'Emissions summary'!$C30,Emissions!I$54:I$69)</f>
        <v>24.633908128575744</v>
      </c>
      <c r="H30" s="23">
        <f>SUMIF(Emissions!$C$54:$C$69,'Emissions summary'!$C30,Emissions!J$54:J$69)</f>
        <v>24.633908128575744</v>
      </c>
      <c r="I30" s="23">
        <f>SUMIF(Emissions!$C$54:$C$69,'Emissions summary'!$C30,Emissions!K$54:K$69)</f>
        <v>24.633908128575744</v>
      </c>
      <c r="J30" s="23">
        <f>SUMIF(Emissions!$C$54:$C$69,'Emissions summary'!$C30,Emissions!L$54:L$69)</f>
        <v>24.633908128575744</v>
      </c>
      <c r="K30" s="23">
        <f>SUMIF(Emissions!$C$54:$C$69,'Emissions summary'!$C30,Emissions!M$54:M$69)</f>
        <v>24.633908128575744</v>
      </c>
      <c r="L30" s="23">
        <f>SUMIF(Emissions!$C$54:$C$69,'Emissions summary'!$C30,Emissions!N$54:N$69)</f>
        <v>24.633908128575744</v>
      </c>
      <c r="M30" s="23">
        <f>SUMIF(Emissions!$C$54:$C$69,'Emissions summary'!$C30,Emissions!O$54:O$69)</f>
        <v>24.633908128575744</v>
      </c>
      <c r="N30" s="23">
        <f>SUMIF(Emissions!$C$54:$C$69,'Emissions summary'!$C30,Emissions!P$54:P$69)</f>
        <v>24.633908128575744</v>
      </c>
      <c r="O30" s="23">
        <f>SUMIF(Emissions!$C$54:$C$69,'Emissions summary'!$C30,Emissions!Q$54:Q$69)</f>
        <v>24.633908128575744</v>
      </c>
      <c r="P30" s="23">
        <f>SUMIF(Emissions!$C$54:$C$69,'Emissions summary'!$C30,Emissions!R$54:R$69)</f>
        <v>24.22100971223729</v>
      </c>
      <c r="Q30" s="23">
        <f>SUMIF(Emissions!$C$54:$C$69,'Emissions summary'!$C30,Emissions!S$54:S$69)</f>
        <v>27.159665944327305</v>
      </c>
      <c r="R30" s="23">
        <f>SUMIF(Emissions!$C$54:$C$69,'Emissions summary'!$C30,Emissions!T$54:T$69)</f>
        <v>29.557460778373962</v>
      </c>
      <c r="S30" s="23">
        <f>SUMIF(Emissions!$C$54:$C$69,'Emissions summary'!$C30,Emissions!U$54:U$69)</f>
        <v>22.967890703903489</v>
      </c>
      <c r="T30" s="23">
        <f>SUMIF(Emissions!$C$54:$C$69,'Emissions summary'!$C30,Emissions!V$54:V$69)</f>
        <v>19.263513504036663</v>
      </c>
      <c r="U30" s="23">
        <f>SUMIF(Emissions!$C$54:$C$69,'Emissions summary'!$C30,Emissions!W$54:W$69)</f>
        <v>29.989609054359072</v>
      </c>
      <c r="V30" s="23">
        <f>SUMIF(Emissions!$C$54:$C$69,'Emissions summary'!$C30,Emissions!X$54:X$69)</f>
        <v>26.44988664148541</v>
      </c>
      <c r="W30" s="23">
        <f>SUMIF(Emissions!$C$54:$C$69,'Emissions summary'!$C30,Emissions!Y$54:Y$69)</f>
        <v>24.310343671009509</v>
      </c>
      <c r="X30" s="23">
        <f>SUMIF(Emissions!$C$54:$C$69,'Emissions summary'!$C30,Emissions!Z$54:Z$69)</f>
        <v>23.321518510517112</v>
      </c>
      <c r="Y30" s="23">
        <f>SUMIF(Emissions!$C$54:$C$69,'Emissions summary'!$C30,Emissions!AA$54:AA$69)</f>
        <v>24.458614831490095</v>
      </c>
      <c r="Z30" s="23">
        <f>SUMIF(Emissions!$C$54:$C$69,'Emissions summary'!$C30,Emissions!AB$54:AB$69)</f>
        <v>24.608200366439995</v>
      </c>
      <c r="AA30" s="23">
        <f>SUMIF(Emissions!$C$54:$C$69,'Emissions summary'!$C30,Emissions!AC$54:AC$69)</f>
        <v>25.000606435391994</v>
      </c>
      <c r="AB30" s="23">
        <f>SUMIF(Emissions!$C$54:$C$69,'Emissions summary'!$C30,Emissions!AD$54:AD$69)</f>
        <v>23.506280555975998</v>
      </c>
      <c r="AC30" s="23">
        <f>SUMIF(Emissions!$C$54:$C$69,'Emissions summary'!$C30,Emissions!AE$54:AE$69)</f>
        <v>22.519138356899994</v>
      </c>
      <c r="AD30" s="23">
        <f>SUMIF(Emissions!$C$54:$C$69,'Emissions summary'!$C30,Emissions!AF$54:AF$69)</f>
        <v>19.294744629491998</v>
      </c>
      <c r="AE30" s="23">
        <f>SUMIF(Emissions!$C$54:$C$69,'Emissions summary'!$C30,Emissions!AG$54:AG$69)</f>
        <v>15.100954555535994</v>
      </c>
      <c r="AF30" s="23">
        <f>SUMIF(Emissions!$C$54:$C$69,'Emissions summary'!$C30,Emissions!AH$54:AH$69)</f>
        <v>10.688923030355998</v>
      </c>
      <c r="AG30" s="23">
        <f>SUMIF(Emissions!$C$54:$C$69,'Emissions summary'!$C30,Emissions!AI$54:AI$69)</f>
        <v>9.652234164695999</v>
      </c>
      <c r="AH30" s="23">
        <f>SUMIF(Emissions!$C$54:$C$69,'Emissions summary'!$C30,Emissions!AJ$54:AJ$69)</f>
        <v>31.538307629576323</v>
      </c>
      <c r="AI30" s="23">
        <f>SUMIF(Emissions!$C$54:$C$69,'Emissions summary'!$C30,Emissions!AK$54:AK$69)</f>
        <v>31.854088521889665</v>
      </c>
      <c r="AJ30" s="23">
        <f>SUMIF(Emissions!$C$54:$C$69,'Emissions summary'!$C30,Emissions!AL$54:AL$69)</f>
        <v>32.169869414203013</v>
      </c>
      <c r="AK30" s="23">
        <f>SUMIF(Emissions!$C$54:$C$69,'Emissions summary'!$C30,Emissions!AM$54:AM$69)</f>
        <v>32.485650306516355</v>
      </c>
      <c r="AL30" s="23">
        <f>SUMIF(Emissions!$C$54:$C$69,'Emissions summary'!$C30,Emissions!AN$54:AN$69)</f>
        <v>32.801431198829697</v>
      </c>
      <c r="AM30" s="23">
        <f>SUMIF(Emissions!$C$54:$C$69,'Emissions summary'!$C30,Emissions!AO$54:AO$69)</f>
        <v>33.117212091143045</v>
      </c>
      <c r="AN30" s="23">
        <f>SUMIF(Emissions!$C$54:$C$69,'Emissions summary'!$C30,Emissions!AP$54:AP$69)</f>
        <v>33.432992983456387</v>
      </c>
      <c r="AO30" s="23">
        <f>SUMIF(Emissions!$C$54:$C$69,'Emissions summary'!$C30,Emissions!AQ$54:AQ$69)</f>
        <v>33.748773875769729</v>
      </c>
      <c r="AP30" s="23">
        <f>SUMIF(Emissions!$C$54:$C$69,'Emissions summary'!$C30,Emissions!AR$54:AR$69)</f>
        <v>34.064554768083084</v>
      </c>
      <c r="AQ30" s="23">
        <f>SUMIF(Emissions!$C$54:$C$69,'Emissions summary'!$C30,Emissions!AS$54:AS$69)</f>
        <v>34.380335660396426</v>
      </c>
      <c r="AR30" s="23">
        <f>SUMIF(Emissions!$C$54:$C$69,'Emissions summary'!$C30,Emissions!AT$54:AT$69)</f>
        <v>34.696116552709768</v>
      </c>
      <c r="AS30" s="23">
        <f>SUMIF(Emissions!$C$54:$C$69,'Emissions summary'!$C30,Emissions!AU$54:AU$69)</f>
        <v>35.011897445023116</v>
      </c>
      <c r="AT30" s="23">
        <f>SUMIF(Emissions!$C$54:$C$69,'Emissions summary'!$C30,Emissions!AV$54:AV$69)</f>
        <v>35.327678337336458</v>
      </c>
      <c r="AU30" s="23">
        <f>SUMIF(Emissions!$C$54:$C$69,'Emissions summary'!$C30,Emissions!AW$54:AW$69)</f>
        <v>35.643459229649814</v>
      </c>
      <c r="AV30" s="23">
        <f>SUMIF(Emissions!$C$54:$C$69,'Emissions summary'!$C30,Emissions!AX$54:AX$69)</f>
        <v>35.959240121963155</v>
      </c>
      <c r="AW30" s="23">
        <f>SUMIF(Emissions!$C$54:$C$69,'Emissions summary'!$C30,Emissions!AY$54:AY$69)</f>
        <v>36.275021014276504</v>
      </c>
      <c r="AX30" s="23">
        <f>SUMIF(Emissions!$C$54:$C$69,'Emissions summary'!$C30,Emissions!AZ$54:AZ$69)</f>
        <v>36.59080190658986</v>
      </c>
      <c r="AY30" s="23">
        <f>SUMIF(Emissions!$C$54:$C$69,'Emissions summary'!$C30,Emissions!BA$54:BA$69)</f>
        <v>36.906582798903209</v>
      </c>
      <c r="AZ30" s="23">
        <f>SUMIF(Emissions!$C$54:$C$69,'Emissions summary'!$C30,Emissions!BB$54:BB$69)</f>
        <v>37.222363691216557</v>
      </c>
      <c r="BA30" s="23">
        <f>SUMIF(Emissions!$C$54:$C$69,'Emissions summary'!$C30,Emissions!BC$54:BC$69)</f>
        <v>37.538144583529913</v>
      </c>
      <c r="BB30" s="23">
        <f>SUMIF(Emissions!$C$54:$C$69,'Emissions summary'!$C30,Emissions!BD$54:BD$69)</f>
        <v>37.853925475843262</v>
      </c>
      <c r="BC30" s="23">
        <f>SUMIF(Emissions!$C$54:$C$69,'Emissions summary'!$C30,Emissions!BE$54:BE$69)</f>
        <v>38.169706368156604</v>
      </c>
      <c r="BD30" s="23">
        <f>SUMIF(Emissions!$C$54:$C$69,'Emissions summary'!$C30,Emissions!BF$54:BF$69)</f>
        <v>38.485487260469959</v>
      </c>
      <c r="BE30" s="23">
        <f>SUMIF(Emissions!$C$54:$C$69,'Emissions summary'!$C30,Emissions!BG$54:BG$69)</f>
        <v>38.801268152783315</v>
      </c>
      <c r="BF30" s="23">
        <f>SUMIF(Emissions!$C$54:$C$69,'Emissions summary'!$C30,Emissions!BH$54:BH$69)</f>
        <v>39.117049045096664</v>
      </c>
      <c r="BG30" s="23">
        <f>SUMIF(Emissions!$C$54:$C$69,'Emissions summary'!$C30,Emissions!BI$54:BI$69)</f>
        <v>39.432829937410013</v>
      </c>
      <c r="BH30" s="23">
        <f>SUMIF(Emissions!$C$54:$C$69,'Emissions summary'!$C30,Emissions!BJ$54:BJ$69)</f>
        <v>39.748610829723361</v>
      </c>
      <c r="BI30" s="23">
        <f>SUMIF(Emissions!$C$54:$C$69,'Emissions summary'!$C30,Emissions!BK$54:BK$69)</f>
        <v>40.06439172203671</v>
      </c>
      <c r="BJ30" s="23">
        <f>SUMIF(Emissions!$C$54:$C$69,'Emissions summary'!$C30,Emissions!BL$54:BL$69)</f>
        <v>40.380172614350066</v>
      </c>
      <c r="BK30" s="23">
        <f>SUMIF(Emissions!$C$54:$C$69,'Emissions summary'!$C30,Emissions!BM$54:BM$69)</f>
        <v>40.695953506663415</v>
      </c>
      <c r="BL30" s="23">
        <f>SUMIF(Emissions!$C$54:$C$69,'Emissions summary'!$C30,Emissions!BN$54:BN$69)</f>
        <v>41.01173439897677</v>
      </c>
      <c r="BM30" s="23">
        <f>SUMIF(Emissions!$C$54:$C$69,'Emissions summary'!$C30,Emissions!BO$54:BO$69)</f>
        <v>41.327515291290105</v>
      </c>
      <c r="BN30" s="23">
        <f>SUMIF(Emissions!$C$54:$C$69,'Emissions summary'!$C30,Emissions!BP$54:BP$69)</f>
        <v>41.643296183603447</v>
      </c>
    </row>
    <row r="31" spans="1:66" x14ac:dyDescent="0.25">
      <c r="A31" t="str">
        <f t="shared" si="19"/>
        <v>3C Aggregated and non-CO2 emissions on land</v>
      </c>
      <c r="B31" t="str">
        <f t="shared" si="20"/>
        <v>3C1 Biomass burning (CH4)</v>
      </c>
      <c r="C31" t="str">
        <f>'IPCC Categories'!C62</f>
        <v>3C1d Biomass burning in Wetlands</v>
      </c>
      <c r="D31" t="str">
        <f t="shared" si="21"/>
        <v>CH4</v>
      </c>
      <c r="E31" t="str">
        <f t="shared" si="21"/>
        <v>Gg CH4</v>
      </c>
      <c r="F31" s="23">
        <f>SUMIF(Emissions!$C$54:$C$69,'Emissions summary'!$C31,Emissions!H$54:H$69)</f>
        <v>0.80577517347341965</v>
      </c>
      <c r="G31" s="23">
        <f>SUMIF(Emissions!$C$54:$C$69,'Emissions summary'!$C31,Emissions!I$54:I$69)</f>
        <v>0.80577517347341965</v>
      </c>
      <c r="H31" s="23">
        <f>SUMIF(Emissions!$C$54:$C$69,'Emissions summary'!$C31,Emissions!J$54:J$69)</f>
        <v>0.80577517347341965</v>
      </c>
      <c r="I31" s="23">
        <f>SUMIF(Emissions!$C$54:$C$69,'Emissions summary'!$C31,Emissions!K$54:K$69)</f>
        <v>0.80577517347341965</v>
      </c>
      <c r="J31" s="23">
        <f>SUMIF(Emissions!$C$54:$C$69,'Emissions summary'!$C31,Emissions!L$54:L$69)</f>
        <v>0.80577517347341965</v>
      </c>
      <c r="K31" s="23">
        <f>SUMIF(Emissions!$C$54:$C$69,'Emissions summary'!$C31,Emissions!M$54:M$69)</f>
        <v>0.80577517347341965</v>
      </c>
      <c r="L31" s="23">
        <f>SUMIF(Emissions!$C$54:$C$69,'Emissions summary'!$C31,Emissions!N$54:N$69)</f>
        <v>0.80577517347341965</v>
      </c>
      <c r="M31" s="23">
        <f>SUMIF(Emissions!$C$54:$C$69,'Emissions summary'!$C31,Emissions!O$54:O$69)</f>
        <v>0.80577517347341965</v>
      </c>
      <c r="N31" s="23">
        <f>SUMIF(Emissions!$C$54:$C$69,'Emissions summary'!$C31,Emissions!P$54:P$69)</f>
        <v>0.80577517347341965</v>
      </c>
      <c r="O31" s="23">
        <f>SUMIF(Emissions!$C$54:$C$69,'Emissions summary'!$C31,Emissions!Q$54:Q$69)</f>
        <v>0.80577517347341965</v>
      </c>
      <c r="P31" s="23">
        <f>SUMIF(Emissions!$C$54:$C$69,'Emissions summary'!$C31,Emissions!R$54:R$69)</f>
        <v>0.71282120012392636</v>
      </c>
      <c r="Q31" s="23">
        <f>SUMIF(Emissions!$C$54:$C$69,'Emissions summary'!$C31,Emissions!S$54:S$69)</f>
        <v>0.86099923348302065</v>
      </c>
      <c r="R31" s="23">
        <f>SUMIF(Emissions!$C$54:$C$69,'Emissions summary'!$C31,Emissions!T$54:T$69)</f>
        <v>0.97458063350276725</v>
      </c>
      <c r="S31" s="23">
        <f>SUMIF(Emissions!$C$54:$C$69,'Emissions summary'!$C31,Emissions!U$54:U$69)</f>
        <v>0.79724568902749249</v>
      </c>
      <c r="T31" s="23">
        <f>SUMIF(Emissions!$C$54:$C$69,'Emissions summary'!$C31,Emissions!V$54:V$69)</f>
        <v>0.68322911122989261</v>
      </c>
      <c r="U31" s="23">
        <f>SUMIF(Emissions!$C$54:$C$69,'Emissions summary'!$C31,Emissions!W$54:W$69)</f>
        <v>1.0109179779535291</v>
      </c>
      <c r="V31" s="23">
        <f>SUMIF(Emissions!$C$54:$C$69,'Emissions summary'!$C31,Emissions!X$54:X$69)</f>
        <v>0.89733657793378252</v>
      </c>
      <c r="W31" s="23">
        <f>SUMIF(Emissions!$C$54:$C$69,'Emissions summary'!$C31,Emissions!Y$54:Y$69)</f>
        <v>0.79050043347076437</v>
      </c>
      <c r="X31" s="23">
        <f>SUMIF(Emissions!$C$54:$C$69,'Emissions summary'!$C31,Emissions!Z$54:Z$69)</f>
        <v>0.72087198901421468</v>
      </c>
      <c r="Y31" s="23">
        <f>SUMIF(Emissions!$C$54:$C$69,'Emissions summary'!$C31,Emissions!AA$54:AA$69)</f>
        <v>0.80964825569631549</v>
      </c>
      <c r="Z31" s="23">
        <f>SUMIF(Emissions!$C$54:$C$69,'Emissions summary'!$C31,Emissions!AB$54:AB$69)</f>
        <v>1.0836294956999997</v>
      </c>
      <c r="AA31" s="23">
        <f>SUMIF(Emissions!$C$54:$C$69,'Emissions summary'!$C31,Emissions!AC$54:AC$69)</f>
        <v>1.1703623921999995</v>
      </c>
      <c r="AB31" s="23">
        <f>SUMIF(Emissions!$C$54:$C$69,'Emissions summary'!$C31,Emissions!AD$54:AD$69)</f>
        <v>0.93255834959999984</v>
      </c>
      <c r="AC31" s="23">
        <f>SUMIF(Emissions!$C$54:$C$69,'Emissions summary'!$C31,Emissions!AE$54:AE$69)</f>
        <v>1.0906991666999999</v>
      </c>
      <c r="AD31" s="23">
        <f>SUMIF(Emissions!$C$54:$C$69,'Emissions summary'!$C31,Emissions!AF$54:AF$69)</f>
        <v>1.0410620984999999</v>
      </c>
      <c r="AE31" s="23">
        <f>SUMIF(Emissions!$C$54:$C$69,'Emissions summary'!$C31,Emissions!AG$54:AG$69)</f>
        <v>0.96712335449999975</v>
      </c>
      <c r="AF31" s="23">
        <f>SUMIF(Emissions!$C$54:$C$69,'Emissions summary'!$C31,Emissions!AH$54:AH$69)</f>
        <v>0.50805134009999986</v>
      </c>
      <c r="AG31" s="23">
        <f>SUMIF(Emissions!$C$54:$C$69,'Emissions summary'!$C31,Emissions!AI$54:AI$69)</f>
        <v>0.48587141429999992</v>
      </c>
      <c r="AH31" s="23">
        <f>SUMIF(Emissions!$C$54:$C$69,'Emissions summary'!$C31,Emissions!AJ$54:AJ$69)</f>
        <v>0.47948126621252324</v>
      </c>
      <c r="AI31" s="23">
        <f>SUMIF(Emissions!$C$54:$C$69,'Emissions summary'!$C31,Emissions!AK$54:AK$69)</f>
        <v>0.47191749958729734</v>
      </c>
      <c r="AJ31" s="23">
        <f>SUMIF(Emissions!$C$54:$C$69,'Emissions summary'!$C31,Emissions!AL$54:AL$69)</f>
        <v>0.46435373296207139</v>
      </c>
      <c r="AK31" s="23">
        <f>SUMIF(Emissions!$C$54:$C$69,'Emissions summary'!$C31,Emissions!AM$54:AM$69)</f>
        <v>0.45678996633684538</v>
      </c>
      <c r="AL31" s="23">
        <f>SUMIF(Emissions!$C$54:$C$69,'Emissions summary'!$C31,Emissions!AN$54:AN$69)</f>
        <v>0.44922619971161942</v>
      </c>
      <c r="AM31" s="23">
        <f>SUMIF(Emissions!$C$54:$C$69,'Emissions summary'!$C31,Emissions!AO$54:AO$69)</f>
        <v>0.44166243308639352</v>
      </c>
      <c r="AN31" s="23">
        <f>SUMIF(Emissions!$C$54:$C$69,'Emissions summary'!$C31,Emissions!AP$54:AP$69)</f>
        <v>0.43409866646116768</v>
      </c>
      <c r="AO31" s="23">
        <f>SUMIF(Emissions!$C$54:$C$69,'Emissions summary'!$C31,Emissions!AQ$54:AQ$69)</f>
        <v>0.42653489983594173</v>
      </c>
      <c r="AP31" s="23">
        <f>SUMIF(Emissions!$C$54:$C$69,'Emissions summary'!$C31,Emissions!AR$54:AR$69)</f>
        <v>0.41897113321071577</v>
      </c>
      <c r="AQ31" s="23">
        <f>SUMIF(Emissions!$C$54:$C$69,'Emissions summary'!$C31,Emissions!AS$54:AS$69)</f>
        <v>0.41140736658548982</v>
      </c>
      <c r="AR31" s="23">
        <f>SUMIF(Emissions!$C$54:$C$69,'Emissions summary'!$C31,Emissions!AT$54:AT$69)</f>
        <v>0.40384359996026392</v>
      </c>
      <c r="AS31" s="23">
        <f>SUMIF(Emissions!$C$54:$C$69,'Emissions summary'!$C31,Emissions!AU$54:AU$69)</f>
        <v>0.39627983333503797</v>
      </c>
      <c r="AT31" s="23">
        <f>SUMIF(Emissions!$C$54:$C$69,'Emissions summary'!$C31,Emissions!AV$54:AV$69)</f>
        <v>0.38871606670981201</v>
      </c>
      <c r="AU31" s="23">
        <f>SUMIF(Emissions!$C$54:$C$69,'Emissions summary'!$C31,Emissions!AW$54:AW$69)</f>
        <v>0.38115230008458606</v>
      </c>
      <c r="AV31" s="23">
        <f>SUMIF(Emissions!$C$54:$C$69,'Emissions summary'!$C31,Emissions!AX$54:AX$69)</f>
        <v>0.37358853345936027</v>
      </c>
      <c r="AW31" s="23">
        <f>SUMIF(Emissions!$C$54:$C$69,'Emissions summary'!$C31,Emissions!AY$54:AY$69)</f>
        <v>0.36602476683413437</v>
      </c>
      <c r="AX31" s="23">
        <f>SUMIF(Emissions!$C$54:$C$69,'Emissions summary'!$C31,Emissions!AZ$54:AZ$69)</f>
        <v>0.35846100020890842</v>
      </c>
      <c r="AY31" s="23">
        <f>SUMIF(Emissions!$C$54:$C$69,'Emissions summary'!$C31,Emissions!BA$54:BA$69)</f>
        <v>0.35089723358368263</v>
      </c>
      <c r="AZ31" s="23">
        <f>SUMIF(Emissions!$C$54:$C$69,'Emissions summary'!$C31,Emissions!BB$54:BB$69)</f>
        <v>0.34333346695845673</v>
      </c>
      <c r="BA31" s="23">
        <f>SUMIF(Emissions!$C$54:$C$69,'Emissions summary'!$C31,Emissions!BC$54:BC$69)</f>
        <v>0.33576970033323078</v>
      </c>
      <c r="BB31" s="23">
        <f>SUMIF(Emissions!$C$54:$C$69,'Emissions summary'!$C31,Emissions!BD$54:BD$69)</f>
        <v>0.32820593370800499</v>
      </c>
      <c r="BC31" s="23">
        <f>SUMIF(Emissions!$C$54:$C$69,'Emissions summary'!$C31,Emissions!BE$54:BE$69)</f>
        <v>0.32064216708277909</v>
      </c>
      <c r="BD31" s="23">
        <f>SUMIF(Emissions!$C$54:$C$69,'Emissions summary'!$C31,Emissions!BF$54:BF$69)</f>
        <v>0.31307840045755314</v>
      </c>
      <c r="BE31" s="23">
        <f>SUMIF(Emissions!$C$54:$C$69,'Emissions summary'!$C31,Emissions!BG$54:BG$69)</f>
        <v>0.3055146338323273</v>
      </c>
      <c r="BF31" s="23">
        <f>SUMIF(Emissions!$C$54:$C$69,'Emissions summary'!$C31,Emissions!BH$54:BH$69)</f>
        <v>0.2979508672071014</v>
      </c>
      <c r="BG31" s="23">
        <f>SUMIF(Emissions!$C$54:$C$69,'Emissions summary'!$C31,Emissions!BI$54:BI$69)</f>
        <v>0.2903871005818755</v>
      </c>
      <c r="BH31" s="23">
        <f>SUMIF(Emissions!$C$54:$C$69,'Emissions summary'!$C31,Emissions!BJ$54:BJ$69)</f>
        <v>0.2828233339566496</v>
      </c>
      <c r="BI31" s="23">
        <f>SUMIF(Emissions!$C$54:$C$69,'Emissions summary'!$C31,Emissions!BK$54:BK$69)</f>
        <v>0.27525956733142376</v>
      </c>
      <c r="BJ31" s="23">
        <f>SUMIF(Emissions!$C$54:$C$69,'Emissions summary'!$C31,Emissions!BL$54:BL$69)</f>
        <v>0.26769580070619786</v>
      </c>
      <c r="BK31" s="23">
        <f>SUMIF(Emissions!$C$54:$C$69,'Emissions summary'!$C31,Emissions!BM$54:BM$69)</f>
        <v>0.26013203408097196</v>
      </c>
      <c r="BL31" s="23">
        <f>SUMIF(Emissions!$C$54:$C$69,'Emissions summary'!$C31,Emissions!BN$54:BN$69)</f>
        <v>0.25256826745574612</v>
      </c>
      <c r="BM31" s="23">
        <f>SUMIF(Emissions!$C$54:$C$69,'Emissions summary'!$C31,Emissions!BO$54:BO$69)</f>
        <v>0.24500450083052022</v>
      </c>
      <c r="BN31" s="23">
        <f>SUMIF(Emissions!$C$54:$C$69,'Emissions summary'!$C31,Emissions!BP$54:BP$69)</f>
        <v>0.23744073420529432</v>
      </c>
    </row>
    <row r="32" spans="1:66" x14ac:dyDescent="0.25">
      <c r="A32" t="str">
        <f t="shared" si="19"/>
        <v>3C Aggregated and non-CO2 emissions on land</v>
      </c>
      <c r="B32" t="str">
        <f t="shared" si="20"/>
        <v>3C1 Biomass burning (CH4)</v>
      </c>
      <c r="C32" t="str">
        <f>'IPCC Categories'!C63</f>
        <v>3C1e Biomass burning in Settlements</v>
      </c>
      <c r="D32" t="str">
        <f t="shared" si="21"/>
        <v>CH4</v>
      </c>
      <c r="E32" t="str">
        <f t="shared" si="21"/>
        <v>Gg CH4</v>
      </c>
      <c r="F32" s="23">
        <f>SUMIF(Emissions!$C$54:$C$69,'Emissions summary'!$C32,Emissions!H$54:H$69)</f>
        <v>0.48879168008497798</v>
      </c>
      <c r="G32" s="23">
        <f>SUMIF(Emissions!$C$54:$C$69,'Emissions summary'!$C32,Emissions!I$54:I$69)</f>
        <v>0.48879168008497798</v>
      </c>
      <c r="H32" s="23">
        <f>SUMIF(Emissions!$C$54:$C$69,'Emissions summary'!$C32,Emissions!J$54:J$69)</f>
        <v>0.48879168008497798</v>
      </c>
      <c r="I32" s="23">
        <f>SUMIF(Emissions!$C$54:$C$69,'Emissions summary'!$C32,Emissions!K$54:K$69)</f>
        <v>0.48879168008497798</v>
      </c>
      <c r="J32" s="23">
        <f>SUMIF(Emissions!$C$54:$C$69,'Emissions summary'!$C32,Emissions!L$54:L$69)</f>
        <v>0.48879168008497798</v>
      </c>
      <c r="K32" s="23">
        <f>SUMIF(Emissions!$C$54:$C$69,'Emissions summary'!$C32,Emissions!M$54:M$69)</f>
        <v>0.48879168008497798</v>
      </c>
      <c r="L32" s="23">
        <f>SUMIF(Emissions!$C$54:$C$69,'Emissions summary'!$C32,Emissions!N$54:N$69)</f>
        <v>0.48879168008497798</v>
      </c>
      <c r="M32" s="23">
        <f>SUMIF(Emissions!$C$54:$C$69,'Emissions summary'!$C32,Emissions!O$54:O$69)</f>
        <v>0.48879168008497798</v>
      </c>
      <c r="N32" s="23">
        <f>SUMIF(Emissions!$C$54:$C$69,'Emissions summary'!$C32,Emissions!P$54:P$69)</f>
        <v>0.48879168008497798</v>
      </c>
      <c r="O32" s="23">
        <f>SUMIF(Emissions!$C$54:$C$69,'Emissions summary'!$C32,Emissions!Q$54:Q$69)</f>
        <v>0.48879168008497798</v>
      </c>
      <c r="P32" s="23">
        <f>SUMIF(Emissions!$C$54:$C$69,'Emissions summary'!$C32,Emissions!R$54:R$69)</f>
        <v>0.53244001120367745</v>
      </c>
      <c r="Q32" s="23">
        <f>SUMIF(Emissions!$C$54:$C$69,'Emissions summary'!$C32,Emissions!S$54:S$69)</f>
        <v>0.58966588899140415</v>
      </c>
      <c r="R32" s="23">
        <f>SUMIF(Emissions!$C$54:$C$69,'Emissions summary'!$C32,Emissions!T$54:T$69)</f>
        <v>0.52134297786841477</v>
      </c>
      <c r="S32" s="23">
        <f>SUMIF(Emissions!$C$54:$C$69,'Emissions summary'!$C32,Emissions!U$54:U$69)</f>
        <v>0.44975623341152487</v>
      </c>
      <c r="T32" s="23">
        <f>SUMIF(Emissions!$C$54:$C$69,'Emissions summary'!$C32,Emissions!V$54:V$69)</f>
        <v>0.35075328894986846</v>
      </c>
      <c r="U32" s="23">
        <f>SUMIF(Emissions!$C$54:$C$69,'Emissions summary'!$C32,Emissions!W$54:W$69)</f>
        <v>0.79419944458251857</v>
      </c>
      <c r="V32" s="23">
        <f>SUMIF(Emissions!$C$54:$C$69,'Emissions summary'!$C32,Emissions!X$54:X$69)</f>
        <v>0.69563167789871561</v>
      </c>
      <c r="W32" s="23">
        <f>SUMIF(Emissions!$C$54:$C$69,'Emissions summary'!$C32,Emissions!Y$54:Y$69)</f>
        <v>0.76939431124487268</v>
      </c>
      <c r="X32" s="23">
        <f>SUMIF(Emissions!$C$54:$C$69,'Emissions summary'!$C32,Emissions!Z$54:Z$69)</f>
        <v>0.47499654452702411</v>
      </c>
      <c r="Y32" s="23">
        <f>SUMIF(Emissions!$C$54:$C$69,'Emissions summary'!$C32,Emissions!AA$54:AA$69)</f>
        <v>0.5716060112104866</v>
      </c>
      <c r="Z32" s="23">
        <f>SUMIF(Emissions!$C$54:$C$69,'Emissions summary'!$C32,Emissions!AB$54:AB$69)</f>
        <v>0.42745793939999993</v>
      </c>
      <c r="AA32" s="23">
        <f>SUMIF(Emissions!$C$54:$C$69,'Emissions summary'!$C32,Emissions!AC$54:AC$69)</f>
        <v>0.29794462199999994</v>
      </c>
      <c r="AB32" s="23">
        <f>SUMIF(Emissions!$C$54:$C$69,'Emissions summary'!$C32,Emissions!AD$54:AD$69)</f>
        <v>0.29015864819999992</v>
      </c>
      <c r="AC32" s="23">
        <f>SUMIF(Emissions!$C$54:$C$69,'Emissions summary'!$C32,Emissions!AE$54:AE$69)</f>
        <v>0.31198806089999992</v>
      </c>
      <c r="AD32" s="23">
        <f>SUMIF(Emissions!$C$54:$C$69,'Emissions summary'!$C32,Emissions!AF$54:AF$69)</f>
        <v>0.32622330599999994</v>
      </c>
      <c r="AE32" s="23">
        <f>SUMIF(Emissions!$C$54:$C$69,'Emissions summary'!$C32,Emissions!AG$54:AG$69)</f>
        <v>0.21166238519999994</v>
      </c>
      <c r="AF32" s="23">
        <f>SUMIF(Emissions!$C$54:$C$69,'Emissions summary'!$C32,Emissions!AH$54:AH$69)</f>
        <v>7.7445572399999982E-2</v>
      </c>
      <c r="AG32" s="23">
        <f>SUMIF(Emissions!$C$54:$C$69,'Emissions summary'!$C32,Emissions!AI$54:AI$69)</f>
        <v>7.5031020899999981E-2</v>
      </c>
      <c r="AH32" s="23">
        <f>SUMIF(Emissions!$C$54:$C$69,'Emissions summary'!$C32,Emissions!AJ$54:AJ$69)</f>
        <v>0.4633114891449101</v>
      </c>
      <c r="AI32" s="23">
        <f>SUMIF(Emissions!$C$54:$C$69,'Emissions summary'!$C32,Emissions!AK$54:AK$69)</f>
        <v>0.46527831641310569</v>
      </c>
      <c r="AJ32" s="23">
        <f>SUMIF(Emissions!$C$54:$C$69,'Emissions summary'!$C32,Emissions!AL$54:AL$69)</f>
        <v>0.46724514368130138</v>
      </c>
      <c r="AK32" s="23">
        <f>SUMIF(Emissions!$C$54:$C$69,'Emissions summary'!$C32,Emissions!AM$54:AM$69)</f>
        <v>0.46921197094949696</v>
      </c>
      <c r="AL32" s="23">
        <f>SUMIF(Emissions!$C$54:$C$69,'Emissions summary'!$C32,Emissions!AN$54:AN$69)</f>
        <v>0.47117879821769248</v>
      </c>
      <c r="AM32" s="23">
        <f>SUMIF(Emissions!$C$54:$C$69,'Emissions summary'!$C32,Emissions!AO$54:AO$69)</f>
        <v>0.47314562548588818</v>
      </c>
      <c r="AN32" s="23">
        <f>SUMIF(Emissions!$C$54:$C$69,'Emissions summary'!$C32,Emissions!AP$54:AP$69)</f>
        <v>0.47511245275408376</v>
      </c>
      <c r="AO32" s="23">
        <f>SUMIF(Emissions!$C$54:$C$69,'Emissions summary'!$C32,Emissions!AQ$54:AQ$69)</f>
        <v>0.47707928002227934</v>
      </c>
      <c r="AP32" s="23">
        <f>SUMIF(Emissions!$C$54:$C$69,'Emissions summary'!$C32,Emissions!AR$54:AR$69)</f>
        <v>0.47904610729047509</v>
      </c>
      <c r="AQ32" s="23">
        <f>SUMIF(Emissions!$C$54:$C$69,'Emissions summary'!$C32,Emissions!AS$54:AS$69)</f>
        <v>0.48101293455867061</v>
      </c>
      <c r="AR32" s="23">
        <f>SUMIF(Emissions!$C$54:$C$69,'Emissions summary'!$C32,Emissions!AT$54:AT$69)</f>
        <v>0.48297976182686619</v>
      </c>
      <c r="AS32" s="23">
        <f>SUMIF(Emissions!$C$54:$C$69,'Emissions summary'!$C32,Emissions!AU$54:AU$69)</f>
        <v>0.48494658909506189</v>
      </c>
      <c r="AT32" s="23">
        <f>SUMIF(Emissions!$C$54:$C$69,'Emissions summary'!$C32,Emissions!AV$54:AV$69)</f>
        <v>0.48691341636325747</v>
      </c>
      <c r="AU32" s="23">
        <f>SUMIF(Emissions!$C$54:$C$69,'Emissions summary'!$C32,Emissions!AW$54:AW$69)</f>
        <v>0.48888024363145305</v>
      </c>
      <c r="AV32" s="23">
        <f>SUMIF(Emissions!$C$54:$C$69,'Emissions summary'!$C32,Emissions!AX$54:AX$69)</f>
        <v>0.49084707089964869</v>
      </c>
      <c r="AW32" s="23">
        <f>SUMIF(Emissions!$C$54:$C$69,'Emissions summary'!$C32,Emissions!AY$54:AY$69)</f>
        <v>0.49281389816784432</v>
      </c>
      <c r="AX32" s="23">
        <f>SUMIF(Emissions!$C$54:$C$69,'Emissions summary'!$C32,Emissions!AZ$54:AZ$69)</f>
        <v>0.49478072543603996</v>
      </c>
      <c r="AY32" s="23">
        <f>SUMIF(Emissions!$C$54:$C$69,'Emissions summary'!$C32,Emissions!BA$54:BA$69)</f>
        <v>0.49674755270423554</v>
      </c>
      <c r="AZ32" s="23">
        <f>SUMIF(Emissions!$C$54:$C$69,'Emissions summary'!$C32,Emissions!BB$54:BB$69)</f>
        <v>0.49871437997243112</v>
      </c>
      <c r="BA32" s="23">
        <f>SUMIF(Emissions!$C$54:$C$69,'Emissions summary'!$C32,Emissions!BC$54:BC$69)</f>
        <v>0.50068120724062681</v>
      </c>
      <c r="BB32" s="23">
        <f>SUMIF(Emissions!$C$54:$C$69,'Emissions summary'!$C32,Emissions!BD$54:BD$69)</f>
        <v>0.50264803450882234</v>
      </c>
      <c r="BC32" s="23">
        <f>SUMIF(Emissions!$C$54:$C$69,'Emissions summary'!$C32,Emissions!BE$54:BE$69)</f>
        <v>0.50461486177701798</v>
      </c>
      <c r="BD32" s="23">
        <f>SUMIF(Emissions!$C$54:$C$69,'Emissions summary'!$C32,Emissions!BF$54:BF$69)</f>
        <v>0.50658168904521361</v>
      </c>
      <c r="BE32" s="23">
        <f>SUMIF(Emissions!$C$54:$C$69,'Emissions summary'!$C32,Emissions!BG$54:BG$69)</f>
        <v>0.50854851631340914</v>
      </c>
      <c r="BF32" s="23">
        <f>SUMIF(Emissions!$C$54:$C$69,'Emissions summary'!$C32,Emissions!BH$54:BH$69)</f>
        <v>0.51051534358160477</v>
      </c>
      <c r="BG32" s="23">
        <f>SUMIF(Emissions!$C$54:$C$69,'Emissions summary'!$C32,Emissions!BI$54:BI$69)</f>
        <v>0.51248217084980041</v>
      </c>
      <c r="BH32" s="23">
        <f>SUMIF(Emissions!$C$54:$C$69,'Emissions summary'!$C32,Emissions!BJ$54:BJ$69)</f>
        <v>0.51444899811799605</v>
      </c>
      <c r="BI32" s="23">
        <f>SUMIF(Emissions!$C$54:$C$69,'Emissions summary'!$C32,Emissions!BK$54:BK$69)</f>
        <v>0.51641582538619157</v>
      </c>
      <c r="BJ32" s="23">
        <f>SUMIF(Emissions!$C$54:$C$69,'Emissions summary'!$C32,Emissions!BL$54:BL$69)</f>
        <v>0.51838265265438732</v>
      </c>
      <c r="BK32" s="23">
        <f>SUMIF(Emissions!$C$54:$C$69,'Emissions summary'!$C32,Emissions!BM$54:BM$69)</f>
        <v>0.52034947992258285</v>
      </c>
      <c r="BL32" s="23">
        <f>SUMIF(Emissions!$C$54:$C$69,'Emissions summary'!$C32,Emissions!BN$54:BN$69)</f>
        <v>0.52231630719077848</v>
      </c>
      <c r="BM32" s="23">
        <f>SUMIF(Emissions!$C$54:$C$69,'Emissions summary'!$C32,Emissions!BO$54:BO$69)</f>
        <v>0.52428313445897412</v>
      </c>
      <c r="BN32" s="23">
        <f>SUMIF(Emissions!$C$54:$C$69,'Emissions summary'!$C32,Emissions!BP$54:BP$69)</f>
        <v>0.52624996172716965</v>
      </c>
    </row>
    <row r="33" spans="1:66" x14ac:dyDescent="0.25">
      <c r="A33" t="str">
        <f t="shared" si="19"/>
        <v>3C Aggregated and non-CO2 emissions on land</v>
      </c>
      <c r="B33" t="str">
        <f t="shared" si="20"/>
        <v>3C1 Biomass burning (CH4)</v>
      </c>
      <c r="C33" t="str">
        <f>'IPCC Categories'!C64</f>
        <v>3C1f Biomass burning in Other lands</v>
      </c>
      <c r="D33" t="str">
        <f t="shared" si="21"/>
        <v>CH4</v>
      </c>
      <c r="E33" t="str">
        <f t="shared" si="21"/>
        <v>Gg CH4</v>
      </c>
      <c r="F33" s="23">
        <f>SUMIF(Emissions!$C$54:$C$69,'Emissions summary'!$C33,Emissions!H$54:H$69)</f>
        <v>0</v>
      </c>
      <c r="G33" s="23">
        <f>SUMIF(Emissions!$C$54:$C$69,'Emissions summary'!$C33,Emissions!I$54:I$69)</f>
        <v>0</v>
      </c>
      <c r="H33" s="23">
        <f>SUMIF(Emissions!$C$54:$C$69,'Emissions summary'!$C33,Emissions!J$54:J$69)</f>
        <v>0</v>
      </c>
      <c r="I33" s="23">
        <f>SUMIF(Emissions!$C$54:$C$69,'Emissions summary'!$C33,Emissions!K$54:K$69)</f>
        <v>0</v>
      </c>
      <c r="J33" s="23">
        <f>SUMIF(Emissions!$C$54:$C$69,'Emissions summary'!$C33,Emissions!L$54:L$69)</f>
        <v>0</v>
      </c>
      <c r="K33" s="23">
        <f>SUMIF(Emissions!$C$54:$C$69,'Emissions summary'!$C33,Emissions!M$54:M$69)</f>
        <v>0</v>
      </c>
      <c r="L33" s="23">
        <f>SUMIF(Emissions!$C$54:$C$69,'Emissions summary'!$C33,Emissions!N$54:N$69)</f>
        <v>0</v>
      </c>
      <c r="M33" s="23">
        <f>SUMIF(Emissions!$C$54:$C$69,'Emissions summary'!$C33,Emissions!O$54:O$69)</f>
        <v>0</v>
      </c>
      <c r="N33" s="23">
        <f>SUMIF(Emissions!$C$54:$C$69,'Emissions summary'!$C33,Emissions!P$54:P$69)</f>
        <v>0</v>
      </c>
      <c r="O33" s="23">
        <f>SUMIF(Emissions!$C$54:$C$69,'Emissions summary'!$C33,Emissions!Q$54:Q$69)</f>
        <v>0</v>
      </c>
      <c r="P33" s="23">
        <f>SUMIF(Emissions!$C$54:$C$69,'Emissions summary'!$C33,Emissions!R$54:R$69)</f>
        <v>0</v>
      </c>
      <c r="Q33" s="23">
        <f>SUMIF(Emissions!$C$54:$C$69,'Emissions summary'!$C33,Emissions!S$54:S$69)</f>
        <v>0</v>
      </c>
      <c r="R33" s="23">
        <f>SUMIF(Emissions!$C$54:$C$69,'Emissions summary'!$C33,Emissions!T$54:T$69)</f>
        <v>0</v>
      </c>
      <c r="S33" s="23">
        <f>SUMIF(Emissions!$C$54:$C$69,'Emissions summary'!$C33,Emissions!U$54:U$69)</f>
        <v>0</v>
      </c>
      <c r="T33" s="23">
        <f>SUMIF(Emissions!$C$54:$C$69,'Emissions summary'!$C33,Emissions!V$54:V$69)</f>
        <v>0</v>
      </c>
      <c r="U33" s="23">
        <f>SUMIF(Emissions!$C$54:$C$69,'Emissions summary'!$C33,Emissions!W$54:W$69)</f>
        <v>0</v>
      </c>
      <c r="V33" s="23">
        <f>SUMIF(Emissions!$C$54:$C$69,'Emissions summary'!$C33,Emissions!X$54:X$69)</f>
        <v>0</v>
      </c>
      <c r="W33" s="23">
        <f>SUMIF(Emissions!$C$54:$C$69,'Emissions summary'!$C33,Emissions!Y$54:Y$69)</f>
        <v>0</v>
      </c>
      <c r="X33" s="23">
        <f>SUMIF(Emissions!$C$54:$C$69,'Emissions summary'!$C33,Emissions!Z$54:Z$69)</f>
        <v>0</v>
      </c>
      <c r="Y33" s="23">
        <f>SUMIF(Emissions!$C$54:$C$69,'Emissions summary'!$C33,Emissions!AA$54:AA$69)</f>
        <v>0</v>
      </c>
      <c r="Z33" s="23">
        <f>SUMIF(Emissions!$C$54:$C$69,'Emissions summary'!$C33,Emissions!AB$54:AB$69)</f>
        <v>0</v>
      </c>
      <c r="AA33" s="23">
        <f>SUMIF(Emissions!$C$54:$C$69,'Emissions summary'!$C33,Emissions!AC$54:AC$69)</f>
        <v>0</v>
      </c>
      <c r="AB33" s="23">
        <f>SUMIF(Emissions!$C$54:$C$69,'Emissions summary'!$C33,Emissions!AD$54:AD$69)</f>
        <v>0</v>
      </c>
      <c r="AC33" s="23">
        <f>SUMIF(Emissions!$C$54:$C$69,'Emissions summary'!$C33,Emissions!AE$54:AE$69)</f>
        <v>0</v>
      </c>
      <c r="AD33" s="23">
        <f>SUMIF(Emissions!$C$54:$C$69,'Emissions summary'!$C33,Emissions!AF$54:AF$69)</f>
        <v>0</v>
      </c>
      <c r="AE33" s="23">
        <f>SUMIF(Emissions!$C$54:$C$69,'Emissions summary'!$C33,Emissions!AG$54:AG$69)</f>
        <v>0</v>
      </c>
      <c r="AF33" s="23">
        <f>SUMIF(Emissions!$C$54:$C$69,'Emissions summary'!$C33,Emissions!AH$54:AH$69)</f>
        <v>0</v>
      </c>
      <c r="AG33" s="23">
        <f>SUMIF(Emissions!$C$54:$C$69,'Emissions summary'!$C33,Emissions!AI$54:AI$69)</f>
        <v>0</v>
      </c>
      <c r="AH33" s="23">
        <f>SUMIF(Emissions!$C$54:$C$69,'Emissions summary'!$C33,Emissions!AJ$54:AJ$69)</f>
        <v>0</v>
      </c>
      <c r="AI33" s="23">
        <f>SUMIF(Emissions!$C$54:$C$69,'Emissions summary'!$C33,Emissions!AK$54:AK$69)</f>
        <v>0</v>
      </c>
      <c r="AJ33" s="23">
        <f>SUMIF(Emissions!$C$54:$C$69,'Emissions summary'!$C33,Emissions!AL$54:AL$69)</f>
        <v>0</v>
      </c>
      <c r="AK33" s="23">
        <f>SUMIF(Emissions!$C$54:$C$69,'Emissions summary'!$C33,Emissions!AM$54:AM$69)</f>
        <v>0</v>
      </c>
      <c r="AL33" s="23">
        <f>SUMIF(Emissions!$C$54:$C$69,'Emissions summary'!$C33,Emissions!AN$54:AN$69)</f>
        <v>0</v>
      </c>
      <c r="AM33" s="23">
        <f>SUMIF(Emissions!$C$54:$C$69,'Emissions summary'!$C33,Emissions!AO$54:AO$69)</f>
        <v>0</v>
      </c>
      <c r="AN33" s="23">
        <f>SUMIF(Emissions!$C$54:$C$69,'Emissions summary'!$C33,Emissions!AP$54:AP$69)</f>
        <v>0</v>
      </c>
      <c r="AO33" s="23">
        <f>SUMIF(Emissions!$C$54:$C$69,'Emissions summary'!$C33,Emissions!AQ$54:AQ$69)</f>
        <v>0</v>
      </c>
      <c r="AP33" s="23">
        <f>SUMIF(Emissions!$C$54:$C$69,'Emissions summary'!$C33,Emissions!AR$54:AR$69)</f>
        <v>0</v>
      </c>
      <c r="AQ33" s="23">
        <f>SUMIF(Emissions!$C$54:$C$69,'Emissions summary'!$C33,Emissions!AS$54:AS$69)</f>
        <v>0</v>
      </c>
      <c r="AR33" s="23">
        <f>SUMIF(Emissions!$C$54:$C$69,'Emissions summary'!$C33,Emissions!AT$54:AT$69)</f>
        <v>0</v>
      </c>
      <c r="AS33" s="23">
        <f>SUMIF(Emissions!$C$54:$C$69,'Emissions summary'!$C33,Emissions!AU$54:AU$69)</f>
        <v>0</v>
      </c>
      <c r="AT33" s="23">
        <f>SUMIF(Emissions!$C$54:$C$69,'Emissions summary'!$C33,Emissions!AV$54:AV$69)</f>
        <v>0</v>
      </c>
      <c r="AU33" s="23">
        <f>SUMIF(Emissions!$C$54:$C$69,'Emissions summary'!$C33,Emissions!AW$54:AW$69)</f>
        <v>0</v>
      </c>
      <c r="AV33" s="23">
        <f>SUMIF(Emissions!$C$54:$C$69,'Emissions summary'!$C33,Emissions!AX$54:AX$69)</f>
        <v>0</v>
      </c>
      <c r="AW33" s="23">
        <f>SUMIF(Emissions!$C$54:$C$69,'Emissions summary'!$C33,Emissions!AY$54:AY$69)</f>
        <v>0</v>
      </c>
      <c r="AX33" s="23">
        <f>SUMIF(Emissions!$C$54:$C$69,'Emissions summary'!$C33,Emissions!AZ$54:AZ$69)</f>
        <v>0</v>
      </c>
      <c r="AY33" s="23">
        <f>SUMIF(Emissions!$C$54:$C$69,'Emissions summary'!$C33,Emissions!BA$54:BA$69)</f>
        <v>0</v>
      </c>
      <c r="AZ33" s="23">
        <f>SUMIF(Emissions!$C$54:$C$69,'Emissions summary'!$C33,Emissions!BB$54:BB$69)</f>
        <v>0</v>
      </c>
      <c r="BA33" s="23">
        <f>SUMIF(Emissions!$C$54:$C$69,'Emissions summary'!$C33,Emissions!BC$54:BC$69)</f>
        <v>0</v>
      </c>
      <c r="BB33" s="23">
        <f>SUMIF(Emissions!$C$54:$C$69,'Emissions summary'!$C33,Emissions!BD$54:BD$69)</f>
        <v>0</v>
      </c>
      <c r="BC33" s="23">
        <f>SUMIF(Emissions!$C$54:$C$69,'Emissions summary'!$C33,Emissions!BE$54:BE$69)</f>
        <v>0</v>
      </c>
      <c r="BD33" s="23">
        <f>SUMIF(Emissions!$C$54:$C$69,'Emissions summary'!$C33,Emissions!BF$54:BF$69)</f>
        <v>0</v>
      </c>
      <c r="BE33" s="23">
        <f>SUMIF(Emissions!$C$54:$C$69,'Emissions summary'!$C33,Emissions!BG$54:BG$69)</f>
        <v>0</v>
      </c>
      <c r="BF33" s="23">
        <f>SUMIF(Emissions!$C$54:$C$69,'Emissions summary'!$C33,Emissions!BH$54:BH$69)</f>
        <v>0</v>
      </c>
      <c r="BG33" s="23">
        <f>SUMIF(Emissions!$C$54:$C$69,'Emissions summary'!$C33,Emissions!BI$54:BI$69)</f>
        <v>0</v>
      </c>
      <c r="BH33" s="23">
        <f>SUMIF(Emissions!$C$54:$C$69,'Emissions summary'!$C33,Emissions!BJ$54:BJ$69)</f>
        <v>0</v>
      </c>
      <c r="BI33" s="23">
        <f>SUMIF(Emissions!$C$54:$C$69,'Emissions summary'!$C33,Emissions!BK$54:BK$69)</f>
        <v>0</v>
      </c>
      <c r="BJ33" s="23">
        <f>SUMIF(Emissions!$C$54:$C$69,'Emissions summary'!$C33,Emissions!BL$54:BL$69)</f>
        <v>0</v>
      </c>
      <c r="BK33" s="23">
        <f>SUMIF(Emissions!$C$54:$C$69,'Emissions summary'!$C33,Emissions!BM$54:BM$69)</f>
        <v>0</v>
      </c>
      <c r="BL33" s="23">
        <f>SUMIF(Emissions!$C$54:$C$69,'Emissions summary'!$C33,Emissions!BN$54:BN$69)</f>
        <v>0</v>
      </c>
      <c r="BM33" s="23">
        <f>SUMIF(Emissions!$C$54:$C$69,'Emissions summary'!$C33,Emissions!BO$54:BO$69)</f>
        <v>0</v>
      </c>
      <c r="BN33" s="23">
        <f>SUMIF(Emissions!$C$54:$C$69,'Emissions summary'!$C33,Emissions!BP$54:BP$69)</f>
        <v>0</v>
      </c>
    </row>
    <row r="34" spans="1:66" s="19" customFormat="1" ht="15.75" x14ac:dyDescent="0.25">
      <c r="A34" s="19" t="str">
        <f t="shared" si="19"/>
        <v>3C Aggregated and non-CO2 emissions on land</v>
      </c>
      <c r="B34" s="19" t="str">
        <f>'IPCC Categories'!B65</f>
        <v>3C1 Biomass burning (N2O)</v>
      </c>
      <c r="C34" s="19" t="s">
        <v>152</v>
      </c>
      <c r="D34" s="19" t="s">
        <v>143</v>
      </c>
      <c r="E34" s="19" t="s">
        <v>291</v>
      </c>
      <c r="F34" s="50">
        <f>SUM(F35:F40)</f>
        <v>3.7075879357894523</v>
      </c>
      <c r="G34" s="50">
        <f t="shared" ref="G34:BN34" si="22">SUM(G35:G40)</f>
        <v>3.7075879357894523</v>
      </c>
      <c r="H34" s="50">
        <f t="shared" si="22"/>
        <v>3.7075879357894523</v>
      </c>
      <c r="I34" s="50">
        <f t="shared" si="22"/>
        <v>3.7075879357894523</v>
      </c>
      <c r="J34" s="50">
        <f t="shared" si="22"/>
        <v>3.7075879357894523</v>
      </c>
      <c r="K34" s="50">
        <f t="shared" si="22"/>
        <v>3.7075879357894523</v>
      </c>
      <c r="L34" s="50">
        <f t="shared" si="22"/>
        <v>3.7075879357894523</v>
      </c>
      <c r="M34" s="50">
        <f t="shared" si="22"/>
        <v>3.7075879357894523</v>
      </c>
      <c r="N34" s="50">
        <f t="shared" si="22"/>
        <v>3.7075879357894523</v>
      </c>
      <c r="O34" s="50">
        <f t="shared" si="22"/>
        <v>3.7075879357894523</v>
      </c>
      <c r="P34" s="50">
        <f t="shared" si="22"/>
        <v>3.6718973949162081</v>
      </c>
      <c r="Q34" s="50">
        <f t="shared" si="22"/>
        <v>4.3479436666429772</v>
      </c>
      <c r="R34" s="50">
        <f t="shared" si="22"/>
        <v>4.2850613259475647</v>
      </c>
      <c r="S34" s="50">
        <f t="shared" si="22"/>
        <v>3.282468107830713</v>
      </c>
      <c r="T34" s="50">
        <f t="shared" si="22"/>
        <v>2.9505691836097965</v>
      </c>
      <c r="U34" s="50">
        <f t="shared" si="22"/>
        <v>4.6706814433352601</v>
      </c>
      <c r="V34" s="50">
        <f t="shared" si="22"/>
        <v>4.0754902880758053</v>
      </c>
      <c r="W34" s="50">
        <f t="shared" si="22"/>
        <v>3.9272122256664277</v>
      </c>
      <c r="X34" s="50">
        <f t="shared" si="22"/>
        <v>3.8070383668685825</v>
      </c>
      <c r="Y34" s="50">
        <f t="shared" si="22"/>
        <v>3.574643820819225</v>
      </c>
      <c r="Z34" s="50">
        <f t="shared" si="22"/>
        <v>3.6185702919300007</v>
      </c>
      <c r="AA34" s="50">
        <f t="shared" si="22"/>
        <v>3.5841393659915992</v>
      </c>
      <c r="AB34" s="50">
        <f t="shared" si="22"/>
        <v>3.2329735385687997</v>
      </c>
      <c r="AC34" s="50">
        <f t="shared" si="22"/>
        <v>3.163095118008</v>
      </c>
      <c r="AD34" s="50">
        <f t="shared" si="22"/>
        <v>3.3197789872295993</v>
      </c>
      <c r="AE34" s="50">
        <f t="shared" si="22"/>
        <v>2.4126113254067998</v>
      </c>
      <c r="AF34" s="50">
        <f t="shared" si="22"/>
        <v>1.4031195104448</v>
      </c>
      <c r="AG34" s="50">
        <f t="shared" si="22"/>
        <v>1.3171594598388001</v>
      </c>
      <c r="AH34" s="50">
        <f t="shared" si="22"/>
        <v>4.0790576027155678</v>
      </c>
      <c r="AI34" s="50">
        <f t="shared" si="22"/>
        <v>4.1107724961941186</v>
      </c>
      <c r="AJ34" s="50">
        <f t="shared" si="22"/>
        <v>4.1424873896726702</v>
      </c>
      <c r="AK34" s="50">
        <f t="shared" si="22"/>
        <v>4.1742022831512209</v>
      </c>
      <c r="AL34" s="50">
        <f t="shared" si="22"/>
        <v>4.2059171766297725</v>
      </c>
      <c r="AM34" s="50">
        <f t="shared" si="22"/>
        <v>4.2376320701083241</v>
      </c>
      <c r="AN34" s="50">
        <f t="shared" si="22"/>
        <v>4.2693469635868757</v>
      </c>
      <c r="AO34" s="50">
        <f t="shared" si="22"/>
        <v>4.3010618570654273</v>
      </c>
      <c r="AP34" s="50">
        <f t="shared" si="22"/>
        <v>4.3327767505439789</v>
      </c>
      <c r="AQ34" s="50">
        <f t="shared" si="22"/>
        <v>4.3644916440225296</v>
      </c>
      <c r="AR34" s="50">
        <f t="shared" si="22"/>
        <v>4.3962065375010813</v>
      </c>
      <c r="AS34" s="50">
        <f t="shared" si="22"/>
        <v>4.4279214309796329</v>
      </c>
      <c r="AT34" s="50">
        <f t="shared" si="22"/>
        <v>4.4596363244581836</v>
      </c>
      <c r="AU34" s="50">
        <f t="shared" si="22"/>
        <v>4.4913512179367361</v>
      </c>
      <c r="AV34" s="50">
        <f t="shared" si="22"/>
        <v>4.5230661114152868</v>
      </c>
      <c r="AW34" s="50">
        <f t="shared" si="22"/>
        <v>4.5547810048938384</v>
      </c>
      <c r="AX34" s="50">
        <f t="shared" si="22"/>
        <v>4.5864958983723909</v>
      </c>
      <c r="AY34" s="50">
        <f t="shared" si="22"/>
        <v>4.6182107918509425</v>
      </c>
      <c r="AZ34" s="50">
        <f t="shared" si="22"/>
        <v>4.649925685329495</v>
      </c>
      <c r="BA34" s="50">
        <f t="shared" si="22"/>
        <v>4.6816405788080466</v>
      </c>
      <c r="BB34" s="50">
        <f t="shared" si="22"/>
        <v>4.7133554722865982</v>
      </c>
      <c r="BC34" s="50">
        <f t="shared" si="22"/>
        <v>4.7450703657651498</v>
      </c>
      <c r="BD34" s="50">
        <f t="shared" si="22"/>
        <v>4.7767852592437023</v>
      </c>
      <c r="BE34" s="50">
        <f t="shared" si="22"/>
        <v>4.808500152722254</v>
      </c>
      <c r="BF34" s="50">
        <f t="shared" si="22"/>
        <v>4.8402150462008056</v>
      </c>
      <c r="BG34" s="50">
        <f t="shared" si="22"/>
        <v>4.8719299396793581</v>
      </c>
      <c r="BH34" s="50">
        <f t="shared" si="22"/>
        <v>4.9036448331579097</v>
      </c>
      <c r="BI34" s="50">
        <f t="shared" si="22"/>
        <v>4.9353597266364613</v>
      </c>
      <c r="BJ34" s="50">
        <f t="shared" si="22"/>
        <v>4.9670746201150138</v>
      </c>
      <c r="BK34" s="50">
        <f t="shared" si="22"/>
        <v>4.9987895135935645</v>
      </c>
      <c r="BL34" s="50">
        <f t="shared" si="22"/>
        <v>5.030504407072117</v>
      </c>
      <c r="BM34" s="50">
        <f t="shared" si="22"/>
        <v>5.0622193005506695</v>
      </c>
      <c r="BN34" s="50">
        <f t="shared" si="22"/>
        <v>5.0939341940292202</v>
      </c>
    </row>
    <row r="35" spans="1:66" x14ac:dyDescent="0.25">
      <c r="A35" t="str">
        <f>A33</f>
        <v>3C Aggregated and non-CO2 emissions on land</v>
      </c>
      <c r="B35" t="str">
        <f>'IPCC Categories'!B65</f>
        <v>3C1 Biomass burning (N2O)</v>
      </c>
      <c r="C35" t="str">
        <f>'IPCC Categories'!C65</f>
        <v>3C1a Biomass burning in forest land</v>
      </c>
      <c r="D35" t="s">
        <v>143</v>
      </c>
      <c r="E35" t="s">
        <v>291</v>
      </c>
      <c r="F35" s="23">
        <f>SUMIF(Emissions!$C$70:$C$85,'Emissions summary'!$C35,Emissions!H$70:H$85)</f>
        <v>1.1438763741385864</v>
      </c>
      <c r="G35" s="23">
        <f>SUMIF(Emissions!$C$70:$C$85,'Emissions summary'!$C35,Emissions!I$70:I$85)</f>
        <v>1.1438763741385864</v>
      </c>
      <c r="H35" s="23">
        <f>SUMIF(Emissions!$C$70:$C$85,'Emissions summary'!$C35,Emissions!J$70:J$85)</f>
        <v>1.1438763741385864</v>
      </c>
      <c r="I35" s="23">
        <f>SUMIF(Emissions!$C$70:$C$85,'Emissions summary'!$C35,Emissions!K$70:K$85)</f>
        <v>1.1438763741385864</v>
      </c>
      <c r="J35" s="23">
        <f>SUMIF(Emissions!$C$70:$C$85,'Emissions summary'!$C35,Emissions!L$70:L$85)</f>
        <v>1.1438763741385864</v>
      </c>
      <c r="K35" s="23">
        <f>SUMIF(Emissions!$C$70:$C$85,'Emissions summary'!$C35,Emissions!M$70:M$85)</f>
        <v>1.1438763741385864</v>
      </c>
      <c r="L35" s="23">
        <f>SUMIF(Emissions!$C$70:$C$85,'Emissions summary'!$C35,Emissions!N$70:N$85)</f>
        <v>1.1438763741385864</v>
      </c>
      <c r="M35" s="23">
        <f>SUMIF(Emissions!$C$70:$C$85,'Emissions summary'!$C35,Emissions!O$70:O$85)</f>
        <v>1.1438763741385864</v>
      </c>
      <c r="N35" s="23">
        <f>SUMIF(Emissions!$C$70:$C$85,'Emissions summary'!$C35,Emissions!P$70:P$85)</f>
        <v>1.1438763741385864</v>
      </c>
      <c r="O35" s="23">
        <f>SUMIF(Emissions!$C$70:$C$85,'Emissions summary'!$C35,Emissions!Q$70:Q$85)</f>
        <v>1.1438763741385864</v>
      </c>
      <c r="P35" s="23">
        <f>SUMIF(Emissions!$C$70:$C$85,'Emissions summary'!$C35,Emissions!R$70:R$85)</f>
        <v>1.129665625804974</v>
      </c>
      <c r="Q35" s="23">
        <f>SUMIF(Emissions!$C$70:$C$85,'Emissions summary'!$C35,Emissions!S$70:S$85)</f>
        <v>1.5001940667446125</v>
      </c>
      <c r="R35" s="23">
        <f>SUMIF(Emissions!$C$70:$C$85,'Emissions summary'!$C35,Emissions!T$70:T$85)</f>
        <v>1.2536062459262034</v>
      </c>
      <c r="S35" s="23">
        <f>SUMIF(Emissions!$C$70:$C$85,'Emissions summary'!$C35,Emissions!U$70:U$85)</f>
        <v>0.90130843582112352</v>
      </c>
      <c r="T35" s="23">
        <f>SUMIF(Emissions!$C$70:$C$85,'Emissions summary'!$C35,Emissions!V$70:V$85)</f>
        <v>0.93460749639601826</v>
      </c>
      <c r="U35" s="23">
        <f>SUMIF(Emissions!$C$70:$C$85,'Emissions summary'!$C35,Emissions!W$70:W$85)</f>
        <v>1.4818082671125721</v>
      </c>
      <c r="V35" s="23">
        <f>SUMIF(Emissions!$C$70:$C$85,'Emissions summary'!$C35,Emissions!X$70:X$85)</f>
        <v>1.2335191780721162</v>
      </c>
      <c r="W35" s="23">
        <f>SUMIF(Emissions!$C$70:$C$85,'Emissions summary'!$C35,Emissions!Y$70:Y$85)</f>
        <v>1.3425917486681966</v>
      </c>
      <c r="X35" s="23">
        <f>SUMIF(Emissions!$C$70:$C$85,'Emissions summary'!$C35,Emissions!Z$70:Z$85)</f>
        <v>1.3834411759926073</v>
      </c>
      <c r="Y35" s="23">
        <f>SUMIF(Emissions!$C$70:$C$85,'Emissions summary'!$C35,Emissions!AA$70:AA$85)</f>
        <v>1.0406581288181318</v>
      </c>
      <c r="Z35" s="23">
        <f>SUMIF(Emissions!$C$70:$C$85,'Emissions summary'!$C35,Emissions!AB$70:AB$85)</f>
        <v>1.1705685167880002</v>
      </c>
      <c r="AA35" s="23">
        <f>SUMIF(Emissions!$C$70:$C$85,'Emissions summary'!$C35,Emissions!AC$70:AC$85)</f>
        <v>1.1141746509779999</v>
      </c>
      <c r="AB35" s="23">
        <f>SUMIF(Emissions!$C$70:$C$85,'Emissions summary'!$C35,Emissions!AD$70:AD$85)</f>
        <v>1.0469398258079998</v>
      </c>
      <c r="AC35" s="23">
        <f>SUMIF(Emissions!$C$70:$C$85,'Emissions summary'!$C35,Emissions!AE$70:AE$85)</f>
        <v>0.88440543235800007</v>
      </c>
      <c r="AD35" s="23">
        <f>SUMIF(Emissions!$C$70:$C$85,'Emissions summary'!$C35,Emissions!AF$70:AF$85)</f>
        <v>1.290293211816</v>
      </c>
      <c r="AE35" s="23">
        <f>SUMIF(Emissions!$C$70:$C$85,'Emissions summary'!$C35,Emissions!AG$70:AG$85)</f>
        <v>0.88250874994800022</v>
      </c>
      <c r="AF35" s="23">
        <f>SUMIF(Emissions!$C$70:$C$85,'Emissions summary'!$C35,Emissions!AH$70:AH$85)</f>
        <v>0.43749689327999997</v>
      </c>
      <c r="AG35" s="23">
        <f>SUMIF(Emissions!$C$70:$C$85,'Emissions summary'!$C35,Emissions!AI$70:AI$85)</f>
        <v>0.41653454218200003</v>
      </c>
      <c r="AH35" s="23">
        <f>SUMIF(Emissions!$C$70:$C$85,'Emissions summary'!$C35,Emissions!AJ$70:AJ$85)</f>
        <v>0.96030236337685471</v>
      </c>
      <c r="AI35" s="23">
        <f>SUMIF(Emissions!$C$70:$C$85,'Emissions summary'!$C35,Emissions!AK$70:AK$85)</f>
        <v>0.96298236637014001</v>
      </c>
      <c r="AJ35" s="23">
        <f>SUMIF(Emissions!$C$70:$C$85,'Emissions summary'!$C35,Emissions!AL$70:AL$85)</f>
        <v>0.96566236936342564</v>
      </c>
      <c r="AK35" s="23">
        <f>SUMIF(Emissions!$C$70:$C$85,'Emissions summary'!$C35,Emissions!AM$70:AM$85)</f>
        <v>0.96834237235671128</v>
      </c>
      <c r="AL35" s="23">
        <f>SUMIF(Emissions!$C$70:$C$85,'Emissions summary'!$C35,Emissions!AN$70:AN$85)</f>
        <v>0.97102237534999691</v>
      </c>
      <c r="AM35" s="23">
        <f>SUMIF(Emissions!$C$70:$C$85,'Emissions summary'!$C35,Emissions!AO$70:AO$85)</f>
        <v>0.97370237834328255</v>
      </c>
      <c r="AN35" s="23">
        <f>SUMIF(Emissions!$C$70:$C$85,'Emissions summary'!$C35,Emissions!AP$70:AP$85)</f>
        <v>0.97638238133656818</v>
      </c>
      <c r="AO35" s="23">
        <f>SUMIF(Emissions!$C$70:$C$85,'Emissions summary'!$C35,Emissions!AQ$70:AQ$85)</f>
        <v>0.97906238432985393</v>
      </c>
      <c r="AP35" s="23">
        <f>SUMIF(Emissions!$C$70:$C$85,'Emissions summary'!$C35,Emissions!AR$70:AR$85)</f>
        <v>0.98174238732313945</v>
      </c>
      <c r="AQ35" s="23">
        <f>SUMIF(Emissions!$C$70:$C$85,'Emissions summary'!$C35,Emissions!AS$70:AS$85)</f>
        <v>0.98442239031642509</v>
      </c>
      <c r="AR35" s="23">
        <f>SUMIF(Emissions!$C$70:$C$85,'Emissions summary'!$C35,Emissions!AT$70:AT$85)</f>
        <v>0.98710239330971072</v>
      </c>
      <c r="AS35" s="23">
        <f>SUMIF(Emissions!$C$70:$C$85,'Emissions summary'!$C35,Emissions!AU$70:AU$85)</f>
        <v>0.98978239630299625</v>
      </c>
      <c r="AT35" s="23">
        <f>SUMIF(Emissions!$C$70:$C$85,'Emissions summary'!$C35,Emissions!AV$70:AV$85)</f>
        <v>0.99246239929628199</v>
      </c>
      <c r="AU35" s="23">
        <f>SUMIF(Emissions!$C$70:$C$85,'Emissions summary'!$C35,Emissions!AW$70:AW$85)</f>
        <v>0.99514240228956763</v>
      </c>
      <c r="AV35" s="23">
        <f>SUMIF(Emissions!$C$70:$C$85,'Emissions summary'!$C35,Emissions!AX$70:AX$85)</f>
        <v>0.99782240528285338</v>
      </c>
      <c r="AW35" s="23">
        <f>SUMIF(Emissions!$C$70:$C$85,'Emissions summary'!$C35,Emissions!AY$70:AY$85)</f>
        <v>1.0005024082761387</v>
      </c>
      <c r="AX35" s="23">
        <f>SUMIF(Emissions!$C$70:$C$85,'Emissions summary'!$C35,Emissions!AZ$70:AZ$85)</f>
        <v>1.0031824112694243</v>
      </c>
      <c r="AY35" s="23">
        <f>SUMIF(Emissions!$C$70:$C$85,'Emissions summary'!$C35,Emissions!BA$70:BA$85)</f>
        <v>1.0058624142627099</v>
      </c>
      <c r="AZ35" s="23">
        <f>SUMIF(Emissions!$C$70:$C$85,'Emissions summary'!$C35,Emissions!BB$70:BB$85)</f>
        <v>1.0085424172559956</v>
      </c>
      <c r="BA35" s="23">
        <f>SUMIF(Emissions!$C$70:$C$85,'Emissions summary'!$C35,Emissions!BC$70:BC$85)</f>
        <v>1.0112224202492812</v>
      </c>
      <c r="BB35" s="23">
        <f>SUMIF(Emissions!$C$70:$C$85,'Emissions summary'!$C35,Emissions!BD$70:BD$85)</f>
        <v>1.0139024232425669</v>
      </c>
      <c r="BC35" s="23">
        <f>SUMIF(Emissions!$C$70:$C$85,'Emissions summary'!$C35,Emissions!BE$70:BE$85)</f>
        <v>1.0165824262358525</v>
      </c>
      <c r="BD35" s="23">
        <f>SUMIF(Emissions!$C$70:$C$85,'Emissions summary'!$C35,Emissions!BF$70:BF$85)</f>
        <v>1.0192624292291381</v>
      </c>
      <c r="BE35" s="23">
        <f>SUMIF(Emissions!$C$70:$C$85,'Emissions summary'!$C35,Emissions!BG$70:BG$85)</f>
        <v>1.0219424322224238</v>
      </c>
      <c r="BF35" s="23">
        <f>SUMIF(Emissions!$C$70:$C$85,'Emissions summary'!$C35,Emissions!BH$70:BH$85)</f>
        <v>1.0246224352157092</v>
      </c>
      <c r="BG35" s="23">
        <f>SUMIF(Emissions!$C$70:$C$85,'Emissions summary'!$C35,Emissions!BI$70:BI$85)</f>
        <v>1.0273024382089948</v>
      </c>
      <c r="BH35" s="23">
        <f>SUMIF(Emissions!$C$70:$C$85,'Emissions summary'!$C35,Emissions!BJ$70:BJ$85)</f>
        <v>1.0299824412022804</v>
      </c>
      <c r="BI35" s="23">
        <f>SUMIF(Emissions!$C$70:$C$85,'Emissions summary'!$C35,Emissions!BK$70:BK$85)</f>
        <v>1.0326624441955663</v>
      </c>
      <c r="BJ35" s="23">
        <f>SUMIF(Emissions!$C$70:$C$85,'Emissions summary'!$C35,Emissions!BL$70:BL$85)</f>
        <v>1.0353424471888517</v>
      </c>
      <c r="BK35" s="23">
        <f>SUMIF(Emissions!$C$70:$C$85,'Emissions summary'!$C35,Emissions!BM$70:BM$85)</f>
        <v>1.0380224501821371</v>
      </c>
      <c r="BL35" s="23">
        <f>SUMIF(Emissions!$C$70:$C$85,'Emissions summary'!$C35,Emissions!BN$70:BN$85)</f>
        <v>1.0407024531754232</v>
      </c>
      <c r="BM35" s="23">
        <f>SUMIF(Emissions!$C$70:$C$85,'Emissions summary'!$C35,Emissions!BO$70:BO$85)</f>
        <v>1.0433824561687086</v>
      </c>
      <c r="BN35" s="23">
        <f>SUMIF(Emissions!$C$70:$C$85,'Emissions summary'!$C35,Emissions!BP$70:BP$85)</f>
        <v>1.0460624591619943</v>
      </c>
    </row>
    <row r="36" spans="1:66" x14ac:dyDescent="0.25">
      <c r="A36" t="str">
        <f t="shared" si="19"/>
        <v>3C Aggregated and non-CO2 emissions on land</v>
      </c>
      <c r="B36" t="str">
        <f>B35</f>
        <v>3C1 Biomass burning (N2O)</v>
      </c>
      <c r="C36" t="str">
        <f>'IPCC Categories'!C66</f>
        <v>3C1b Biomass burning in Croplands</v>
      </c>
      <c r="D36" t="str">
        <f>D35</f>
        <v>N2O</v>
      </c>
      <c r="E36" t="str">
        <f>E35</f>
        <v>Gg N2O</v>
      </c>
      <c r="F36" s="23">
        <f>SUMIF(Emissions!$C$70:$C$85,'Emissions summary'!$C36,Emissions!H$70:H$85)</f>
        <v>0.26227938544915658</v>
      </c>
      <c r="G36" s="23">
        <f>SUMIF(Emissions!$C$70:$C$85,'Emissions summary'!$C36,Emissions!I$70:I$85)</f>
        <v>0.26227938544915658</v>
      </c>
      <c r="H36" s="23">
        <f>SUMIF(Emissions!$C$70:$C$85,'Emissions summary'!$C36,Emissions!J$70:J$85)</f>
        <v>0.26227938544915658</v>
      </c>
      <c r="I36" s="23">
        <f>SUMIF(Emissions!$C$70:$C$85,'Emissions summary'!$C36,Emissions!K$70:K$85)</f>
        <v>0.26227938544915658</v>
      </c>
      <c r="J36" s="23">
        <f>SUMIF(Emissions!$C$70:$C$85,'Emissions summary'!$C36,Emissions!L$70:L$85)</f>
        <v>0.26227938544915658</v>
      </c>
      <c r="K36" s="23">
        <f>SUMIF(Emissions!$C$70:$C$85,'Emissions summary'!$C36,Emissions!M$70:M$85)</f>
        <v>0.26227938544915658</v>
      </c>
      <c r="L36" s="23">
        <f>SUMIF(Emissions!$C$70:$C$85,'Emissions summary'!$C36,Emissions!N$70:N$85)</f>
        <v>0.26227938544915658</v>
      </c>
      <c r="M36" s="23">
        <f>SUMIF(Emissions!$C$70:$C$85,'Emissions summary'!$C36,Emissions!O$70:O$85)</f>
        <v>0.26227938544915658</v>
      </c>
      <c r="N36" s="23">
        <f>SUMIF(Emissions!$C$70:$C$85,'Emissions summary'!$C36,Emissions!P$70:P$85)</f>
        <v>0.26227938544915658</v>
      </c>
      <c r="O36" s="23">
        <f>SUMIF(Emissions!$C$70:$C$85,'Emissions summary'!$C36,Emissions!Q$70:Q$85)</f>
        <v>0.26227938544915658</v>
      </c>
      <c r="P36" s="23">
        <f>SUMIF(Emissions!$C$70:$C$85,'Emissions summary'!$C36,Emissions!R$70:R$85)</f>
        <v>0.27249351091104779</v>
      </c>
      <c r="Q36" s="23">
        <f>SUMIF(Emissions!$C$70:$C$85,'Emissions summary'!$C36,Emissions!S$70:S$85)</f>
        <v>0.28214910438509594</v>
      </c>
      <c r="R36" s="23">
        <f>SUMIF(Emissions!$C$70:$C$85,'Emissions summary'!$C36,Emissions!T$70:T$85)</f>
        <v>0.3096912890487743</v>
      </c>
      <c r="S36" s="23">
        <f>SUMIF(Emissions!$C$70:$C$85,'Emissions summary'!$C36,Emissions!U$70:U$85)</f>
        <v>0.24106195370044609</v>
      </c>
      <c r="T36" s="23">
        <f>SUMIF(Emissions!$C$70:$C$85,'Emissions summary'!$C36,Emissions!V$70:V$85)</f>
        <v>0.20600106920041864</v>
      </c>
      <c r="U36" s="23">
        <f>SUMIF(Emissions!$C$70:$C$85,'Emissions summary'!$C36,Emissions!W$70:W$85)</f>
        <v>0.35933732059976431</v>
      </c>
      <c r="V36" s="23">
        <f>SUMIF(Emissions!$C$70:$C$85,'Emissions summary'!$C36,Emissions!X$70:X$85)</f>
        <v>0.33855631263102837</v>
      </c>
      <c r="W36" s="23">
        <f>SUMIF(Emissions!$C$70:$C$85,'Emissions summary'!$C36,Emissions!Y$70:Y$85)</f>
        <v>0.27162292461420739</v>
      </c>
      <c r="X36" s="23">
        <f>SUMIF(Emissions!$C$70:$C$85,'Emissions summary'!$C36,Emissions!Z$70:Z$85)</f>
        <v>0.2444764609945474</v>
      </c>
      <c r="Y36" s="23">
        <f>SUMIF(Emissions!$C$70:$C$85,'Emissions summary'!$C36,Emissions!AA$70:AA$85)</f>
        <v>0.25418858604631245</v>
      </c>
      <c r="Z36" s="23">
        <f>SUMIF(Emissions!$C$70:$C$85,'Emissions summary'!$C36,Emissions!AB$70:AB$85)</f>
        <v>0.25351308360000002</v>
      </c>
      <c r="AA36" s="23">
        <f>SUMIF(Emissions!$C$70:$C$85,'Emissions summary'!$C36,Emissions!AC$70:AC$85)</f>
        <v>0.24445247399999998</v>
      </c>
      <c r="AB36" s="23">
        <f>SUMIF(Emissions!$C$70:$C$85,'Emissions summary'!$C36,Emissions!AD$70:AD$85)</f>
        <v>0.19019240730000003</v>
      </c>
      <c r="AC36" s="23">
        <f>SUMIF(Emissions!$C$70:$C$85,'Emissions summary'!$C36,Emissions!AE$70:AE$85)</f>
        <v>0.20238821820000003</v>
      </c>
      <c r="AD36" s="23">
        <f>SUMIF(Emissions!$C$70:$C$85,'Emissions summary'!$C36,Emissions!AF$70:AF$85)</f>
        <v>0.21405482910000001</v>
      </c>
      <c r="AE36" s="23">
        <f>SUMIF(Emissions!$C$70:$C$85,'Emissions summary'!$C36,Emissions!AG$70:AG$85)</f>
        <v>0.14082955740000003</v>
      </c>
      <c r="AF36" s="23">
        <f>SUMIF(Emissions!$C$70:$C$85,'Emissions summary'!$C36,Emissions!AH$70:AH$85)</f>
        <v>7.1004924900000016E-2</v>
      </c>
      <c r="AG36" s="23">
        <f>SUMIF(Emissions!$C$70:$C$85,'Emissions summary'!$C36,Emissions!AI$70:AI$85)</f>
        <v>7.0606701900000013E-2</v>
      </c>
      <c r="AH36" s="23">
        <f>SUMIF(Emissions!$C$70:$C$85,'Emissions summary'!$C36,Emissions!AJ$70:AJ$85)</f>
        <v>0.23153463763406823</v>
      </c>
      <c r="AI36" s="23">
        <f>SUMIF(Emissions!$C$70:$C$85,'Emissions summary'!$C36,Emissions!AK$70:AK$85)</f>
        <v>0.23137889198588729</v>
      </c>
      <c r="AJ36" s="23">
        <f>SUMIF(Emissions!$C$70:$C$85,'Emissions summary'!$C36,Emissions!AL$70:AL$85)</f>
        <v>0.23122314633770624</v>
      </c>
      <c r="AK36" s="23">
        <f>SUMIF(Emissions!$C$70:$C$85,'Emissions summary'!$C36,Emissions!AM$70:AM$85)</f>
        <v>0.23106740068952525</v>
      </c>
      <c r="AL36" s="23">
        <f>SUMIF(Emissions!$C$70:$C$85,'Emissions summary'!$C36,Emissions!AN$70:AN$85)</f>
        <v>0.23091165504134425</v>
      </c>
      <c r="AM36" s="23">
        <f>SUMIF(Emissions!$C$70:$C$85,'Emissions summary'!$C36,Emissions!AO$70:AO$85)</f>
        <v>0.23075590939316332</v>
      </c>
      <c r="AN36" s="23">
        <f>SUMIF(Emissions!$C$70:$C$85,'Emissions summary'!$C36,Emissions!AP$70:AP$85)</f>
        <v>0.23060016374498229</v>
      </c>
      <c r="AO36" s="23">
        <f>SUMIF(Emissions!$C$70:$C$85,'Emissions summary'!$C36,Emissions!AQ$70:AQ$85)</f>
        <v>0.2304444180968013</v>
      </c>
      <c r="AP36" s="23">
        <f>SUMIF(Emissions!$C$70:$C$85,'Emissions summary'!$C36,Emissions!AR$70:AR$85)</f>
        <v>0.23028867244862034</v>
      </c>
      <c r="AQ36" s="23">
        <f>SUMIF(Emissions!$C$70:$C$85,'Emissions summary'!$C36,Emissions!AS$70:AS$85)</f>
        <v>0.23013292680043937</v>
      </c>
      <c r="AR36" s="23">
        <f>SUMIF(Emissions!$C$70:$C$85,'Emissions summary'!$C36,Emissions!AT$70:AT$85)</f>
        <v>0.22997718115225835</v>
      </c>
      <c r="AS36" s="23">
        <f>SUMIF(Emissions!$C$70:$C$85,'Emissions summary'!$C36,Emissions!AU$70:AU$85)</f>
        <v>0.22982143550407735</v>
      </c>
      <c r="AT36" s="23">
        <f>SUMIF(Emissions!$C$70:$C$85,'Emissions summary'!$C36,Emissions!AV$70:AV$85)</f>
        <v>0.22966568985589636</v>
      </c>
      <c r="AU36" s="23">
        <f>SUMIF(Emissions!$C$70:$C$85,'Emissions summary'!$C36,Emissions!AW$70:AW$85)</f>
        <v>0.22950994420771537</v>
      </c>
      <c r="AV36" s="23">
        <f>SUMIF(Emissions!$C$70:$C$85,'Emissions summary'!$C36,Emissions!AX$70:AX$85)</f>
        <v>0.22935419855953434</v>
      </c>
      <c r="AW36" s="23">
        <f>SUMIF(Emissions!$C$70:$C$85,'Emissions summary'!$C36,Emissions!AY$70:AY$85)</f>
        <v>0.22919845291135338</v>
      </c>
      <c r="AX36" s="23">
        <f>SUMIF(Emissions!$C$70:$C$85,'Emissions summary'!$C36,Emissions!AZ$70:AZ$85)</f>
        <v>0.22904270726317244</v>
      </c>
      <c r="AY36" s="23">
        <f>SUMIF(Emissions!$C$70:$C$85,'Emissions summary'!$C36,Emissions!BA$70:BA$85)</f>
        <v>0.22888696161499142</v>
      </c>
      <c r="AZ36" s="23">
        <f>SUMIF(Emissions!$C$70:$C$85,'Emissions summary'!$C36,Emissions!BB$70:BB$85)</f>
        <v>0.22873121596681045</v>
      </c>
      <c r="BA36" s="23">
        <f>SUMIF(Emissions!$C$70:$C$85,'Emissions summary'!$C36,Emissions!BC$70:BC$85)</f>
        <v>0.2285754703186294</v>
      </c>
      <c r="BB36" s="23">
        <f>SUMIF(Emissions!$C$70:$C$85,'Emissions summary'!$C36,Emissions!BD$70:BD$85)</f>
        <v>0.22841972467044847</v>
      </c>
      <c r="BC36" s="23">
        <f>SUMIF(Emissions!$C$70:$C$85,'Emissions summary'!$C36,Emissions!BE$70:BE$85)</f>
        <v>0.22826397902226747</v>
      </c>
      <c r="BD36" s="23">
        <f>SUMIF(Emissions!$C$70:$C$85,'Emissions summary'!$C36,Emissions!BF$70:BF$85)</f>
        <v>0.22810823337408651</v>
      </c>
      <c r="BE36" s="23">
        <f>SUMIF(Emissions!$C$70:$C$85,'Emissions summary'!$C36,Emissions!BG$70:BG$85)</f>
        <v>0.22795248772590543</v>
      </c>
      <c r="BF36" s="23">
        <f>SUMIF(Emissions!$C$70:$C$85,'Emissions summary'!$C36,Emissions!BH$70:BH$85)</f>
        <v>0.22779674207772449</v>
      </c>
      <c r="BG36" s="23">
        <f>SUMIF(Emissions!$C$70:$C$85,'Emissions summary'!$C36,Emissions!BI$70:BI$85)</f>
        <v>0.22764099642954344</v>
      </c>
      <c r="BH36" s="23">
        <f>SUMIF(Emissions!$C$70:$C$85,'Emissions summary'!$C36,Emissions!BJ$70:BJ$85)</f>
        <v>0.2274852507813625</v>
      </c>
      <c r="BI36" s="23">
        <f>SUMIF(Emissions!$C$70:$C$85,'Emissions summary'!$C36,Emissions!BK$70:BK$85)</f>
        <v>0.22732950513318148</v>
      </c>
      <c r="BJ36" s="23">
        <f>SUMIF(Emissions!$C$70:$C$85,'Emissions summary'!$C36,Emissions!BL$70:BL$85)</f>
        <v>0.22717375948500051</v>
      </c>
      <c r="BK36" s="23">
        <f>SUMIF(Emissions!$C$70:$C$85,'Emissions summary'!$C36,Emissions!BM$70:BM$85)</f>
        <v>0.22701801383681955</v>
      </c>
      <c r="BL36" s="23">
        <f>SUMIF(Emissions!$C$70:$C$85,'Emissions summary'!$C36,Emissions!BN$70:BN$85)</f>
        <v>0.2268622681886385</v>
      </c>
      <c r="BM36" s="23">
        <f>SUMIF(Emissions!$C$70:$C$85,'Emissions summary'!$C36,Emissions!BO$70:BO$85)</f>
        <v>0.22670652254045759</v>
      </c>
      <c r="BN36" s="23">
        <f>SUMIF(Emissions!$C$70:$C$85,'Emissions summary'!$C36,Emissions!BP$70:BP$85)</f>
        <v>0.22655077689227657</v>
      </c>
    </row>
    <row r="37" spans="1:66" x14ac:dyDescent="0.25">
      <c r="A37" t="str">
        <f t="shared" si="19"/>
        <v>3C Aggregated and non-CO2 emissions on land</v>
      </c>
      <c r="B37" t="str">
        <f t="shared" ref="B37:B40" si="23">B36</f>
        <v>3C1 Biomass burning (N2O)</v>
      </c>
      <c r="C37" t="str">
        <f>'IPCC Categories'!C67</f>
        <v>3C1c Biomass burning in Grasslands</v>
      </c>
      <c r="D37" t="str">
        <f t="shared" ref="D37:E40" si="24">D36</f>
        <v>N2O</v>
      </c>
      <c r="E37" t="str">
        <f t="shared" si="24"/>
        <v>Gg N2O</v>
      </c>
      <c r="F37" s="23">
        <f>SUMIF(Emissions!$C$70:$C$85,'Emissions summary'!$C37,Emissions!H$70:H$85)</f>
        <v>2.1832325939202906</v>
      </c>
      <c r="G37" s="23">
        <f>SUMIF(Emissions!$C$70:$C$85,'Emissions summary'!$C37,Emissions!I$70:I$85)</f>
        <v>2.1832325939202906</v>
      </c>
      <c r="H37" s="23">
        <f>SUMIF(Emissions!$C$70:$C$85,'Emissions summary'!$C37,Emissions!J$70:J$85)</f>
        <v>2.1832325939202906</v>
      </c>
      <c r="I37" s="23">
        <f>SUMIF(Emissions!$C$70:$C$85,'Emissions summary'!$C37,Emissions!K$70:K$85)</f>
        <v>2.1832325939202906</v>
      </c>
      <c r="J37" s="23">
        <f>SUMIF(Emissions!$C$70:$C$85,'Emissions summary'!$C37,Emissions!L$70:L$85)</f>
        <v>2.1832325939202906</v>
      </c>
      <c r="K37" s="23">
        <f>SUMIF(Emissions!$C$70:$C$85,'Emissions summary'!$C37,Emissions!M$70:M$85)</f>
        <v>2.1832325939202906</v>
      </c>
      <c r="L37" s="23">
        <f>SUMIF(Emissions!$C$70:$C$85,'Emissions summary'!$C37,Emissions!N$70:N$85)</f>
        <v>2.1832325939202906</v>
      </c>
      <c r="M37" s="23">
        <f>SUMIF(Emissions!$C$70:$C$85,'Emissions summary'!$C37,Emissions!O$70:O$85)</f>
        <v>2.1832325939202906</v>
      </c>
      <c r="N37" s="23">
        <f>SUMIF(Emissions!$C$70:$C$85,'Emissions summary'!$C37,Emissions!P$70:P$85)</f>
        <v>2.1832325939202906</v>
      </c>
      <c r="O37" s="23">
        <f>SUMIF(Emissions!$C$70:$C$85,'Emissions summary'!$C37,Emissions!Q$70:Q$85)</f>
        <v>2.1832325939202906</v>
      </c>
      <c r="P37" s="23">
        <f>SUMIF(Emissions!$C$70:$C$85,'Emissions summary'!$C37,Emissions!R$70:R$85)</f>
        <v>2.1560404954267964</v>
      </c>
      <c r="Q37" s="23">
        <f>SUMIF(Emissions!$C$70:$C$85,'Emissions summary'!$C37,Emissions!S$70:S$85)</f>
        <v>2.4331484625916917</v>
      </c>
      <c r="R37" s="23">
        <f>SUMIF(Emissions!$C$70:$C$85,'Emissions summary'!$C37,Emissions!T$70:T$85)</f>
        <v>2.5851794612386958</v>
      </c>
      <c r="S37" s="23">
        <f>SUMIF(Emissions!$C$70:$C$85,'Emissions summary'!$C37,Emissions!U$70:U$85)</f>
        <v>2.026241021042972</v>
      </c>
      <c r="T37" s="23">
        <f>SUMIF(Emissions!$C$70:$C$85,'Emissions summary'!$C37,Emissions!V$70:V$85)</f>
        <v>1.7155535293012945</v>
      </c>
      <c r="U37" s="23">
        <f>SUMIF(Emissions!$C$70:$C$85,'Emissions summary'!$C37,Emissions!W$70:W$85)</f>
        <v>2.664720786608763</v>
      </c>
      <c r="V37" s="23">
        <f>SUMIF(Emissions!$C$70:$C$85,'Emissions summary'!$C37,Emissions!X$70:X$85)</f>
        <v>2.3579698696662157</v>
      </c>
      <c r="W37" s="23">
        <f>SUMIF(Emissions!$C$70:$C$85,'Emissions summary'!$C37,Emissions!Y$70:Y$85)</f>
        <v>2.1705723800404217</v>
      </c>
      <c r="X37" s="23">
        <f>SUMIF(Emissions!$C$70:$C$85,'Emissions summary'!$C37,Emissions!Z$70:Z$85)</f>
        <v>2.069932733340706</v>
      </c>
      <c r="Y37" s="23">
        <f>SUMIF(Emissions!$C$70:$C$85,'Emissions summary'!$C37,Emissions!AA$70:AA$85)</f>
        <v>2.153682585932855</v>
      </c>
      <c r="Z37" s="23">
        <f>SUMIF(Emissions!$C$70:$C$85,'Emissions summary'!$C37,Emissions!AB$70:AB$85)</f>
        <v>2.0565198387720001</v>
      </c>
      <c r="AA37" s="23">
        <f>SUMIF(Emissions!$C$70:$C$85,'Emissions summary'!$C37,Emissions!AC$70:AC$85)</f>
        <v>2.0914494266735995</v>
      </c>
      <c r="AB37" s="23">
        <f>SUMIF(Emissions!$C$70:$C$85,'Emissions summary'!$C37,Emissions!AD$70:AD$85)</f>
        <v>1.8842019274007997</v>
      </c>
      <c r="AC37" s="23">
        <f>SUMIF(Emissions!$C$70:$C$85,'Emissions summary'!$C37,Emissions!AE$70:AE$85)</f>
        <v>1.94823002493</v>
      </c>
      <c r="AD37" s="23">
        <f>SUMIF(Emissions!$C$70:$C$85,'Emissions summary'!$C37,Emissions!AF$70:AF$85)</f>
        <v>1.6905918441635996</v>
      </c>
      <c r="AE37" s="23">
        <f>SUMIF(Emissions!$C$70:$C$85,'Emissions summary'!$C37,Emissions!AG$70:AG$85)</f>
        <v>1.2816447548687995</v>
      </c>
      <c r="AF37" s="23">
        <f>SUMIF(Emissions!$C$70:$C$85,'Emissions summary'!$C37,Emissions!AH$70:AH$85)</f>
        <v>0.84115927851479988</v>
      </c>
      <c r="AG37" s="23">
        <f>SUMIF(Emissions!$C$70:$C$85,'Emissions summary'!$C37,Emissions!AI$70:AI$85)</f>
        <v>0.77880538471679983</v>
      </c>
      <c r="AH37" s="23">
        <f>SUMIF(Emissions!$C$70:$C$85,'Emissions summary'!$C37,Emissions!AJ$70:AJ$85)</f>
        <v>2.8011395240415742</v>
      </c>
      <c r="AI37" s="23">
        <f>SUMIF(Emissions!$C$70:$C$85,'Emissions summary'!$C37,Emissions!AK$70:AK$85)</f>
        <v>2.830841185072837</v>
      </c>
      <c r="AJ37" s="23">
        <f>SUMIF(Emissions!$C$70:$C$85,'Emissions summary'!$C37,Emissions!AL$70:AL$85)</f>
        <v>2.8605428461040998</v>
      </c>
      <c r="AK37" s="23">
        <f>SUMIF(Emissions!$C$70:$C$85,'Emissions summary'!$C37,Emissions!AM$70:AM$85)</f>
        <v>2.8902445071353617</v>
      </c>
      <c r="AL37" s="23">
        <f>SUMIF(Emissions!$C$70:$C$85,'Emissions summary'!$C37,Emissions!AN$70:AN$85)</f>
        <v>2.9199461681666246</v>
      </c>
      <c r="AM37" s="23">
        <f>SUMIF(Emissions!$C$70:$C$85,'Emissions summary'!$C37,Emissions!AO$70:AO$85)</f>
        <v>2.9496478291978874</v>
      </c>
      <c r="AN37" s="23">
        <f>SUMIF(Emissions!$C$70:$C$85,'Emissions summary'!$C37,Emissions!AP$70:AP$85)</f>
        <v>2.9793494902291502</v>
      </c>
      <c r="AO37" s="23">
        <f>SUMIF(Emissions!$C$70:$C$85,'Emissions summary'!$C37,Emissions!AQ$70:AQ$85)</f>
        <v>3.0090511512604121</v>
      </c>
      <c r="AP37" s="23">
        <f>SUMIF(Emissions!$C$70:$C$85,'Emissions summary'!$C37,Emissions!AR$70:AR$85)</f>
        <v>3.0387528122916754</v>
      </c>
      <c r="AQ37" s="23">
        <f>SUMIF(Emissions!$C$70:$C$85,'Emissions summary'!$C37,Emissions!AS$70:AS$85)</f>
        <v>3.0684544733229373</v>
      </c>
      <c r="AR37" s="23">
        <f>SUMIF(Emissions!$C$70:$C$85,'Emissions summary'!$C37,Emissions!AT$70:AT$85)</f>
        <v>3.0981561343542001</v>
      </c>
      <c r="AS37" s="23">
        <f>SUMIF(Emissions!$C$70:$C$85,'Emissions summary'!$C37,Emissions!AU$70:AU$85)</f>
        <v>3.1278577953854629</v>
      </c>
      <c r="AT37" s="23">
        <f>SUMIF(Emissions!$C$70:$C$85,'Emissions summary'!$C37,Emissions!AV$70:AV$85)</f>
        <v>3.1575594564167253</v>
      </c>
      <c r="AU37" s="23">
        <f>SUMIF(Emissions!$C$70:$C$85,'Emissions summary'!$C37,Emissions!AW$70:AW$85)</f>
        <v>3.1872611174479886</v>
      </c>
      <c r="AV37" s="23">
        <f>SUMIF(Emissions!$C$70:$C$85,'Emissions summary'!$C37,Emissions!AX$70:AX$85)</f>
        <v>3.2169627784792505</v>
      </c>
      <c r="AW37" s="23">
        <f>SUMIF(Emissions!$C$70:$C$85,'Emissions summary'!$C37,Emissions!AY$70:AY$85)</f>
        <v>3.2466644395105138</v>
      </c>
      <c r="AX37" s="23">
        <f>SUMIF(Emissions!$C$70:$C$85,'Emissions summary'!$C37,Emissions!AZ$70:AZ$85)</f>
        <v>3.2763661005417775</v>
      </c>
      <c r="AY37" s="23">
        <f>SUMIF(Emissions!$C$70:$C$85,'Emissions summary'!$C37,Emissions!BA$70:BA$85)</f>
        <v>3.3060677615730398</v>
      </c>
      <c r="AZ37" s="23">
        <f>SUMIF(Emissions!$C$70:$C$85,'Emissions summary'!$C37,Emissions!BB$70:BB$85)</f>
        <v>3.3357694226043031</v>
      </c>
      <c r="BA37" s="23">
        <f>SUMIF(Emissions!$C$70:$C$85,'Emissions summary'!$C37,Emissions!BC$70:BC$85)</f>
        <v>3.3654710836355668</v>
      </c>
      <c r="BB37" s="23">
        <f>SUMIF(Emissions!$C$70:$C$85,'Emissions summary'!$C37,Emissions!BD$70:BD$85)</f>
        <v>3.3951727446668296</v>
      </c>
      <c r="BC37" s="23">
        <f>SUMIF(Emissions!$C$70:$C$85,'Emissions summary'!$C37,Emissions!BE$70:BE$85)</f>
        <v>3.4248744056980929</v>
      </c>
      <c r="BD37" s="23">
        <f>SUMIF(Emissions!$C$70:$C$85,'Emissions summary'!$C37,Emissions!BF$70:BF$85)</f>
        <v>3.4545760667293561</v>
      </c>
      <c r="BE37" s="23">
        <f>SUMIF(Emissions!$C$70:$C$85,'Emissions summary'!$C37,Emissions!BG$70:BG$85)</f>
        <v>3.4842777277606189</v>
      </c>
      <c r="BF37" s="23">
        <f>SUMIF(Emissions!$C$70:$C$85,'Emissions summary'!$C37,Emissions!BH$70:BH$85)</f>
        <v>3.5139793887918813</v>
      </c>
      <c r="BG37" s="23">
        <f>SUMIF(Emissions!$C$70:$C$85,'Emissions summary'!$C37,Emissions!BI$70:BI$85)</f>
        <v>3.543681049823145</v>
      </c>
      <c r="BH37" s="23">
        <f>SUMIF(Emissions!$C$70:$C$85,'Emissions summary'!$C37,Emissions!BJ$70:BJ$85)</f>
        <v>3.5733827108544078</v>
      </c>
      <c r="BI37" s="23">
        <f>SUMIF(Emissions!$C$70:$C$85,'Emissions summary'!$C37,Emissions!BK$70:BK$85)</f>
        <v>3.6030843718856707</v>
      </c>
      <c r="BJ37" s="23">
        <f>SUMIF(Emissions!$C$70:$C$85,'Emissions summary'!$C37,Emissions!BL$70:BL$85)</f>
        <v>3.6327860329169344</v>
      </c>
      <c r="BK37" s="23">
        <f>SUMIF(Emissions!$C$70:$C$85,'Emissions summary'!$C37,Emissions!BM$70:BM$85)</f>
        <v>3.6624876939481967</v>
      </c>
      <c r="BL37" s="23">
        <f>SUMIF(Emissions!$C$70:$C$85,'Emissions summary'!$C37,Emissions!BN$70:BN$85)</f>
        <v>3.6921893549794604</v>
      </c>
      <c r="BM37" s="23">
        <f>SUMIF(Emissions!$C$70:$C$85,'Emissions summary'!$C37,Emissions!BO$70:BO$85)</f>
        <v>3.7218910160107233</v>
      </c>
      <c r="BN37" s="23">
        <f>SUMIF(Emissions!$C$70:$C$85,'Emissions summary'!$C37,Emissions!BP$70:BP$85)</f>
        <v>3.7515926770419852</v>
      </c>
    </row>
    <row r="38" spans="1:66" x14ac:dyDescent="0.25">
      <c r="A38" t="str">
        <f t="shared" si="19"/>
        <v>3C Aggregated and non-CO2 emissions on land</v>
      </c>
      <c r="B38" t="str">
        <f t="shared" si="23"/>
        <v>3C1 Biomass burning (N2O)</v>
      </c>
      <c r="C38" t="str">
        <f>'IPCC Categories'!C68</f>
        <v>3C1d Biomass burning in Wetlands</v>
      </c>
      <c r="D38" t="str">
        <f t="shared" si="24"/>
        <v>N2O</v>
      </c>
      <c r="E38" t="str">
        <f t="shared" si="24"/>
        <v>Gg N2O</v>
      </c>
      <c r="F38" s="23">
        <f>SUMIF(Emissions!$C$70:$C$85,'Emissions summary'!$C38,Emissions!H$70:H$85)</f>
        <v>7.357077670844267E-2</v>
      </c>
      <c r="G38" s="23">
        <f>SUMIF(Emissions!$C$70:$C$85,'Emissions summary'!$C38,Emissions!I$70:I$85)</f>
        <v>7.357077670844267E-2</v>
      </c>
      <c r="H38" s="23">
        <f>SUMIF(Emissions!$C$70:$C$85,'Emissions summary'!$C38,Emissions!J$70:J$85)</f>
        <v>7.357077670844267E-2</v>
      </c>
      <c r="I38" s="23">
        <f>SUMIF(Emissions!$C$70:$C$85,'Emissions summary'!$C38,Emissions!K$70:K$85)</f>
        <v>7.357077670844267E-2</v>
      </c>
      <c r="J38" s="23">
        <f>SUMIF(Emissions!$C$70:$C$85,'Emissions summary'!$C38,Emissions!L$70:L$85)</f>
        <v>7.357077670844267E-2</v>
      </c>
      <c r="K38" s="23">
        <f>SUMIF(Emissions!$C$70:$C$85,'Emissions summary'!$C38,Emissions!M$70:M$85)</f>
        <v>7.357077670844267E-2</v>
      </c>
      <c r="L38" s="23">
        <f>SUMIF(Emissions!$C$70:$C$85,'Emissions summary'!$C38,Emissions!N$70:N$85)</f>
        <v>7.357077670844267E-2</v>
      </c>
      <c r="M38" s="23">
        <f>SUMIF(Emissions!$C$70:$C$85,'Emissions summary'!$C38,Emissions!O$70:O$85)</f>
        <v>7.357077670844267E-2</v>
      </c>
      <c r="N38" s="23">
        <f>SUMIF(Emissions!$C$70:$C$85,'Emissions summary'!$C38,Emissions!P$70:P$85)</f>
        <v>7.357077670844267E-2</v>
      </c>
      <c r="O38" s="23">
        <f>SUMIF(Emissions!$C$70:$C$85,'Emissions summary'!$C38,Emissions!Q$70:Q$85)</f>
        <v>7.357077670844267E-2</v>
      </c>
      <c r="P38" s="23">
        <f>SUMIF(Emissions!$C$70:$C$85,'Emissions summary'!$C38,Emissions!R$70:R$85)</f>
        <v>6.5083674793923713E-2</v>
      </c>
      <c r="Q38" s="23">
        <f>SUMIF(Emissions!$C$70:$C$85,'Emissions summary'!$C38,Emissions!S$70:S$85)</f>
        <v>7.8612973491927987E-2</v>
      </c>
      <c r="R38" s="23">
        <f>SUMIF(Emissions!$C$70:$C$85,'Emissions summary'!$C38,Emissions!T$70:T$85)</f>
        <v>8.8983449145904836E-2</v>
      </c>
      <c r="S38" s="23">
        <f>SUMIF(Emissions!$C$70:$C$85,'Emissions summary'!$C38,Emissions!U$70:U$85)</f>
        <v>7.2791997693814531E-2</v>
      </c>
      <c r="T38" s="23">
        <f>SUMIF(Emissions!$C$70:$C$85,'Emissions summary'!$C38,Emissions!V$70:V$85)</f>
        <v>6.2381788416642367E-2</v>
      </c>
      <c r="U38" s="23">
        <f>SUMIF(Emissions!$C$70:$C$85,'Emissions summary'!$C38,Emissions!W$70:W$85)</f>
        <v>9.2301206682713535E-2</v>
      </c>
      <c r="V38" s="23">
        <f>SUMIF(Emissions!$C$70:$C$85,'Emissions summary'!$C38,Emissions!X$70:X$85)</f>
        <v>8.1930731028736672E-2</v>
      </c>
      <c r="W38" s="23">
        <f>SUMIF(Emissions!$C$70:$C$85,'Emissions summary'!$C38,Emissions!Y$70:Y$85)</f>
        <v>7.2176126534287191E-2</v>
      </c>
      <c r="X38" s="23">
        <f>SUMIF(Emissions!$C$70:$C$85,'Emissions summary'!$C38,Emissions!Z$70:Z$85)</f>
        <v>6.5818746823036997E-2</v>
      </c>
      <c r="Y38" s="23">
        <f>SUMIF(Emissions!$C$70:$C$85,'Emissions summary'!$C38,Emissions!AA$70:AA$85)</f>
        <v>7.3924405954880992E-2</v>
      </c>
      <c r="Z38" s="23">
        <f>SUMIF(Emissions!$C$70:$C$85,'Emissions summary'!$C38,Emissions!AB$70:AB$85)</f>
        <v>9.8940084389999974E-2</v>
      </c>
      <c r="AA38" s="23">
        <f>SUMIF(Emissions!$C$70:$C$85,'Emissions summary'!$C38,Emissions!AC$70:AC$85)</f>
        <v>0.10685917493999998</v>
      </c>
      <c r="AB38" s="23">
        <f>SUMIF(Emissions!$C$70:$C$85,'Emissions summary'!$C38,Emissions!AD$70:AD$85)</f>
        <v>8.5146631919999979E-2</v>
      </c>
      <c r="AC38" s="23">
        <f>SUMIF(Emissions!$C$70:$C$85,'Emissions summary'!$C38,Emissions!AE$70:AE$85)</f>
        <v>9.9585576089999989E-2</v>
      </c>
      <c r="AD38" s="23">
        <f>SUMIF(Emissions!$C$70:$C$85,'Emissions summary'!$C38,Emissions!AF$70:AF$85)</f>
        <v>9.5053495949999983E-2</v>
      </c>
      <c r="AE38" s="23">
        <f>SUMIF(Emissions!$C$70:$C$85,'Emissions summary'!$C38,Emissions!AG$70:AG$85)</f>
        <v>8.8302567149999969E-2</v>
      </c>
      <c r="AF38" s="23">
        <f>SUMIF(Emissions!$C$70:$C$85,'Emissions summary'!$C38,Emissions!AH$70:AH$85)</f>
        <v>4.6387296269999996E-2</v>
      </c>
      <c r="AG38" s="23">
        <f>SUMIF(Emissions!$C$70:$C$85,'Emissions summary'!$C38,Emissions!AI$70:AI$85)</f>
        <v>4.4362172609999993E-2</v>
      </c>
      <c r="AH38" s="23">
        <f>SUMIF(Emissions!$C$70:$C$85,'Emissions summary'!$C38,Emissions!AJ$70:AJ$85)</f>
        <v>4.3778724306360824E-2</v>
      </c>
      <c r="AI38" s="23">
        <f>SUMIF(Emissions!$C$70:$C$85,'Emissions summary'!$C38,Emissions!AK$70:AK$85)</f>
        <v>4.3088119527535843E-2</v>
      </c>
      <c r="AJ38" s="23">
        <f>SUMIF(Emissions!$C$70:$C$85,'Emissions summary'!$C38,Emissions!AL$70:AL$85)</f>
        <v>4.2397514748710868E-2</v>
      </c>
      <c r="AK38" s="23">
        <f>SUMIF(Emissions!$C$70:$C$85,'Emissions summary'!$C38,Emissions!AM$70:AM$85)</f>
        <v>4.170690996988588E-2</v>
      </c>
      <c r="AL38" s="23">
        <f>SUMIF(Emissions!$C$70:$C$85,'Emissions summary'!$C38,Emissions!AN$70:AN$85)</f>
        <v>4.1016305191060913E-2</v>
      </c>
      <c r="AM38" s="23">
        <f>SUMIF(Emissions!$C$70:$C$85,'Emissions summary'!$C38,Emissions!AO$70:AO$85)</f>
        <v>4.0325700412235932E-2</v>
      </c>
      <c r="AN38" s="23">
        <f>SUMIF(Emissions!$C$70:$C$85,'Emissions summary'!$C38,Emissions!AP$70:AP$85)</f>
        <v>3.9635095633410965E-2</v>
      </c>
      <c r="AO38" s="23">
        <f>SUMIF(Emissions!$C$70:$C$85,'Emissions summary'!$C38,Emissions!AQ$70:AQ$85)</f>
        <v>3.8944490854585984E-2</v>
      </c>
      <c r="AP38" s="23">
        <f>SUMIF(Emissions!$C$70:$C$85,'Emissions summary'!$C38,Emissions!AR$70:AR$85)</f>
        <v>3.8253886075761009E-2</v>
      </c>
      <c r="AQ38" s="23">
        <f>SUMIF(Emissions!$C$70:$C$85,'Emissions summary'!$C38,Emissions!AS$70:AS$85)</f>
        <v>3.7563281296936028E-2</v>
      </c>
      <c r="AR38" s="23">
        <f>SUMIF(Emissions!$C$70:$C$85,'Emissions summary'!$C38,Emissions!AT$70:AT$85)</f>
        <v>3.6872676518111054E-2</v>
      </c>
      <c r="AS38" s="23">
        <f>SUMIF(Emissions!$C$70:$C$85,'Emissions summary'!$C38,Emissions!AU$70:AU$85)</f>
        <v>3.6182071739286073E-2</v>
      </c>
      <c r="AT38" s="23">
        <f>SUMIF(Emissions!$C$70:$C$85,'Emissions summary'!$C38,Emissions!AV$70:AV$85)</f>
        <v>3.5491466960461099E-2</v>
      </c>
      <c r="AU38" s="23">
        <f>SUMIF(Emissions!$C$70:$C$85,'Emissions summary'!$C38,Emissions!AW$70:AW$85)</f>
        <v>3.4800862181636118E-2</v>
      </c>
      <c r="AV38" s="23">
        <f>SUMIF(Emissions!$C$70:$C$85,'Emissions summary'!$C38,Emissions!AX$70:AX$85)</f>
        <v>3.4110257402811157E-2</v>
      </c>
      <c r="AW38" s="23">
        <f>SUMIF(Emissions!$C$70:$C$85,'Emissions summary'!$C38,Emissions!AY$70:AY$85)</f>
        <v>3.3419652623986183E-2</v>
      </c>
      <c r="AX38" s="23">
        <f>SUMIF(Emissions!$C$70:$C$85,'Emissions summary'!$C38,Emissions!AZ$70:AZ$85)</f>
        <v>3.2729047845161209E-2</v>
      </c>
      <c r="AY38" s="23">
        <f>SUMIF(Emissions!$C$70:$C$85,'Emissions summary'!$C38,Emissions!BA$70:BA$85)</f>
        <v>3.2038443066336242E-2</v>
      </c>
      <c r="AZ38" s="23">
        <f>SUMIF(Emissions!$C$70:$C$85,'Emissions summary'!$C38,Emissions!BB$70:BB$85)</f>
        <v>3.1347838287511268E-2</v>
      </c>
      <c r="BA38" s="23">
        <f>SUMIF(Emissions!$C$70:$C$85,'Emissions summary'!$C38,Emissions!BC$70:BC$85)</f>
        <v>3.065723350868629E-2</v>
      </c>
      <c r="BB38" s="23">
        <f>SUMIF(Emissions!$C$70:$C$85,'Emissions summary'!$C38,Emissions!BD$70:BD$85)</f>
        <v>2.9966628729861323E-2</v>
      </c>
      <c r="BC38" s="23">
        <f>SUMIF(Emissions!$C$70:$C$85,'Emissions summary'!$C38,Emissions!BE$70:BE$85)</f>
        <v>2.9276023951036352E-2</v>
      </c>
      <c r="BD38" s="23">
        <f>SUMIF(Emissions!$C$70:$C$85,'Emissions summary'!$C38,Emissions!BF$70:BF$85)</f>
        <v>2.8585419172211378E-2</v>
      </c>
      <c r="BE38" s="23">
        <f>SUMIF(Emissions!$C$70:$C$85,'Emissions summary'!$C38,Emissions!BG$70:BG$85)</f>
        <v>2.7894814393386407E-2</v>
      </c>
      <c r="BF38" s="23">
        <f>SUMIF(Emissions!$C$70:$C$85,'Emissions summary'!$C38,Emissions!BH$70:BH$85)</f>
        <v>2.7204209614561433E-2</v>
      </c>
      <c r="BG38" s="23">
        <f>SUMIF(Emissions!$C$70:$C$85,'Emissions summary'!$C38,Emissions!BI$70:BI$85)</f>
        <v>2.6513604835736462E-2</v>
      </c>
      <c r="BH38" s="23">
        <f>SUMIF(Emissions!$C$70:$C$85,'Emissions summary'!$C38,Emissions!BJ$70:BJ$85)</f>
        <v>2.5823000056911488E-2</v>
      </c>
      <c r="BI38" s="23">
        <f>SUMIF(Emissions!$C$70:$C$85,'Emissions summary'!$C38,Emissions!BK$70:BK$85)</f>
        <v>2.5132395278086517E-2</v>
      </c>
      <c r="BJ38" s="23">
        <f>SUMIF(Emissions!$C$70:$C$85,'Emissions summary'!$C38,Emissions!BL$70:BL$85)</f>
        <v>2.4441790499261543E-2</v>
      </c>
      <c r="BK38" s="23">
        <f>SUMIF(Emissions!$C$70:$C$85,'Emissions summary'!$C38,Emissions!BM$70:BM$85)</f>
        <v>2.3751185720436573E-2</v>
      </c>
      <c r="BL38" s="23">
        <f>SUMIF(Emissions!$C$70:$C$85,'Emissions summary'!$C38,Emissions!BN$70:BN$85)</f>
        <v>2.3060580941611602E-2</v>
      </c>
      <c r="BM38" s="23">
        <f>SUMIF(Emissions!$C$70:$C$85,'Emissions summary'!$C38,Emissions!BO$70:BO$85)</f>
        <v>2.2369976162786628E-2</v>
      </c>
      <c r="BN38" s="23">
        <f>SUMIF(Emissions!$C$70:$C$85,'Emissions summary'!$C38,Emissions!BP$70:BP$85)</f>
        <v>2.1679371383961657E-2</v>
      </c>
    </row>
    <row r="39" spans="1:66" x14ac:dyDescent="0.25">
      <c r="A39" t="str">
        <f t="shared" si="19"/>
        <v>3C Aggregated and non-CO2 emissions on land</v>
      </c>
      <c r="B39" t="str">
        <f t="shared" si="23"/>
        <v>3C1 Biomass burning (N2O)</v>
      </c>
      <c r="C39" t="str">
        <f>'IPCC Categories'!C69</f>
        <v>3C1e Biomass burning in Settlements</v>
      </c>
      <c r="D39" t="str">
        <f t="shared" si="24"/>
        <v>N2O</v>
      </c>
      <c r="E39" t="str">
        <f t="shared" si="24"/>
        <v>Gg N2O</v>
      </c>
      <c r="F39" s="23">
        <f>SUMIF(Emissions!$C$70:$C$85,'Emissions summary'!$C39,Emissions!H$70:H$85)</f>
        <v>4.462880557297625E-2</v>
      </c>
      <c r="G39" s="23">
        <f>SUMIF(Emissions!$C$70:$C$85,'Emissions summary'!$C39,Emissions!I$70:I$85)</f>
        <v>4.462880557297625E-2</v>
      </c>
      <c r="H39" s="23">
        <f>SUMIF(Emissions!$C$70:$C$85,'Emissions summary'!$C39,Emissions!J$70:J$85)</f>
        <v>4.462880557297625E-2</v>
      </c>
      <c r="I39" s="23">
        <f>SUMIF(Emissions!$C$70:$C$85,'Emissions summary'!$C39,Emissions!K$70:K$85)</f>
        <v>4.462880557297625E-2</v>
      </c>
      <c r="J39" s="23">
        <f>SUMIF(Emissions!$C$70:$C$85,'Emissions summary'!$C39,Emissions!L$70:L$85)</f>
        <v>4.462880557297625E-2</v>
      </c>
      <c r="K39" s="23">
        <f>SUMIF(Emissions!$C$70:$C$85,'Emissions summary'!$C39,Emissions!M$70:M$85)</f>
        <v>4.462880557297625E-2</v>
      </c>
      <c r="L39" s="23">
        <f>SUMIF(Emissions!$C$70:$C$85,'Emissions summary'!$C39,Emissions!N$70:N$85)</f>
        <v>4.462880557297625E-2</v>
      </c>
      <c r="M39" s="23">
        <f>SUMIF(Emissions!$C$70:$C$85,'Emissions summary'!$C39,Emissions!O$70:O$85)</f>
        <v>4.462880557297625E-2</v>
      </c>
      <c r="N39" s="23">
        <f>SUMIF(Emissions!$C$70:$C$85,'Emissions summary'!$C39,Emissions!P$70:P$85)</f>
        <v>4.462880557297625E-2</v>
      </c>
      <c r="O39" s="23">
        <f>SUMIF(Emissions!$C$70:$C$85,'Emissions summary'!$C39,Emissions!Q$70:Q$85)</f>
        <v>4.462880557297625E-2</v>
      </c>
      <c r="P39" s="23">
        <f>SUMIF(Emissions!$C$70:$C$85,'Emissions summary'!$C39,Emissions!R$70:R$85)</f>
        <v>4.8614087979466203E-2</v>
      </c>
      <c r="Q39" s="23">
        <f>SUMIF(Emissions!$C$70:$C$85,'Emissions summary'!$C39,Emissions!S$70:S$85)</f>
        <v>5.3839059429649942E-2</v>
      </c>
      <c r="R39" s="23">
        <f>SUMIF(Emissions!$C$70:$C$85,'Emissions summary'!$C39,Emissions!T$70:T$85)</f>
        <v>4.76008805879857E-2</v>
      </c>
      <c r="S39" s="23">
        <f>SUMIF(Emissions!$C$70:$C$85,'Emissions summary'!$C39,Emissions!U$70:U$85)</f>
        <v>4.1064699572356617E-2</v>
      </c>
      <c r="T39" s="23">
        <f>SUMIF(Emissions!$C$70:$C$85,'Emissions summary'!$C39,Emissions!V$70:V$85)</f>
        <v>3.2025300295422769E-2</v>
      </c>
      <c r="U39" s="23">
        <f>SUMIF(Emissions!$C$70:$C$85,'Emissions summary'!$C39,Emissions!W$70:W$85)</f>
        <v>7.2513862331447368E-2</v>
      </c>
      <c r="V39" s="23">
        <f>SUMIF(Emissions!$C$70:$C$85,'Emissions summary'!$C39,Emissions!X$70:X$85)</f>
        <v>6.3514196677708815E-2</v>
      </c>
      <c r="W39" s="23">
        <f>SUMIF(Emissions!$C$70:$C$85,'Emissions summary'!$C39,Emissions!Y$70:Y$85)</f>
        <v>7.0249045809314473E-2</v>
      </c>
      <c r="X39" s="23">
        <f>SUMIF(Emissions!$C$70:$C$85,'Emissions summary'!$C39,Emissions!Z$70:Z$85)</f>
        <v>4.3369249717684813E-2</v>
      </c>
      <c r="Y39" s="23">
        <f>SUMIF(Emissions!$C$70:$C$85,'Emissions summary'!$C39,Emissions!AA$70:AA$85)</f>
        <v>5.2190114067044435E-2</v>
      </c>
      <c r="Z39" s="23">
        <f>SUMIF(Emissions!$C$70:$C$85,'Emissions summary'!$C39,Emissions!AB$70:AB$85)</f>
        <v>3.9028768379999995E-2</v>
      </c>
      <c r="AA39" s="23">
        <f>SUMIF(Emissions!$C$70:$C$85,'Emissions summary'!$C39,Emissions!AC$70:AC$85)</f>
        <v>2.72036394E-2</v>
      </c>
      <c r="AB39" s="23">
        <f>SUMIF(Emissions!$C$70:$C$85,'Emissions summary'!$C39,Emissions!AD$70:AD$85)</f>
        <v>2.6492746139999999E-2</v>
      </c>
      <c r="AC39" s="23">
        <f>SUMIF(Emissions!$C$70:$C$85,'Emissions summary'!$C39,Emissions!AE$70:AE$85)</f>
        <v>2.8485866429999993E-2</v>
      </c>
      <c r="AD39" s="23">
        <f>SUMIF(Emissions!$C$70:$C$85,'Emissions summary'!$C39,Emissions!AF$70:AF$85)</f>
        <v>2.9785606199999995E-2</v>
      </c>
      <c r="AE39" s="23">
        <f>SUMIF(Emissions!$C$70:$C$85,'Emissions summary'!$C39,Emissions!AG$70:AG$85)</f>
        <v>1.932569604E-2</v>
      </c>
      <c r="AF39" s="23">
        <f>SUMIF(Emissions!$C$70:$C$85,'Emissions summary'!$C39,Emissions!AH$70:AH$85)</f>
        <v>7.071117479999999E-3</v>
      </c>
      <c r="AG39" s="23">
        <f>SUMIF(Emissions!$C$70:$C$85,'Emissions summary'!$C39,Emissions!AI$70:AI$85)</f>
        <v>6.8506584299999991E-3</v>
      </c>
      <c r="AH39" s="23">
        <f>SUMIF(Emissions!$C$70:$C$85,'Emissions summary'!$C39,Emissions!AJ$70:AJ$85)</f>
        <v>4.2302353356709184E-2</v>
      </c>
      <c r="AI39" s="23">
        <f>SUMIF(Emissions!$C$70:$C$85,'Emissions summary'!$C39,Emissions!AK$70:AK$85)</f>
        <v>4.2481933237718345E-2</v>
      </c>
      <c r="AJ39" s="23">
        <f>SUMIF(Emissions!$C$70:$C$85,'Emissions summary'!$C39,Emissions!AL$70:AL$85)</f>
        <v>4.2661513118727519E-2</v>
      </c>
      <c r="AK39" s="23">
        <f>SUMIF(Emissions!$C$70:$C$85,'Emissions summary'!$C39,Emissions!AM$70:AM$85)</f>
        <v>4.284109299973668E-2</v>
      </c>
      <c r="AL39" s="23">
        <f>SUMIF(Emissions!$C$70:$C$85,'Emissions summary'!$C39,Emissions!AN$70:AN$85)</f>
        <v>4.302067288074584E-2</v>
      </c>
      <c r="AM39" s="23">
        <f>SUMIF(Emissions!$C$70:$C$85,'Emissions summary'!$C39,Emissions!AO$70:AO$85)</f>
        <v>4.3200252761755015E-2</v>
      </c>
      <c r="AN39" s="23">
        <f>SUMIF(Emissions!$C$70:$C$85,'Emissions summary'!$C39,Emissions!AP$70:AP$85)</f>
        <v>4.3379832642764168E-2</v>
      </c>
      <c r="AO39" s="23">
        <f>SUMIF(Emissions!$C$70:$C$85,'Emissions summary'!$C39,Emissions!AQ$70:AQ$85)</f>
        <v>4.3559412523773336E-2</v>
      </c>
      <c r="AP39" s="23">
        <f>SUMIF(Emissions!$C$70:$C$85,'Emissions summary'!$C39,Emissions!AR$70:AR$85)</f>
        <v>4.373899240478251E-2</v>
      </c>
      <c r="AQ39" s="23">
        <f>SUMIF(Emissions!$C$70:$C$85,'Emissions summary'!$C39,Emissions!AS$70:AS$85)</f>
        <v>4.3918572285791671E-2</v>
      </c>
      <c r="AR39" s="23">
        <f>SUMIF(Emissions!$C$70:$C$85,'Emissions summary'!$C39,Emissions!AT$70:AT$85)</f>
        <v>4.4098152166800825E-2</v>
      </c>
      <c r="AS39" s="23">
        <f>SUMIF(Emissions!$C$70:$C$85,'Emissions summary'!$C39,Emissions!AU$70:AU$85)</f>
        <v>4.4277732047809999E-2</v>
      </c>
      <c r="AT39" s="23">
        <f>SUMIF(Emissions!$C$70:$C$85,'Emissions summary'!$C39,Emissions!AV$70:AV$85)</f>
        <v>4.4457311928819167E-2</v>
      </c>
      <c r="AU39" s="23">
        <f>SUMIF(Emissions!$C$70:$C$85,'Emissions summary'!$C39,Emissions!AW$70:AW$85)</f>
        <v>4.463689180982832E-2</v>
      </c>
      <c r="AV39" s="23">
        <f>SUMIF(Emissions!$C$70:$C$85,'Emissions summary'!$C39,Emissions!AX$70:AX$85)</f>
        <v>4.4816471690837488E-2</v>
      </c>
      <c r="AW39" s="23">
        <f>SUMIF(Emissions!$C$70:$C$85,'Emissions summary'!$C39,Emissions!AY$70:AY$85)</f>
        <v>4.4996051571846656E-2</v>
      </c>
      <c r="AX39" s="23">
        <f>SUMIF(Emissions!$C$70:$C$85,'Emissions summary'!$C39,Emissions!AZ$70:AZ$85)</f>
        <v>4.5175631452855816E-2</v>
      </c>
      <c r="AY39" s="23">
        <f>SUMIF(Emissions!$C$70:$C$85,'Emissions summary'!$C39,Emissions!BA$70:BA$85)</f>
        <v>4.5355211333864984E-2</v>
      </c>
      <c r="AZ39" s="23">
        <f>SUMIF(Emissions!$C$70:$C$85,'Emissions summary'!$C39,Emissions!BB$70:BB$85)</f>
        <v>4.5534791214874151E-2</v>
      </c>
      <c r="BA39" s="23">
        <f>SUMIF(Emissions!$C$70:$C$85,'Emissions summary'!$C39,Emissions!BC$70:BC$85)</f>
        <v>4.5714371095883319E-2</v>
      </c>
      <c r="BB39" s="23">
        <f>SUMIF(Emissions!$C$70:$C$85,'Emissions summary'!$C39,Emissions!BD$70:BD$85)</f>
        <v>4.5893950976892472E-2</v>
      </c>
      <c r="BC39" s="23">
        <f>SUMIF(Emissions!$C$70:$C$85,'Emissions summary'!$C39,Emissions!BE$70:BE$85)</f>
        <v>4.607353085790164E-2</v>
      </c>
      <c r="BD39" s="23">
        <f>SUMIF(Emissions!$C$70:$C$85,'Emissions summary'!$C39,Emissions!BF$70:BF$85)</f>
        <v>4.6253110738910815E-2</v>
      </c>
      <c r="BE39" s="23">
        <f>SUMIF(Emissions!$C$70:$C$85,'Emissions summary'!$C39,Emissions!BG$70:BG$85)</f>
        <v>4.6432690619919968E-2</v>
      </c>
      <c r="BF39" s="23">
        <f>SUMIF(Emissions!$C$70:$C$85,'Emissions summary'!$C39,Emissions!BH$70:BH$85)</f>
        <v>4.6612270500929136E-2</v>
      </c>
      <c r="BG39" s="23">
        <f>SUMIF(Emissions!$C$70:$C$85,'Emissions summary'!$C39,Emissions!BI$70:BI$85)</f>
        <v>4.6791850381938303E-2</v>
      </c>
      <c r="BH39" s="23">
        <f>SUMIF(Emissions!$C$70:$C$85,'Emissions summary'!$C39,Emissions!BJ$70:BJ$85)</f>
        <v>4.6971430262947471E-2</v>
      </c>
      <c r="BI39" s="23">
        <f>SUMIF(Emissions!$C$70:$C$85,'Emissions summary'!$C39,Emissions!BK$70:BK$85)</f>
        <v>4.7151010143956625E-2</v>
      </c>
      <c r="BJ39" s="23">
        <f>SUMIF(Emissions!$C$70:$C$85,'Emissions summary'!$C39,Emissions!BL$70:BL$85)</f>
        <v>4.7330590024965799E-2</v>
      </c>
      <c r="BK39" s="23">
        <f>SUMIF(Emissions!$C$70:$C$85,'Emissions summary'!$C39,Emissions!BM$70:BM$85)</f>
        <v>4.751016990597496E-2</v>
      </c>
      <c r="BL39" s="23">
        <f>SUMIF(Emissions!$C$70:$C$85,'Emissions summary'!$C39,Emissions!BN$70:BN$85)</f>
        <v>4.768974978698412E-2</v>
      </c>
      <c r="BM39" s="23">
        <f>SUMIF(Emissions!$C$70:$C$85,'Emissions summary'!$C39,Emissions!BO$70:BO$85)</f>
        <v>4.7869329667993295E-2</v>
      </c>
      <c r="BN39" s="23">
        <f>SUMIF(Emissions!$C$70:$C$85,'Emissions summary'!$C39,Emissions!BP$70:BP$85)</f>
        <v>4.8048909549002455E-2</v>
      </c>
    </row>
    <row r="40" spans="1:66" x14ac:dyDescent="0.25">
      <c r="A40" t="str">
        <f t="shared" si="19"/>
        <v>3C Aggregated and non-CO2 emissions on land</v>
      </c>
      <c r="B40" t="str">
        <f t="shared" si="23"/>
        <v>3C1 Biomass burning (N2O)</v>
      </c>
      <c r="C40" t="str">
        <f>'IPCC Categories'!C70</f>
        <v>3C1f Biomass burning in Other lands</v>
      </c>
      <c r="D40" t="str">
        <f t="shared" si="24"/>
        <v>N2O</v>
      </c>
      <c r="E40" t="str">
        <f t="shared" si="24"/>
        <v>Gg N2O</v>
      </c>
      <c r="F40" s="23">
        <f>SUMIF(Emissions!$C$70:$C$85,'Emissions summary'!$C40,Emissions!H$70:H$85)</f>
        <v>0</v>
      </c>
      <c r="G40" s="23">
        <f>SUMIF(Emissions!$C$70:$C$85,'Emissions summary'!$C40,Emissions!I$70:I$85)</f>
        <v>0</v>
      </c>
      <c r="H40" s="23">
        <f>SUMIF(Emissions!$C$70:$C$85,'Emissions summary'!$C40,Emissions!J$70:J$85)</f>
        <v>0</v>
      </c>
      <c r="I40" s="23">
        <f>SUMIF(Emissions!$C$70:$C$85,'Emissions summary'!$C40,Emissions!K$70:K$85)</f>
        <v>0</v>
      </c>
      <c r="J40" s="23">
        <f>SUMIF(Emissions!$C$70:$C$85,'Emissions summary'!$C40,Emissions!L$70:L$85)</f>
        <v>0</v>
      </c>
      <c r="K40" s="23">
        <f>SUMIF(Emissions!$C$70:$C$85,'Emissions summary'!$C40,Emissions!M$70:M$85)</f>
        <v>0</v>
      </c>
      <c r="L40" s="23">
        <f>SUMIF(Emissions!$C$70:$C$85,'Emissions summary'!$C40,Emissions!N$70:N$85)</f>
        <v>0</v>
      </c>
      <c r="M40" s="23">
        <f>SUMIF(Emissions!$C$70:$C$85,'Emissions summary'!$C40,Emissions!O$70:O$85)</f>
        <v>0</v>
      </c>
      <c r="N40" s="23">
        <f>SUMIF(Emissions!$C$70:$C$85,'Emissions summary'!$C40,Emissions!P$70:P$85)</f>
        <v>0</v>
      </c>
      <c r="O40" s="23">
        <f>SUMIF(Emissions!$C$70:$C$85,'Emissions summary'!$C40,Emissions!Q$70:Q$85)</f>
        <v>0</v>
      </c>
      <c r="P40" s="23">
        <f>SUMIF(Emissions!$C$70:$C$85,'Emissions summary'!$C40,Emissions!R$70:R$85)</f>
        <v>0</v>
      </c>
      <c r="Q40" s="23">
        <f>SUMIF(Emissions!$C$70:$C$85,'Emissions summary'!$C40,Emissions!S$70:S$85)</f>
        <v>0</v>
      </c>
      <c r="R40" s="23">
        <f>SUMIF(Emissions!$C$70:$C$85,'Emissions summary'!$C40,Emissions!T$70:T$85)</f>
        <v>0</v>
      </c>
      <c r="S40" s="23">
        <f>SUMIF(Emissions!$C$70:$C$85,'Emissions summary'!$C40,Emissions!U$70:U$85)</f>
        <v>0</v>
      </c>
      <c r="T40" s="23">
        <f>SUMIF(Emissions!$C$70:$C$85,'Emissions summary'!$C40,Emissions!V$70:V$85)</f>
        <v>0</v>
      </c>
      <c r="U40" s="23">
        <f>SUMIF(Emissions!$C$70:$C$85,'Emissions summary'!$C40,Emissions!W$70:W$85)</f>
        <v>0</v>
      </c>
      <c r="V40" s="23">
        <f>SUMIF(Emissions!$C$70:$C$85,'Emissions summary'!$C40,Emissions!X$70:X$85)</f>
        <v>0</v>
      </c>
      <c r="W40" s="23">
        <f>SUMIF(Emissions!$C$70:$C$85,'Emissions summary'!$C40,Emissions!Y$70:Y$85)</f>
        <v>0</v>
      </c>
      <c r="X40" s="23">
        <f>SUMIF(Emissions!$C$70:$C$85,'Emissions summary'!$C40,Emissions!Z$70:Z$85)</f>
        <v>0</v>
      </c>
      <c r="Y40" s="23">
        <f>SUMIF(Emissions!$C$70:$C$85,'Emissions summary'!$C40,Emissions!AA$70:AA$85)</f>
        <v>0</v>
      </c>
      <c r="Z40" s="23">
        <f>SUMIF(Emissions!$C$70:$C$85,'Emissions summary'!$C40,Emissions!AB$70:AB$85)</f>
        <v>0</v>
      </c>
      <c r="AA40" s="23">
        <f>SUMIF(Emissions!$C$70:$C$85,'Emissions summary'!$C40,Emissions!AC$70:AC$85)</f>
        <v>0</v>
      </c>
      <c r="AB40" s="23">
        <f>SUMIF(Emissions!$C$70:$C$85,'Emissions summary'!$C40,Emissions!AD$70:AD$85)</f>
        <v>0</v>
      </c>
      <c r="AC40" s="23">
        <f>SUMIF(Emissions!$C$70:$C$85,'Emissions summary'!$C40,Emissions!AE$70:AE$85)</f>
        <v>0</v>
      </c>
      <c r="AD40" s="23">
        <f>SUMIF(Emissions!$C$70:$C$85,'Emissions summary'!$C40,Emissions!AF$70:AF$85)</f>
        <v>0</v>
      </c>
      <c r="AE40" s="23">
        <f>SUMIF(Emissions!$C$70:$C$85,'Emissions summary'!$C40,Emissions!AG$70:AG$85)</f>
        <v>0</v>
      </c>
      <c r="AF40" s="23">
        <f>SUMIF(Emissions!$C$70:$C$85,'Emissions summary'!$C40,Emissions!AH$70:AH$85)</f>
        <v>0</v>
      </c>
      <c r="AG40" s="23">
        <f>SUMIF(Emissions!$C$70:$C$85,'Emissions summary'!$C40,Emissions!AI$70:AI$85)</f>
        <v>0</v>
      </c>
      <c r="AH40" s="23">
        <f>SUMIF(Emissions!$C$70:$C$85,'Emissions summary'!$C40,Emissions!AJ$70:AJ$85)</f>
        <v>0</v>
      </c>
      <c r="AI40" s="23">
        <f>SUMIF(Emissions!$C$70:$C$85,'Emissions summary'!$C40,Emissions!AK$70:AK$85)</f>
        <v>0</v>
      </c>
      <c r="AJ40" s="23">
        <f>SUMIF(Emissions!$C$70:$C$85,'Emissions summary'!$C40,Emissions!AL$70:AL$85)</f>
        <v>0</v>
      </c>
      <c r="AK40" s="23">
        <f>SUMIF(Emissions!$C$70:$C$85,'Emissions summary'!$C40,Emissions!AM$70:AM$85)</f>
        <v>0</v>
      </c>
      <c r="AL40" s="23">
        <f>SUMIF(Emissions!$C$70:$C$85,'Emissions summary'!$C40,Emissions!AN$70:AN$85)</f>
        <v>0</v>
      </c>
      <c r="AM40" s="23">
        <f>SUMIF(Emissions!$C$70:$C$85,'Emissions summary'!$C40,Emissions!AO$70:AO$85)</f>
        <v>0</v>
      </c>
      <c r="AN40" s="23">
        <f>SUMIF(Emissions!$C$70:$C$85,'Emissions summary'!$C40,Emissions!AP$70:AP$85)</f>
        <v>0</v>
      </c>
      <c r="AO40" s="23">
        <f>SUMIF(Emissions!$C$70:$C$85,'Emissions summary'!$C40,Emissions!AQ$70:AQ$85)</f>
        <v>0</v>
      </c>
      <c r="AP40" s="23">
        <f>SUMIF(Emissions!$C$70:$C$85,'Emissions summary'!$C40,Emissions!AR$70:AR$85)</f>
        <v>0</v>
      </c>
      <c r="AQ40" s="23">
        <f>SUMIF(Emissions!$C$70:$C$85,'Emissions summary'!$C40,Emissions!AS$70:AS$85)</f>
        <v>0</v>
      </c>
      <c r="AR40" s="23">
        <f>SUMIF(Emissions!$C$70:$C$85,'Emissions summary'!$C40,Emissions!AT$70:AT$85)</f>
        <v>0</v>
      </c>
      <c r="AS40" s="23">
        <f>SUMIF(Emissions!$C$70:$C$85,'Emissions summary'!$C40,Emissions!AU$70:AU$85)</f>
        <v>0</v>
      </c>
      <c r="AT40" s="23">
        <f>SUMIF(Emissions!$C$70:$C$85,'Emissions summary'!$C40,Emissions!AV$70:AV$85)</f>
        <v>0</v>
      </c>
      <c r="AU40" s="23">
        <f>SUMIF(Emissions!$C$70:$C$85,'Emissions summary'!$C40,Emissions!AW$70:AW$85)</f>
        <v>0</v>
      </c>
      <c r="AV40" s="23">
        <f>SUMIF(Emissions!$C$70:$C$85,'Emissions summary'!$C40,Emissions!AX$70:AX$85)</f>
        <v>0</v>
      </c>
      <c r="AW40" s="23">
        <f>SUMIF(Emissions!$C$70:$C$85,'Emissions summary'!$C40,Emissions!AY$70:AY$85)</f>
        <v>0</v>
      </c>
      <c r="AX40" s="23">
        <f>SUMIF(Emissions!$C$70:$C$85,'Emissions summary'!$C40,Emissions!AZ$70:AZ$85)</f>
        <v>0</v>
      </c>
      <c r="AY40" s="23">
        <f>SUMIF(Emissions!$C$70:$C$85,'Emissions summary'!$C40,Emissions!BA$70:BA$85)</f>
        <v>0</v>
      </c>
      <c r="AZ40" s="23">
        <f>SUMIF(Emissions!$C$70:$C$85,'Emissions summary'!$C40,Emissions!BB$70:BB$85)</f>
        <v>0</v>
      </c>
      <c r="BA40" s="23">
        <f>SUMIF(Emissions!$C$70:$C$85,'Emissions summary'!$C40,Emissions!BC$70:BC$85)</f>
        <v>0</v>
      </c>
      <c r="BB40" s="23">
        <f>SUMIF(Emissions!$C$70:$C$85,'Emissions summary'!$C40,Emissions!BD$70:BD$85)</f>
        <v>0</v>
      </c>
      <c r="BC40" s="23">
        <f>SUMIF(Emissions!$C$70:$C$85,'Emissions summary'!$C40,Emissions!BE$70:BE$85)</f>
        <v>0</v>
      </c>
      <c r="BD40" s="23">
        <f>SUMIF(Emissions!$C$70:$C$85,'Emissions summary'!$C40,Emissions!BF$70:BF$85)</f>
        <v>0</v>
      </c>
      <c r="BE40" s="23">
        <f>SUMIF(Emissions!$C$70:$C$85,'Emissions summary'!$C40,Emissions!BG$70:BG$85)</f>
        <v>0</v>
      </c>
      <c r="BF40" s="23">
        <f>SUMIF(Emissions!$C$70:$C$85,'Emissions summary'!$C40,Emissions!BH$70:BH$85)</f>
        <v>0</v>
      </c>
      <c r="BG40" s="23">
        <f>SUMIF(Emissions!$C$70:$C$85,'Emissions summary'!$C40,Emissions!BI$70:BI$85)</f>
        <v>0</v>
      </c>
      <c r="BH40" s="23">
        <f>SUMIF(Emissions!$C$70:$C$85,'Emissions summary'!$C40,Emissions!BJ$70:BJ$85)</f>
        <v>0</v>
      </c>
      <c r="BI40" s="23">
        <f>SUMIF(Emissions!$C$70:$C$85,'Emissions summary'!$C40,Emissions!BK$70:BK$85)</f>
        <v>0</v>
      </c>
      <c r="BJ40" s="23">
        <f>SUMIF(Emissions!$C$70:$C$85,'Emissions summary'!$C40,Emissions!BL$70:BL$85)</f>
        <v>0</v>
      </c>
      <c r="BK40" s="23">
        <f>SUMIF(Emissions!$C$70:$C$85,'Emissions summary'!$C40,Emissions!BM$70:BM$85)</f>
        <v>0</v>
      </c>
      <c r="BL40" s="23">
        <f>SUMIF(Emissions!$C$70:$C$85,'Emissions summary'!$C40,Emissions!BN$70:BN$85)</f>
        <v>0</v>
      </c>
      <c r="BM40" s="23">
        <f>SUMIF(Emissions!$C$70:$C$85,'Emissions summary'!$C40,Emissions!BO$70:BO$85)</f>
        <v>0</v>
      </c>
      <c r="BN40" s="23">
        <f>SUMIF(Emissions!$C$70:$C$85,'Emissions summary'!$C40,Emissions!BP$70:BP$85)</f>
        <v>0</v>
      </c>
    </row>
    <row r="41" spans="1:66" s="19" customFormat="1" ht="15.75" x14ac:dyDescent="0.25">
      <c r="A41" s="19" t="str">
        <f t="shared" si="19"/>
        <v>3C Aggregated and non-CO2 emissions on land</v>
      </c>
      <c r="B41" s="19" t="str">
        <f>'IPCC Categories'!B71</f>
        <v>3C2 Liming (CO2)</v>
      </c>
      <c r="C41" s="19" t="s">
        <v>152</v>
      </c>
      <c r="D41" s="19" t="s">
        <v>452</v>
      </c>
      <c r="E41" s="19" t="s">
        <v>454</v>
      </c>
      <c r="F41" s="50">
        <f>Emissions!H86</f>
        <v>357.5</v>
      </c>
      <c r="G41" s="50">
        <f>Emissions!I86</f>
        <v>378.125</v>
      </c>
      <c r="H41" s="50">
        <f>Emissions!J86</f>
        <v>261.25</v>
      </c>
      <c r="I41" s="50">
        <f>Emissions!K86</f>
        <v>412.5</v>
      </c>
      <c r="J41" s="50">
        <f>Emissions!L86</f>
        <v>595.58170833333327</v>
      </c>
      <c r="K41" s="50">
        <f>Emissions!M86</f>
        <v>473.34145833333332</v>
      </c>
      <c r="L41" s="50">
        <f>Emissions!N86</f>
        <v>579.13625000000002</v>
      </c>
      <c r="M41" s="50">
        <f>Emissions!O86</f>
        <v>547.24312499999996</v>
      </c>
      <c r="N41" s="50">
        <f>Emissions!P86</f>
        <v>570.31379166666659</v>
      </c>
      <c r="O41" s="50">
        <f>Emissions!Q86</f>
        <v>567.03808333333325</v>
      </c>
      <c r="P41" s="50">
        <f>Emissions!R86</f>
        <v>378.2405</v>
      </c>
      <c r="Q41" s="50">
        <f>Emissions!S86</f>
        <v>489.66362500000002</v>
      </c>
      <c r="R41" s="50">
        <f>Emissions!T86</f>
        <v>672.79437500000006</v>
      </c>
      <c r="S41" s="50">
        <f>Emissions!U86</f>
        <v>580.13175000000001</v>
      </c>
      <c r="T41" s="50">
        <f>Emissions!V86</f>
        <v>579.7403333333333</v>
      </c>
      <c r="U41" s="50">
        <f>Emissions!W86</f>
        <v>266.03683333333333</v>
      </c>
      <c r="V41" s="50">
        <f>Emissions!X86</f>
        <v>441.42908333333332</v>
      </c>
      <c r="W41" s="50">
        <f>Emissions!Y86</f>
        <v>521.42108333333329</v>
      </c>
      <c r="X41" s="50">
        <f>Emissions!Z86</f>
        <v>655.32637499999998</v>
      </c>
      <c r="Y41" s="50">
        <f>Emissions!AA86</f>
        <v>695.56775237855516</v>
      </c>
      <c r="Z41" s="50">
        <f>Emissions!AB86</f>
        <v>653.23730656422072</v>
      </c>
      <c r="AA41" s="50">
        <f>Emissions!AC86</f>
        <v>722.61220387104663</v>
      </c>
      <c r="AB41" s="50">
        <f>Emissions!AD86</f>
        <v>829.6141641239476</v>
      </c>
      <c r="AC41" s="50">
        <f>Emissions!AE86</f>
        <v>749.65665536353811</v>
      </c>
      <c r="AD41" s="50">
        <f>Emissions!AF86</f>
        <v>773.17356970483502</v>
      </c>
      <c r="AE41" s="50">
        <f>Emissions!AG86</f>
        <v>780.22864400722403</v>
      </c>
      <c r="AF41" s="50">
        <f>Emissions!AH86</f>
        <v>982.47410734237747</v>
      </c>
      <c r="AG41" s="50">
        <f>Emissions!AI86</f>
        <v>1218.2311736138793</v>
      </c>
      <c r="AH41" s="50">
        <f>Emissions!AJ86</f>
        <v>688.74289830929615</v>
      </c>
      <c r="AI41" s="50">
        <f>Emissions!AK86</f>
        <v>694.04734471925508</v>
      </c>
      <c r="AJ41" s="50">
        <f>Emissions!AL86</f>
        <v>699.35179112921401</v>
      </c>
      <c r="AK41" s="50">
        <f>Emissions!AM86</f>
        <v>704.72841992293843</v>
      </c>
      <c r="AL41" s="50">
        <f>Emissions!AN86</f>
        <v>710.10504861741867</v>
      </c>
      <c r="AM41" s="50">
        <f>Emissions!AO86</f>
        <v>715.48167731189903</v>
      </c>
      <c r="AN41" s="50">
        <f>Emissions!AP86</f>
        <v>720.85830600637928</v>
      </c>
      <c r="AO41" s="50">
        <f>Emissions!AQ86</f>
        <v>726.2349348001037</v>
      </c>
      <c r="AP41" s="50">
        <f>Emissions!AR86</f>
        <v>726.2349348001037</v>
      </c>
      <c r="AQ41" s="50">
        <f>Emissions!AS86</f>
        <v>726.2349348001037</v>
      </c>
      <c r="AR41" s="50">
        <f>Emissions!AT86</f>
        <v>726.2349348001037</v>
      </c>
      <c r="AS41" s="50">
        <f>Emissions!AU86</f>
        <v>726.2349348001037</v>
      </c>
      <c r="AT41" s="50">
        <f>Emissions!AV86</f>
        <v>726.2349348001037</v>
      </c>
      <c r="AU41" s="50">
        <f>Emissions!AW86</f>
        <v>726.2349348001037</v>
      </c>
      <c r="AV41" s="50">
        <f>Emissions!AX86</f>
        <v>726.2349348001037</v>
      </c>
      <c r="AW41" s="50">
        <f>Emissions!AY86</f>
        <v>726.2349348001037</v>
      </c>
      <c r="AX41" s="50">
        <f>Emissions!AZ86</f>
        <v>726.2349348001037</v>
      </c>
      <c r="AY41" s="50">
        <f>Emissions!BA86</f>
        <v>726.2349348001037</v>
      </c>
      <c r="AZ41" s="50">
        <f>Emissions!BB86</f>
        <v>726.2349348001037</v>
      </c>
      <c r="BA41" s="50">
        <f>Emissions!BC86</f>
        <v>726.2349348001037</v>
      </c>
      <c r="BB41" s="50">
        <f>Emissions!BD86</f>
        <v>726.2349348001037</v>
      </c>
      <c r="BC41" s="50">
        <f>Emissions!BE86</f>
        <v>726.2349348001037</v>
      </c>
      <c r="BD41" s="50">
        <f>Emissions!BF86</f>
        <v>726.2349348001037</v>
      </c>
      <c r="BE41" s="50">
        <f>Emissions!BG86</f>
        <v>726.2349348001037</v>
      </c>
      <c r="BF41" s="50">
        <f>Emissions!BH86</f>
        <v>726.2349348001037</v>
      </c>
      <c r="BG41" s="50">
        <f>Emissions!BI86</f>
        <v>726.2349348001037</v>
      </c>
      <c r="BH41" s="50">
        <f>Emissions!BJ86</f>
        <v>726.2349348001037</v>
      </c>
      <c r="BI41" s="50">
        <f>Emissions!BK86</f>
        <v>726.2349348001037</v>
      </c>
      <c r="BJ41" s="50">
        <f>Emissions!BL86</f>
        <v>726.2349348001037</v>
      </c>
      <c r="BK41" s="50">
        <f>Emissions!BM86</f>
        <v>726.2349348001037</v>
      </c>
      <c r="BL41" s="50">
        <f>Emissions!BN86</f>
        <v>726.2349348001037</v>
      </c>
      <c r="BM41" s="50">
        <f>Emissions!BO86</f>
        <v>726.2349348001037</v>
      </c>
      <c r="BN41" s="50">
        <f>Emissions!BP86</f>
        <v>726.2349348001037</v>
      </c>
    </row>
    <row r="42" spans="1:66" s="19" customFormat="1" ht="15.75" x14ac:dyDescent="0.25">
      <c r="A42" s="19" t="str">
        <f t="shared" si="19"/>
        <v>3C Aggregated and non-CO2 emissions on land</v>
      </c>
      <c r="B42" s="19" t="str">
        <f>'IPCC Categories'!B72</f>
        <v>3C3 Urea application (CO2)</v>
      </c>
      <c r="C42" s="19" t="s">
        <v>152</v>
      </c>
      <c r="D42" s="19" t="str">
        <f>D41</f>
        <v>CO2</v>
      </c>
      <c r="E42" s="19" t="str">
        <f>E41</f>
        <v>Gg CO2</v>
      </c>
      <c r="F42" s="50">
        <f>Emissions!H87</f>
        <v>90.994567483487728</v>
      </c>
      <c r="G42" s="50">
        <f>Emissions!I87</f>
        <v>111.62690198838213</v>
      </c>
      <c r="H42" s="50">
        <f>Emissions!J87</f>
        <v>132.25923649327655</v>
      </c>
      <c r="I42" s="50">
        <f>Emissions!K87</f>
        <v>152.89157099816552</v>
      </c>
      <c r="J42" s="50">
        <f>Emissions!L87</f>
        <v>173.52390550305992</v>
      </c>
      <c r="K42" s="50">
        <f>Emissions!M87</f>
        <v>194.15624000795432</v>
      </c>
      <c r="L42" s="50">
        <f>Emissions!N87</f>
        <v>214.78857451284878</v>
      </c>
      <c r="M42" s="50">
        <f>Emissions!O87</f>
        <v>235.42090901774316</v>
      </c>
      <c r="N42" s="50">
        <f>Emissions!P87</f>
        <v>256.05324352263762</v>
      </c>
      <c r="O42" s="50">
        <f>Emissions!Q87</f>
        <v>276.68557802753202</v>
      </c>
      <c r="P42" s="50">
        <f>Emissions!R87</f>
        <v>297.31791253242642</v>
      </c>
      <c r="Q42" s="50">
        <f>Emissions!S87</f>
        <v>317.95024703732088</v>
      </c>
      <c r="R42" s="50">
        <f>Emissions!T87</f>
        <v>338.58258154220977</v>
      </c>
      <c r="S42" s="50">
        <f>Emissions!U87</f>
        <v>359.21491604710423</v>
      </c>
      <c r="T42" s="50">
        <f>Emissions!V87</f>
        <v>435.89846666666671</v>
      </c>
      <c r="U42" s="50">
        <f>Emissions!W87</f>
        <v>355.08659999999998</v>
      </c>
      <c r="V42" s="50">
        <f>Emissions!X87</f>
        <v>393.08573333333334</v>
      </c>
      <c r="W42" s="50">
        <f>Emissions!Y87</f>
        <v>484.55366666666663</v>
      </c>
      <c r="X42" s="50">
        <f>Emissions!Z87</f>
        <v>480.19253333333336</v>
      </c>
      <c r="Y42" s="50">
        <f>Emissions!AA87</f>
        <v>380.54426666666666</v>
      </c>
      <c r="Z42" s="50">
        <f>Emissions!AB87</f>
        <v>501.48046666666664</v>
      </c>
      <c r="AA42" s="50">
        <f>Emissions!AC87</f>
        <v>571.19113333333337</v>
      </c>
      <c r="AB42" s="50">
        <f>Emissions!AD87</f>
        <v>587.22106666666662</v>
      </c>
      <c r="AC42" s="50">
        <f>Emissions!AE87</f>
        <v>533.06336966666674</v>
      </c>
      <c r="AD42" s="50">
        <f>Emissions!AF87</f>
        <v>663.77159200000006</v>
      </c>
      <c r="AE42" s="50">
        <f>Emissions!AG87</f>
        <v>486.09938600666663</v>
      </c>
      <c r="AF42" s="50">
        <f>Emissions!AH87</f>
        <v>643.60119999999995</v>
      </c>
      <c r="AG42" s="50">
        <f>Emissions!AI87</f>
        <v>679.61446666666666</v>
      </c>
      <c r="AH42" s="50">
        <f>Emissions!AJ87</f>
        <v>417.11332241940903</v>
      </c>
      <c r="AI42" s="50">
        <f>Emissions!AK87</f>
        <v>419.88128021257768</v>
      </c>
      <c r="AJ42" s="50">
        <f>Emissions!AL87</f>
        <v>422.64923800574661</v>
      </c>
      <c r="AK42" s="50">
        <f>Emissions!AM87</f>
        <v>425.45486189566344</v>
      </c>
      <c r="AL42" s="50">
        <f>Emissions!AN87</f>
        <v>428.26048573379319</v>
      </c>
      <c r="AM42" s="50">
        <f>Emissions!AO87</f>
        <v>431.06610957192277</v>
      </c>
      <c r="AN42" s="50">
        <f>Emissions!AP87</f>
        <v>433.8717334100524</v>
      </c>
      <c r="AO42" s="50">
        <f>Emissions!AQ87</f>
        <v>436.67735729996917</v>
      </c>
      <c r="AP42" s="50">
        <f>Emissions!AR87</f>
        <v>436.67735729996917</v>
      </c>
      <c r="AQ42" s="50">
        <f>Emissions!AS87</f>
        <v>436.67735729996917</v>
      </c>
      <c r="AR42" s="50">
        <f>Emissions!AT87</f>
        <v>436.67735729996917</v>
      </c>
      <c r="AS42" s="50">
        <f>Emissions!AU87</f>
        <v>436.67735729996917</v>
      </c>
      <c r="AT42" s="50">
        <f>Emissions!AV87</f>
        <v>436.67735729996917</v>
      </c>
      <c r="AU42" s="50">
        <f>Emissions!AW87</f>
        <v>436.67735729996917</v>
      </c>
      <c r="AV42" s="50">
        <f>Emissions!AX87</f>
        <v>436.67735729996917</v>
      </c>
      <c r="AW42" s="50">
        <f>Emissions!AY87</f>
        <v>436.67735729996917</v>
      </c>
      <c r="AX42" s="50">
        <f>Emissions!AZ87</f>
        <v>436.67735729996917</v>
      </c>
      <c r="AY42" s="50">
        <f>Emissions!BA87</f>
        <v>436.67735729996917</v>
      </c>
      <c r="AZ42" s="50">
        <f>Emissions!BB87</f>
        <v>436.67735729996917</v>
      </c>
      <c r="BA42" s="50">
        <f>Emissions!BC87</f>
        <v>436.67735729996917</v>
      </c>
      <c r="BB42" s="50">
        <f>Emissions!BD87</f>
        <v>436.67735729996917</v>
      </c>
      <c r="BC42" s="50">
        <f>Emissions!BE87</f>
        <v>436.67735729996917</v>
      </c>
      <c r="BD42" s="50">
        <f>Emissions!BF87</f>
        <v>436.67735729996917</v>
      </c>
      <c r="BE42" s="50">
        <f>Emissions!BG87</f>
        <v>436.67735729996917</v>
      </c>
      <c r="BF42" s="50">
        <f>Emissions!BH87</f>
        <v>436.67735729996917</v>
      </c>
      <c r="BG42" s="50">
        <f>Emissions!BI87</f>
        <v>436.67735729996917</v>
      </c>
      <c r="BH42" s="50">
        <f>Emissions!BJ87</f>
        <v>436.67735729996917</v>
      </c>
      <c r="BI42" s="50">
        <f>Emissions!BK87</f>
        <v>436.67735729996917</v>
      </c>
      <c r="BJ42" s="50">
        <f>Emissions!BL87</f>
        <v>436.67735729996917</v>
      </c>
      <c r="BK42" s="50">
        <f>Emissions!BM87</f>
        <v>436.67735729996917</v>
      </c>
      <c r="BL42" s="50">
        <f>Emissions!BN87</f>
        <v>436.67735729996917</v>
      </c>
      <c r="BM42" s="50">
        <f>Emissions!BO87</f>
        <v>436.67735729996917</v>
      </c>
      <c r="BN42" s="50">
        <f>Emissions!BP87</f>
        <v>436.67735729996917</v>
      </c>
    </row>
    <row r="43" spans="1:66" s="19" customFormat="1" ht="15.75" x14ac:dyDescent="0.25">
      <c r="A43" s="19" t="str">
        <f t="shared" si="19"/>
        <v>3C Aggregated and non-CO2 emissions on land</v>
      </c>
      <c r="B43" s="19" t="str">
        <f>'IPCC Categories'!B73</f>
        <v>3C4 Direct N2O from managed soils (N2O)</v>
      </c>
      <c r="C43" s="19" t="s">
        <v>152</v>
      </c>
      <c r="D43" s="19" t="s">
        <v>143</v>
      </c>
      <c r="E43" s="19" t="s">
        <v>291</v>
      </c>
      <c r="F43" s="50">
        <f>SUM(F44:F48)</f>
        <v>62.919046528355814</v>
      </c>
      <c r="G43" s="50">
        <f t="shared" ref="G43:BN43" si="25">SUM(G44:G48)</f>
        <v>62.2353095779456</v>
      </c>
      <c r="H43" s="50">
        <f t="shared" si="25"/>
        <v>61.437626081668334</v>
      </c>
      <c r="I43" s="50">
        <f t="shared" si="25"/>
        <v>61.399579137891365</v>
      </c>
      <c r="J43" s="50">
        <f t="shared" si="25"/>
        <v>60.120057743735003</v>
      </c>
      <c r="K43" s="50">
        <f t="shared" si="25"/>
        <v>58.210344359858588</v>
      </c>
      <c r="L43" s="50">
        <f t="shared" si="25"/>
        <v>60.865143286848628</v>
      </c>
      <c r="M43" s="50">
        <f t="shared" si="25"/>
        <v>61.932598352462911</v>
      </c>
      <c r="N43" s="50">
        <f t="shared" si="25"/>
        <v>61.643562112813207</v>
      </c>
      <c r="O43" s="50">
        <f t="shared" si="25"/>
        <v>61.525140918104746</v>
      </c>
      <c r="P43" s="50">
        <f t="shared" si="25"/>
        <v>62.3452100614778</v>
      </c>
      <c r="Q43" s="50">
        <f t="shared" si="25"/>
        <v>60.009398686387172</v>
      </c>
      <c r="R43" s="50">
        <f t="shared" si="25"/>
        <v>61.278064942144297</v>
      </c>
      <c r="S43" s="50">
        <f t="shared" si="25"/>
        <v>60.292170029579161</v>
      </c>
      <c r="T43" s="50">
        <f t="shared" si="25"/>
        <v>59.16232052049628</v>
      </c>
      <c r="U43" s="50">
        <f t="shared" si="25"/>
        <v>58.168531948492024</v>
      </c>
      <c r="V43" s="50">
        <f t="shared" si="25"/>
        <v>57.042548983943853</v>
      </c>
      <c r="W43" s="50">
        <f t="shared" si="25"/>
        <v>59.8884397568739</v>
      </c>
      <c r="X43" s="50">
        <f t="shared" si="25"/>
        <v>61.015108369738776</v>
      </c>
      <c r="Y43" s="50">
        <f t="shared" si="25"/>
        <v>60.323799979221782</v>
      </c>
      <c r="Z43" s="50">
        <f t="shared" si="25"/>
        <v>59.616107882728997</v>
      </c>
      <c r="AA43" s="50">
        <f t="shared" si="25"/>
        <v>59.217249522907913</v>
      </c>
      <c r="AB43" s="50">
        <f t="shared" si="25"/>
        <v>60.832240240984653</v>
      </c>
      <c r="AC43" s="50">
        <f t="shared" si="25"/>
        <v>60.646093441749962</v>
      </c>
      <c r="AD43" s="50">
        <f t="shared" si="25"/>
        <v>60.536283499303245</v>
      </c>
      <c r="AE43" s="50">
        <f t="shared" si="25"/>
        <v>59.029715497812902</v>
      </c>
      <c r="AF43" s="50">
        <f t="shared" si="25"/>
        <v>56.778816036918641</v>
      </c>
      <c r="AG43" s="50">
        <f t="shared" si="25"/>
        <v>57.47875920822726</v>
      </c>
      <c r="AH43" s="50">
        <f t="shared" si="25"/>
        <v>59.240305998822414</v>
      </c>
      <c r="AI43" s="50">
        <f t="shared" si="25"/>
        <v>60.746675201441846</v>
      </c>
      <c r="AJ43" s="50">
        <f t="shared" si="25"/>
        <v>60.761573893916527</v>
      </c>
      <c r="AK43" s="50">
        <f t="shared" si="25"/>
        <v>60.78930149136135</v>
      </c>
      <c r="AL43" s="50">
        <f t="shared" si="25"/>
        <v>60.816911370473541</v>
      </c>
      <c r="AM43" s="50">
        <f t="shared" si="25"/>
        <v>60.84453786620648</v>
      </c>
      <c r="AN43" s="50">
        <f t="shared" si="25"/>
        <v>60.872063427204267</v>
      </c>
      <c r="AO43" s="50">
        <f t="shared" si="25"/>
        <v>60.899689880257057</v>
      </c>
      <c r="AP43" s="50">
        <f t="shared" si="25"/>
        <v>60.980113237651963</v>
      </c>
      <c r="AQ43" s="50">
        <f t="shared" si="25"/>
        <v>61.060498050760316</v>
      </c>
      <c r="AR43" s="50">
        <f t="shared" si="25"/>
        <v>61.141017757729998</v>
      </c>
      <c r="AS43" s="50">
        <f t="shared" si="25"/>
        <v>61.221634267384736</v>
      </c>
      <c r="AT43" s="50">
        <f t="shared" si="25"/>
        <v>61.302356736471054</v>
      </c>
      <c r="AU43" s="50">
        <f t="shared" si="25"/>
        <v>61.381128291601264</v>
      </c>
      <c r="AV43" s="50">
        <f t="shared" si="25"/>
        <v>61.459695747329327</v>
      </c>
      <c r="AW43" s="50">
        <f t="shared" si="25"/>
        <v>61.538680806429902</v>
      </c>
      <c r="AX43" s="50">
        <f t="shared" si="25"/>
        <v>61.617952723977503</v>
      </c>
      <c r="AY43" s="50">
        <f t="shared" si="25"/>
        <v>61.697527049692418</v>
      </c>
      <c r="AZ43" s="50">
        <f t="shared" si="25"/>
        <v>61.780165087201851</v>
      </c>
      <c r="BA43" s="50">
        <f t="shared" si="25"/>
        <v>61.863005622006064</v>
      </c>
      <c r="BB43" s="50">
        <f t="shared" si="25"/>
        <v>61.94591222089533</v>
      </c>
      <c r="BC43" s="50">
        <f t="shared" si="25"/>
        <v>62.029023415838239</v>
      </c>
      <c r="BD43" s="50">
        <f t="shared" si="25"/>
        <v>62.112461679650067</v>
      </c>
      <c r="BE43" s="50">
        <f t="shared" si="25"/>
        <v>62.207093488315479</v>
      </c>
      <c r="BF43" s="50">
        <f t="shared" si="25"/>
        <v>62.301969733469853</v>
      </c>
      <c r="BG43" s="50">
        <f t="shared" si="25"/>
        <v>62.397075557828138</v>
      </c>
      <c r="BH43" s="50">
        <f t="shared" si="25"/>
        <v>62.492447911723993</v>
      </c>
      <c r="BI43" s="50">
        <f t="shared" si="25"/>
        <v>62.588232873548421</v>
      </c>
      <c r="BJ43" s="50">
        <f t="shared" si="25"/>
        <v>62.681247239498397</v>
      </c>
      <c r="BK43" s="50">
        <f t="shared" si="25"/>
        <v>62.77461724640844</v>
      </c>
      <c r="BL43" s="50">
        <f t="shared" si="25"/>
        <v>62.868065868077231</v>
      </c>
      <c r="BM43" s="50">
        <f t="shared" si="25"/>
        <v>62.9619046658012</v>
      </c>
      <c r="BN43" s="50">
        <f t="shared" si="25"/>
        <v>63.056168041195221</v>
      </c>
    </row>
    <row r="44" spans="1:66" x14ac:dyDescent="0.25">
      <c r="A44" t="str">
        <f>A42</f>
        <v>3C Aggregated and non-CO2 emissions on land</v>
      </c>
      <c r="B44" t="str">
        <f>'IPCC Categories'!B73</f>
        <v>3C4 Direct N2O from managed soils (N2O)</v>
      </c>
      <c r="C44" t="str">
        <f>'IPCC Categories'!C73</f>
        <v>Inorganic inputs</v>
      </c>
      <c r="D44" t="s">
        <v>143</v>
      </c>
      <c r="E44" t="s">
        <v>291</v>
      </c>
      <c r="F44" s="23">
        <f>Emissions!H88</f>
        <v>5.4008271428571426</v>
      </c>
      <c r="G44" s="23">
        <f>Emissions!I88</f>
        <v>5.7362642857142854</v>
      </c>
      <c r="H44" s="23">
        <f>Emissions!J88</f>
        <v>5.4611071428571423</v>
      </c>
      <c r="I44" s="23">
        <f>Emissions!K88</f>
        <v>6.4186414285714282</v>
      </c>
      <c r="J44" s="23">
        <f>Emissions!L88</f>
        <v>5.8938942857142855</v>
      </c>
      <c r="K44" s="23">
        <f>Emissions!M88</f>
        <v>5.8377157142857143</v>
      </c>
      <c r="L44" s="23">
        <f>Emissions!N88</f>
        <v>6.5227485714285702</v>
      </c>
      <c r="M44" s="23">
        <f>Emissions!O88</f>
        <v>6.3943628571428572</v>
      </c>
      <c r="N44" s="23">
        <f>Emissions!P88</f>
        <v>6.5296157142857139</v>
      </c>
      <c r="O44" s="23">
        <f>Emissions!Q88</f>
        <v>6.4907071428571426</v>
      </c>
      <c r="P44" s="23">
        <f>Emissions!R88</f>
        <v>6.5360899999999997</v>
      </c>
      <c r="Q44" s="23">
        <f>Emissions!S88</f>
        <v>6.219918571428571</v>
      </c>
      <c r="R44" s="23">
        <f>Emissions!T88</f>
        <v>7.4968457142857146</v>
      </c>
      <c r="S44" s="23">
        <f>Emissions!U88</f>
        <v>6.6129957142857139</v>
      </c>
      <c r="T44" s="23">
        <f>Emissions!V88</f>
        <v>6.7189728571428571</v>
      </c>
      <c r="U44" s="23">
        <f>Emissions!W88</f>
        <v>5.4569428571428569</v>
      </c>
      <c r="V44" s="23">
        <f>Emissions!X88</f>
        <v>6.7370128571428571</v>
      </c>
      <c r="W44" s="23">
        <f>Emissions!Y88</f>
        <v>6.9061142857142848</v>
      </c>
      <c r="X44" s="23">
        <f>Emissions!Z88</f>
        <v>6.66479</v>
      </c>
      <c r="Y44" s="23">
        <f>Emissions!AA88</f>
        <v>7.1307814285714279</v>
      </c>
      <c r="Z44" s="23">
        <f>Emissions!AB88</f>
        <v>6.2071428571428573</v>
      </c>
      <c r="AA44" s="23">
        <f>Emissions!AC88</f>
        <v>6.5842857142857145</v>
      </c>
      <c r="AB44" s="23">
        <f>Emissions!AD88</f>
        <v>6.7571428571428571</v>
      </c>
      <c r="AC44" s="23">
        <f>Emissions!AE88</f>
        <v>6.5449999999999999</v>
      </c>
      <c r="AD44" s="23">
        <f>Emissions!AF88</f>
        <v>7.0328814285714278</v>
      </c>
      <c r="AE44" s="23">
        <f>Emissions!AG88</f>
        <v>6.3295885714285705</v>
      </c>
      <c r="AF44" s="23">
        <f>Emissions!AH88</f>
        <v>6.7571428571428571</v>
      </c>
      <c r="AG44" s="23">
        <f>Emissions!AI88</f>
        <v>6.9598571428571425</v>
      </c>
      <c r="AH44" s="23">
        <f>Emissions!AJ88</f>
        <v>6.6713395169939895</v>
      </c>
      <c r="AI44" s="23">
        <f>Emissions!AK88</f>
        <v>6.6847567335850666</v>
      </c>
      <c r="AJ44" s="23">
        <f>Emissions!AL88</f>
        <v>6.6981739501761473</v>
      </c>
      <c r="AK44" s="23">
        <f>Emissions!AM88</f>
        <v>6.7117737469277543</v>
      </c>
      <c r="AL44" s="23">
        <f>Emissions!AN88</f>
        <v>6.7253735434283319</v>
      </c>
      <c r="AM44" s="23">
        <f>Emissions!AO88</f>
        <v>6.7389733399289078</v>
      </c>
      <c r="AN44" s="23">
        <f>Emissions!AP88</f>
        <v>6.7525731364294854</v>
      </c>
      <c r="AO44" s="23">
        <f>Emissions!AQ88</f>
        <v>6.7661729331810925</v>
      </c>
      <c r="AP44" s="23">
        <f>Emissions!AR88</f>
        <v>6.7661729331810925</v>
      </c>
      <c r="AQ44" s="23">
        <f>Emissions!AS88</f>
        <v>6.7661729331810925</v>
      </c>
      <c r="AR44" s="23">
        <f>Emissions!AT88</f>
        <v>6.7661729331810925</v>
      </c>
      <c r="AS44" s="23">
        <f>Emissions!AU88</f>
        <v>6.7661729331810925</v>
      </c>
      <c r="AT44" s="23">
        <f>Emissions!AV88</f>
        <v>6.7661729331810925</v>
      </c>
      <c r="AU44" s="23">
        <f>Emissions!AW88</f>
        <v>6.7661729331810925</v>
      </c>
      <c r="AV44" s="23">
        <f>Emissions!AX88</f>
        <v>6.7661729331810925</v>
      </c>
      <c r="AW44" s="23">
        <f>Emissions!AY88</f>
        <v>6.7661729331810925</v>
      </c>
      <c r="AX44" s="23">
        <f>Emissions!AZ88</f>
        <v>6.7661729331810925</v>
      </c>
      <c r="AY44" s="23">
        <f>Emissions!BA88</f>
        <v>6.7661729331810925</v>
      </c>
      <c r="AZ44" s="23">
        <f>Emissions!BB88</f>
        <v>6.7661729331810925</v>
      </c>
      <c r="BA44" s="23">
        <f>Emissions!BC88</f>
        <v>6.7661729331810925</v>
      </c>
      <c r="BB44" s="23">
        <f>Emissions!BD88</f>
        <v>6.7661729331810925</v>
      </c>
      <c r="BC44" s="23">
        <f>Emissions!BE88</f>
        <v>6.7661729331810925</v>
      </c>
      <c r="BD44" s="23">
        <f>Emissions!BF88</f>
        <v>6.7661729331810925</v>
      </c>
      <c r="BE44" s="23">
        <f>Emissions!BG88</f>
        <v>6.7661729331810925</v>
      </c>
      <c r="BF44" s="23">
        <f>Emissions!BH88</f>
        <v>6.7661729331810925</v>
      </c>
      <c r="BG44" s="23">
        <f>Emissions!BI88</f>
        <v>6.7661729331810925</v>
      </c>
      <c r="BH44" s="23">
        <f>Emissions!BJ88</f>
        <v>6.7661729331810925</v>
      </c>
      <c r="BI44" s="23">
        <f>Emissions!BK88</f>
        <v>6.7661729331810925</v>
      </c>
      <c r="BJ44" s="23">
        <f>Emissions!BL88</f>
        <v>6.7661729331810925</v>
      </c>
      <c r="BK44" s="23">
        <f>Emissions!BM88</f>
        <v>6.7661729331810925</v>
      </c>
      <c r="BL44" s="23">
        <f>Emissions!BN88</f>
        <v>6.7661729331810925</v>
      </c>
      <c r="BM44" s="23">
        <f>Emissions!BO88</f>
        <v>6.7661729331810925</v>
      </c>
      <c r="BN44" s="23">
        <f>Emissions!BP88</f>
        <v>6.7661729331810925</v>
      </c>
    </row>
    <row r="45" spans="1:66" x14ac:dyDescent="0.25">
      <c r="A45" t="str">
        <f t="shared" si="19"/>
        <v>3C Aggregated and non-CO2 emissions on land</v>
      </c>
      <c r="B45" t="str">
        <f>B44</f>
        <v>3C4 Direct N2O from managed soils (N2O)</v>
      </c>
      <c r="C45" t="str">
        <f>'IPCC Categories'!C74</f>
        <v>Organic inputs</v>
      </c>
      <c r="D45" t="str">
        <f>D44</f>
        <v>N2O</v>
      </c>
      <c r="E45" t="str">
        <f>E44</f>
        <v>Gg N2O</v>
      </c>
      <c r="F45" s="23">
        <f>Emissions!H89+SUM(Emissions!H91:H106)</f>
        <v>5.567374195598398</v>
      </c>
      <c r="G45" s="23">
        <f>Emissions!I89+SUM(Emissions!I91:I106)</f>
        <v>5.90124590114445</v>
      </c>
      <c r="H45" s="23">
        <f>Emissions!J89+SUM(Emissions!J91:J106)</f>
        <v>5.7253990570381594</v>
      </c>
      <c r="I45" s="23">
        <f>Emissions!K89+SUM(Emissions!K91:K106)</f>
        <v>5.7879508376432183</v>
      </c>
      <c r="J45" s="23">
        <f>Emissions!L89+SUM(Emissions!L91:L106)</f>
        <v>5.3296913289573062</v>
      </c>
      <c r="K45" s="23">
        <f>Emissions!M89+SUM(Emissions!M91:M106)</f>
        <v>5.4344028047315547</v>
      </c>
      <c r="L45" s="23">
        <f>Emissions!N89+SUM(Emissions!N91:N106)</f>
        <v>5.6081321961970669</v>
      </c>
      <c r="M45" s="23">
        <f>Emissions!O89+SUM(Emissions!O91:O106)</f>
        <v>5.6684442503186121</v>
      </c>
      <c r="N45" s="23">
        <f>Emissions!P89+SUM(Emissions!P91:P106)</f>
        <v>5.8423422742717959</v>
      </c>
      <c r="O45" s="23">
        <f>Emissions!Q89+SUM(Emissions!Q91:Q106)</f>
        <v>5.9533021230194958</v>
      </c>
      <c r="P45" s="23">
        <f>Emissions!R89+SUM(Emissions!R91:R106)</f>
        <v>6.3304834008707349</v>
      </c>
      <c r="Q45" s="23">
        <f>Emissions!S89+SUM(Emissions!S91:S106)</f>
        <v>6.2472336125169647</v>
      </c>
      <c r="R45" s="23">
        <f>Emissions!T89+SUM(Emissions!T91:T106)</f>
        <v>6.3507780244282905</v>
      </c>
      <c r="S45" s="23">
        <f>Emissions!U89+SUM(Emissions!U91:U106)</f>
        <v>6.199780036070301</v>
      </c>
      <c r="T45" s="23">
        <f>Emissions!V89+SUM(Emissions!V91:V106)</f>
        <v>6.1110929416967119</v>
      </c>
      <c r="U45" s="23">
        <f>Emissions!W89+SUM(Emissions!W91:W106)</f>
        <v>6.2060104245863146</v>
      </c>
      <c r="V45" s="23">
        <f>Emissions!X89+SUM(Emissions!X91:X106)</f>
        <v>6.3119974829641627</v>
      </c>
      <c r="W45" s="23">
        <f>Emissions!Y89+SUM(Emissions!Y91:Y106)</f>
        <v>6.4750282735224927</v>
      </c>
      <c r="X45" s="23">
        <f>Emissions!Z89+SUM(Emissions!Z91:Z106)</f>
        <v>6.7938230334042897</v>
      </c>
      <c r="Y45" s="23">
        <f>Emissions!AA89+SUM(Emissions!AA91:AA106)</f>
        <v>6.7684750147347179</v>
      </c>
      <c r="Z45" s="23">
        <f>Emissions!AB89+SUM(Emissions!AB91:AB106)</f>
        <v>6.7388268001118679</v>
      </c>
      <c r="AA45" s="23">
        <f>Emissions!AC89+SUM(Emissions!AC91:AC106)</f>
        <v>6.7485248505653113</v>
      </c>
      <c r="AB45" s="23">
        <f>Emissions!AD89+SUM(Emissions!AD91:AD106)</f>
        <v>6.3548399901044457</v>
      </c>
      <c r="AC45" s="23">
        <f>Emissions!AE89+SUM(Emissions!AE91:AE106)</f>
        <v>6.9394159876867407</v>
      </c>
      <c r="AD45" s="23">
        <f>Emissions!AF89+SUM(Emissions!AF91:AF106)</f>
        <v>6.8552603771969123</v>
      </c>
      <c r="AE45" s="23">
        <f>Emissions!AG89+SUM(Emissions!AG91:AG106)</f>
        <v>6.8561940325996007</v>
      </c>
      <c r="AF45" s="23">
        <f>Emissions!AH89+SUM(Emissions!AH91:AH106)</f>
        <v>6.8100748866074401</v>
      </c>
      <c r="AG45" s="23">
        <f>Emissions!AI89+SUM(Emissions!AI91:AI106)</f>
        <v>6.8471791709019296</v>
      </c>
      <c r="AH45" s="23">
        <f>Emissions!AJ89+SUM(Emissions!AJ91:AJ106)</f>
        <v>6.9681661546972418</v>
      </c>
      <c r="AI45" s="23">
        <f>Emissions!AK89+SUM(Emissions!AK91:AK106)</f>
        <v>7.3378113011051687</v>
      </c>
      <c r="AJ45" s="23">
        <f>Emissions!AL89+SUM(Emissions!AL91:AL106)</f>
        <v>7.3741035631015279</v>
      </c>
      <c r="AK45" s="23">
        <f>Emissions!AM89+SUM(Emissions!AM91:AM106)</f>
        <v>7.4265604397641596</v>
      </c>
      <c r="AL45" s="23">
        <f>Emissions!AN89+SUM(Emissions!AN91:AN106)</f>
        <v>7.4788801398212827</v>
      </c>
      <c r="AM45" s="23">
        <f>Emissions!AO89+SUM(Emissions!AO91:AO106)</f>
        <v>7.5312306320698266</v>
      </c>
      <c r="AN45" s="23">
        <f>Emissions!AP89+SUM(Emissions!AP91:AP106)</f>
        <v>7.5834630351634242</v>
      </c>
      <c r="AO45" s="23">
        <f>Emissions!AQ89+SUM(Emissions!AQ91:AQ106)</f>
        <v>7.6358324104199964</v>
      </c>
      <c r="AP45" s="23">
        <f>Emissions!AR89+SUM(Emissions!AR91:AR106)</f>
        <v>7.6928193349965781</v>
      </c>
      <c r="AQ45" s="23">
        <f>Emissions!AS89+SUM(Emissions!AS91:AS106)</f>
        <v>7.7497699421911106</v>
      </c>
      <c r="AR45" s="23">
        <f>Emissions!AT89+SUM(Emissions!AT91:AT106)</f>
        <v>7.8069059525565923</v>
      </c>
      <c r="AS45" s="23">
        <f>Emissions!AU89+SUM(Emissions!AU91:AU106)</f>
        <v>7.8641796313815746</v>
      </c>
      <c r="AT45" s="23">
        <f>Emissions!AV89+SUM(Emissions!AV91:AV106)</f>
        <v>7.9216035440189394</v>
      </c>
      <c r="AU45" s="23">
        <f>Emissions!AW89+SUM(Emissions!AW91:AW106)</f>
        <v>7.9781097495111695</v>
      </c>
      <c r="AV45" s="23">
        <f>Emissions!AX89+SUM(Emissions!AX91:AX106)</f>
        <v>8.0343689665463121</v>
      </c>
      <c r="AW45" s="23">
        <f>Emissions!AY89+SUM(Emissions!AY91:AY106)</f>
        <v>8.0911852641889208</v>
      </c>
      <c r="AX45" s="23">
        <f>Emissions!AZ89+SUM(Emissions!AZ91:AZ106)</f>
        <v>8.1483910082358708</v>
      </c>
      <c r="AY45" s="23">
        <f>Emissions!BA89+SUM(Emissions!BA91:BA106)</f>
        <v>8.206007278140282</v>
      </c>
      <c r="AZ45" s="23">
        <f>Emissions!BB89+SUM(Emissions!BB91:BB106)</f>
        <v>8.2658258074561726</v>
      </c>
      <c r="BA45" s="23">
        <f>Emissions!BC89+SUM(Emissions!BC91:BC106)</f>
        <v>8.3259267086111954</v>
      </c>
      <c r="BB45" s="23">
        <f>Emissions!BD89+SUM(Emissions!BD91:BD106)</f>
        <v>8.3861325088531444</v>
      </c>
      <c r="BC45" s="23">
        <f>Emissions!BE89+SUM(Emissions!BE91:BE106)</f>
        <v>8.44662334483262</v>
      </c>
      <c r="BD45" s="23">
        <f>Emissions!BF89+SUM(Emissions!BF91:BF106)</f>
        <v>8.5075587175204195</v>
      </c>
      <c r="BE45" s="23">
        <f>Emissions!BG89+SUM(Emissions!BG91:BG106)</f>
        <v>8.5763458357970066</v>
      </c>
      <c r="BF45" s="23">
        <f>Emissions!BH89+SUM(Emissions!BH91:BH106)</f>
        <v>8.6454742097023569</v>
      </c>
      <c r="BG45" s="23">
        <f>Emissions!BI89+SUM(Emissions!BI91:BI106)</f>
        <v>8.7149243875492992</v>
      </c>
      <c r="BH45" s="23">
        <f>Emissions!BJ89+SUM(Emissions!BJ91:BJ106)</f>
        <v>8.7847443862202681</v>
      </c>
      <c r="BI45" s="23">
        <f>Emissions!BK89+SUM(Emissions!BK91:BK106)</f>
        <v>8.8551245836546322</v>
      </c>
      <c r="BJ45" s="23">
        <f>Emissions!BL89+SUM(Emissions!BL91:BL106)</f>
        <v>8.9238351733743642</v>
      </c>
      <c r="BK45" s="23">
        <f>Emissions!BM89+SUM(Emissions!BM91:BM106)</f>
        <v>8.9930287821785111</v>
      </c>
      <c r="BL45" s="23">
        <f>Emissions!BN89+SUM(Emissions!BN91:BN106)</f>
        <v>9.062343516226262</v>
      </c>
      <c r="BM45" s="23">
        <f>Emissions!BO89+SUM(Emissions!BO91:BO106)</f>
        <v>9.1321850453687539</v>
      </c>
      <c r="BN45" s="23">
        <f>Emissions!BP89+SUM(Emissions!BP91:BP106)</f>
        <v>9.202597330896964</v>
      </c>
    </row>
    <row r="46" spans="1:66" x14ac:dyDescent="0.25">
      <c r="A46" t="str">
        <f t="shared" si="19"/>
        <v>3C Aggregated and non-CO2 emissions on land</v>
      </c>
      <c r="B46" t="str">
        <f t="shared" si="19"/>
        <v>3C4 Direct N2O from managed soils (N2O)</v>
      </c>
      <c r="C46" t="str">
        <f>'IPCC Categories'!C75</f>
        <v>Crop residues</v>
      </c>
      <c r="D46" t="str">
        <f t="shared" ref="D46" si="26">D45</f>
        <v>N2O</v>
      </c>
      <c r="E46" t="str">
        <f t="shared" ref="E46" si="27">E45</f>
        <v>Gg N2O</v>
      </c>
      <c r="F46" s="23">
        <f>Emissions!H90</f>
        <v>9.5145328493987673</v>
      </c>
      <c r="G46" s="23">
        <f>Emissions!I90</f>
        <v>8.4807165475338557</v>
      </c>
      <c r="H46" s="23">
        <f>Emissions!J90</f>
        <v>8.8307250264890822</v>
      </c>
      <c r="I46" s="23">
        <f>Emissions!K90</f>
        <v>9.4837776749601197</v>
      </c>
      <c r="J46" s="23">
        <f>Emissions!L90</f>
        <v>10.001825653671295</v>
      </c>
      <c r="K46" s="23">
        <f>Emissions!M90</f>
        <v>7.7784758554023732</v>
      </c>
      <c r="L46" s="23">
        <f>Emissions!N90</f>
        <v>8.5678529665317189</v>
      </c>
      <c r="M46" s="23">
        <f>Emissions!O90</f>
        <v>9.0099546642841126</v>
      </c>
      <c r="N46" s="23">
        <f>Emissions!P90</f>
        <v>7.8511476996566865</v>
      </c>
      <c r="O46" s="23">
        <f>Emissions!Q90</f>
        <v>7.7907864939862481</v>
      </c>
      <c r="P46" s="23">
        <f>Emissions!R90</f>
        <v>8.942157595447453</v>
      </c>
      <c r="Q46" s="23">
        <f>Emissions!S90</f>
        <v>7.3038059468457632</v>
      </c>
      <c r="R46" s="23">
        <f>Emissions!T90</f>
        <v>7.9659865057844339</v>
      </c>
      <c r="S46" s="23">
        <f>Emissions!U90</f>
        <v>7.8603221261410496</v>
      </c>
      <c r="T46" s="23">
        <f>Emissions!V90</f>
        <v>7.0289769094831334</v>
      </c>
      <c r="U46" s="23">
        <f>Emissions!W90</f>
        <v>7.1397008149759484</v>
      </c>
      <c r="V46" s="23">
        <f>Emissions!X90</f>
        <v>4.8006705751691987</v>
      </c>
      <c r="W46" s="23">
        <f>Emissions!Y90</f>
        <v>6.5079755078943382</v>
      </c>
      <c r="X46" s="23">
        <f>Emissions!Z90</f>
        <v>7.4326985326734576</v>
      </c>
      <c r="Y46" s="23">
        <f>Emissions!AA90</f>
        <v>6.6040070990652842</v>
      </c>
      <c r="Z46" s="23">
        <f>Emissions!AB90</f>
        <v>7.210613978413642</v>
      </c>
      <c r="AA46" s="23">
        <f>Emissions!AC90</f>
        <v>6.6766473969928111</v>
      </c>
      <c r="AB46" s="23">
        <f>Emissions!AD90</f>
        <v>7.3617536892104853</v>
      </c>
      <c r="AC46" s="23">
        <f>Emissions!AE90</f>
        <v>7.6061991665708897</v>
      </c>
      <c r="AD46" s="23">
        <f>Emissions!AF90</f>
        <v>7.2570408671610824</v>
      </c>
      <c r="AE46" s="23">
        <f>Emissions!AG90</f>
        <v>7.0393517953857021</v>
      </c>
      <c r="AF46" s="23">
        <f>Emissions!AH90</f>
        <v>5.4414800356750721</v>
      </c>
      <c r="AG46" s="23">
        <f>Emissions!AI90</f>
        <v>7.0967648426355199</v>
      </c>
      <c r="AH46" s="23">
        <f>Emissions!AJ90</f>
        <v>6.53054795675944</v>
      </c>
      <c r="AI46" s="23">
        <f>Emissions!AK90</f>
        <v>6.4714280316788475</v>
      </c>
      <c r="AJ46" s="23">
        <f>Emissions!AL90</f>
        <v>6.4130774942705404</v>
      </c>
      <c r="AK46" s="23">
        <f>Emissions!AM90</f>
        <v>6.3530546460045931</v>
      </c>
      <c r="AL46" s="23">
        <f>Emissions!AN90</f>
        <v>6.2930403031850437</v>
      </c>
      <c r="AM46" s="23">
        <f>Emissions!AO90</f>
        <v>6.2330243167269934</v>
      </c>
      <c r="AN46" s="23">
        <f>Emissions!AP90</f>
        <v>6.1730158326124043</v>
      </c>
      <c r="AO46" s="23">
        <f>Emissions!AQ90</f>
        <v>6.1129991617273403</v>
      </c>
      <c r="AP46" s="23">
        <f>Emissions!AR90</f>
        <v>6.113019349335846</v>
      </c>
      <c r="AQ46" s="23">
        <f>Emissions!AS90</f>
        <v>6.1130418610680275</v>
      </c>
      <c r="AR46" s="23">
        <f>Emissions!AT90</f>
        <v>6.1130528485803612</v>
      </c>
      <c r="AS46" s="23">
        <f>Emissions!AU90</f>
        <v>6.1130552413177748</v>
      </c>
      <c r="AT46" s="23">
        <f>Emissions!AV90</f>
        <v>6.1130482456958042</v>
      </c>
      <c r="AU46" s="23">
        <f>Emissions!AW90</f>
        <v>6.1129774058304891</v>
      </c>
      <c r="AV46" s="23">
        <f>Emissions!AX90</f>
        <v>6.1129224124372001</v>
      </c>
      <c r="AW46" s="23">
        <f>Emissions!AY90</f>
        <v>6.1128340363585156</v>
      </c>
      <c r="AX46" s="23">
        <f>Emissions!AZ90</f>
        <v>6.1127235498200667</v>
      </c>
      <c r="AY46" s="23">
        <f>Emissions!BA90</f>
        <v>6.1125908363582058</v>
      </c>
      <c r="AZ46" s="23">
        <f>Emissions!BB90</f>
        <v>6.1124592847844239</v>
      </c>
      <c r="BA46" s="23">
        <f>Emissions!BC90</f>
        <v>6.1123145475015779</v>
      </c>
      <c r="BB46" s="23">
        <f>Emissions!BD90</f>
        <v>6.1121673257355296</v>
      </c>
      <c r="BC46" s="23">
        <f>Emissions!BE90</f>
        <v>6.1120083531252147</v>
      </c>
      <c r="BD46" s="23">
        <f>Emissions!BF90</f>
        <v>6.1118304828410368</v>
      </c>
      <c r="BE46" s="23">
        <f>Emissions!BG90</f>
        <v>6.1116725516998214</v>
      </c>
      <c r="BF46" s="23">
        <f>Emissions!BH90</f>
        <v>6.1115022522817766</v>
      </c>
      <c r="BG46" s="23">
        <f>Emissions!BI90</f>
        <v>6.111321888209809</v>
      </c>
      <c r="BH46" s="23">
        <f>Emissions!BJ90</f>
        <v>6.1111306201599156</v>
      </c>
      <c r="BI46" s="23">
        <f>Emissions!BK90</f>
        <v>6.1109217685712416</v>
      </c>
      <c r="BJ46" s="23">
        <f>Emissions!BL90</f>
        <v>6.1106943987553359</v>
      </c>
      <c r="BK46" s="23">
        <f>Emissions!BM90</f>
        <v>6.1104584553238155</v>
      </c>
      <c r="BL46" s="23">
        <f>Emissions!BN90</f>
        <v>6.1102298650329301</v>
      </c>
      <c r="BM46" s="23">
        <f>Emissions!BO90</f>
        <v>6.109994363451996</v>
      </c>
      <c r="BN46" s="23">
        <f>Emissions!BP90</f>
        <v>6.1097530125853021</v>
      </c>
    </row>
    <row r="47" spans="1:66" x14ac:dyDescent="0.25">
      <c r="A47" t="str">
        <f t="shared" ref="A47:B47" si="28">A46</f>
        <v>3C Aggregated and non-CO2 emissions on land</v>
      </c>
      <c r="B47" t="str">
        <f t="shared" si="28"/>
        <v>3C4 Direct N2O from managed soils (N2O)</v>
      </c>
      <c r="C47" t="str">
        <f>'IPCC Categories'!C76</f>
        <v>Urine and dung</v>
      </c>
      <c r="D47" t="str">
        <f t="shared" ref="D47:D54" si="29">D46</f>
        <v>N2O</v>
      </c>
      <c r="E47" t="str">
        <f t="shared" ref="E47:E54" si="30">E46</f>
        <v>Gg N2O</v>
      </c>
      <c r="F47" s="23">
        <f>SUM(Emissions!H107:H122)</f>
        <v>42.436312340501509</v>
      </c>
      <c r="G47" s="23">
        <f>SUM(Emissions!I107:I122)</f>
        <v>41.959400833537792</v>
      </c>
      <c r="H47" s="23">
        <f>SUM(Emissions!J107:J122)</f>
        <v>41.262712845268737</v>
      </c>
      <c r="I47" s="23">
        <f>SUM(Emissions!K107:K122)</f>
        <v>39.551527186701385</v>
      </c>
      <c r="J47" s="23">
        <f>SUM(Emissions!L107:L122)</f>
        <v>38.7369644653769</v>
      </c>
      <c r="K47" s="23">
        <f>SUM(Emissions!M107:M122)</f>
        <v>39.002067975423728</v>
      </c>
      <c r="L47" s="23">
        <f>SUM(Emissions!N107:N122)</f>
        <v>40.008727542676056</v>
      </c>
      <c r="M47" s="23">
        <f>SUM(Emissions!O107:O122)</f>
        <v>40.702154570702113</v>
      </c>
      <c r="N47" s="23">
        <f>SUM(Emissions!P107:P122)</f>
        <v>41.262774414583795</v>
      </c>
      <c r="O47" s="23">
        <f>SUM(Emissions!Q107:Q122)</f>
        <v>41.132663148226648</v>
      </c>
      <c r="P47" s="23">
        <f>SUM(Emissions!R107:R122)</f>
        <v>40.378797055144396</v>
      </c>
      <c r="Q47" s="23">
        <f>SUM(Emissions!S107:S122)</f>
        <v>40.080758545580657</v>
      </c>
      <c r="R47" s="23">
        <f>SUM(Emissions!T107:T122)</f>
        <v>39.306772687630641</v>
      </c>
      <c r="S47" s="23">
        <f>SUM(Emissions!U107:U122)</f>
        <v>39.461390143066879</v>
      </c>
      <c r="T47" s="23">
        <f>SUM(Emissions!V107:V122)</f>
        <v>39.145595802158361</v>
      </c>
      <c r="U47" s="23">
        <f>SUM(Emissions!W107:W122)</f>
        <v>39.20819584177169</v>
      </c>
      <c r="V47" s="23">
        <f>SUM(Emissions!X107:X122)</f>
        <v>39.035186058652414</v>
      </c>
      <c r="W47" s="23">
        <f>SUM(Emissions!Y107:Y122)</f>
        <v>39.841639679727571</v>
      </c>
      <c r="X47" s="23">
        <f>SUM(Emissions!Z107:Z122)</f>
        <v>39.966114793645815</v>
      </c>
      <c r="Y47" s="23">
        <f>SUM(Emissions!AA107:AA122)</f>
        <v>39.662854426835139</v>
      </c>
      <c r="Z47" s="23">
        <f>SUM(Emissions!AB107:AB122)</f>
        <v>39.301842237045413</v>
      </c>
      <c r="AA47" s="23">
        <f>SUM(Emissions!AC107:AC122)</f>
        <v>39.050109551048862</v>
      </c>
      <c r="AB47" s="23">
        <f>SUM(Emissions!AD107:AD122)</f>
        <v>40.200821694511653</v>
      </c>
      <c r="AC47" s="23">
        <f>SUM(Emissions!AE107:AE122)</f>
        <v>39.39779627747712</v>
      </c>
      <c r="AD47" s="23">
        <f>SUM(Emissions!AF107:AF122)</f>
        <v>39.233418816358608</v>
      </c>
      <c r="AE47" s="23">
        <f>SUM(Emissions!AG107:AG122)</f>
        <v>38.646899088383812</v>
      </c>
      <c r="AF47" s="23">
        <f>SUM(Emissions!AH107:AH122)</f>
        <v>37.612436247478058</v>
      </c>
      <c r="AG47" s="23">
        <f>SUM(Emissions!AI107:AI122)</f>
        <v>36.417276041817452</v>
      </c>
      <c r="AH47" s="23">
        <f>SUM(Emissions!AJ107:AJ122)</f>
        <v>38.901892042824535</v>
      </c>
      <c r="AI47" s="23">
        <f>SUM(Emissions!AK107:AK122)</f>
        <v>40.084278984842811</v>
      </c>
      <c r="AJ47" s="23">
        <f>SUM(Emissions!AL107:AL122)</f>
        <v>40.107778913455611</v>
      </c>
      <c r="AK47" s="23">
        <f>SUM(Emissions!AM107:AM122)</f>
        <v>40.12943286306939</v>
      </c>
      <c r="AL47" s="23">
        <f>SUM(Emissions!AN107:AN122)</f>
        <v>40.151097765760682</v>
      </c>
      <c r="AM47" s="23">
        <f>SUM(Emissions!AO107:AO122)</f>
        <v>40.172750136519795</v>
      </c>
      <c r="AN47" s="23">
        <f>SUM(Emissions!AP107:AP122)</f>
        <v>40.194412159355252</v>
      </c>
      <c r="AO47" s="23">
        <f>SUM(Emissions!AQ107:AQ122)</f>
        <v>40.216046288602172</v>
      </c>
      <c r="AP47" s="23">
        <f>SUM(Emissions!AR107:AR122)</f>
        <v>40.239422711129244</v>
      </c>
      <c r="AQ47" s="23">
        <f>SUM(Emissions!AS107:AS122)</f>
        <v>40.262794582628139</v>
      </c>
      <c r="AR47" s="23">
        <f>SUM(Emissions!AT107:AT122)</f>
        <v>40.286127469037254</v>
      </c>
      <c r="AS47" s="23">
        <f>SUM(Emissions!AU107:AU122)</f>
        <v>40.309428084446843</v>
      </c>
      <c r="AT47" s="23">
        <f>SUM(Emissions!AV107:AV122)</f>
        <v>40.332693813835029</v>
      </c>
      <c r="AU47" s="23">
        <f>SUM(Emissions!AW107:AW122)</f>
        <v>40.35499018065557</v>
      </c>
      <c r="AV47" s="23">
        <f>SUM(Emissions!AX107:AX122)</f>
        <v>40.377313590059025</v>
      </c>
      <c r="AW47" s="23">
        <f>SUM(Emissions!AY107:AY122)</f>
        <v>40.399530904912936</v>
      </c>
      <c r="AX47" s="23">
        <f>SUM(Emissions!AZ107:AZ122)</f>
        <v>40.421667742269285</v>
      </c>
      <c r="AY47" s="23">
        <f>SUM(Emissions!BA107:BA122)</f>
        <v>40.443718688858894</v>
      </c>
      <c r="AZ47" s="23">
        <f>SUM(Emissions!BB107:BB122)</f>
        <v>40.466629925943479</v>
      </c>
      <c r="BA47" s="23">
        <f>SUM(Emissions!BC107:BC122)</f>
        <v>40.489474474192761</v>
      </c>
      <c r="BB47" s="23">
        <f>SUM(Emissions!BD107:BD122)</f>
        <v>40.512282671923373</v>
      </c>
      <c r="BC47" s="23">
        <f>SUM(Emissions!BE107:BE122)</f>
        <v>40.535022180814366</v>
      </c>
      <c r="BD47" s="23">
        <f>SUM(Emissions!BF107:BF122)</f>
        <v>40.557663119539832</v>
      </c>
      <c r="BE47" s="23">
        <f>SUM(Emissions!BG107:BG122)</f>
        <v>40.583625918387121</v>
      </c>
      <c r="BF47" s="23">
        <f>SUM(Emissions!BH107:BH122)</f>
        <v>40.609504266371438</v>
      </c>
      <c r="BG47" s="23">
        <f>SUM(Emissions!BI107:BI122)</f>
        <v>40.635300454272006</v>
      </c>
      <c r="BH47" s="23">
        <f>SUM(Emissions!BJ107:BJ122)</f>
        <v>40.661004254864032</v>
      </c>
      <c r="BI47" s="23">
        <f>SUM(Emissions!BK107:BK122)</f>
        <v>40.686578048160015</v>
      </c>
      <c r="BJ47" s="23">
        <f>SUM(Emissions!BL107:BL122)</f>
        <v>40.711069371523429</v>
      </c>
      <c r="BK47" s="23">
        <f>SUM(Emissions!BM107:BM122)</f>
        <v>40.735441890378091</v>
      </c>
      <c r="BL47" s="23">
        <f>SUM(Emissions!BN107:BN122)</f>
        <v>40.759764545607261</v>
      </c>
      <c r="BM47" s="23">
        <f>SUM(Emissions!BO107:BO122)</f>
        <v>40.78395749308693</v>
      </c>
      <c r="BN47" s="23">
        <f>SUM(Emissions!BP107:BP122)</f>
        <v>40.808010111136689</v>
      </c>
    </row>
    <row r="48" spans="1:66" x14ac:dyDescent="0.25">
      <c r="A48" t="str">
        <f t="shared" ref="A48:B49" si="31">A47</f>
        <v>3C Aggregated and non-CO2 emissions on land</v>
      </c>
      <c r="B48" t="str">
        <f t="shared" si="31"/>
        <v>3C4 Direct N2O from managed soils (N2O)</v>
      </c>
      <c r="C48" t="str">
        <f>'IPCC Categories'!C77</f>
        <v>FSOM</v>
      </c>
      <c r="D48" t="str">
        <f t="shared" si="29"/>
        <v>N2O</v>
      </c>
      <c r="E48" t="str">
        <f t="shared" si="30"/>
        <v>Gg N2O</v>
      </c>
      <c r="F48" s="23">
        <f>SUM(Emissions!H145:H156)</f>
        <v>0</v>
      </c>
      <c r="G48" s="23">
        <f>SUM(Emissions!I145:I156)</f>
        <v>0.15768201001521304</v>
      </c>
      <c r="H48" s="23">
        <f>SUM(Emissions!J145:J156)</f>
        <v>0.15768201001521304</v>
      </c>
      <c r="I48" s="23">
        <f>SUM(Emissions!K145:K156)</f>
        <v>0.15768201001521304</v>
      </c>
      <c r="J48" s="23">
        <f>SUM(Emissions!L145:L156)</f>
        <v>0.15768201001521304</v>
      </c>
      <c r="K48" s="23">
        <f>SUM(Emissions!M145:M156)</f>
        <v>0.15768201001521304</v>
      </c>
      <c r="L48" s="23">
        <f>SUM(Emissions!N145:N156)</f>
        <v>0.15768201001521304</v>
      </c>
      <c r="M48" s="23">
        <f>SUM(Emissions!O145:O156)</f>
        <v>0.15768201001521304</v>
      </c>
      <c r="N48" s="23">
        <f>SUM(Emissions!P145:P156)</f>
        <v>0.15768201001521304</v>
      </c>
      <c r="O48" s="23">
        <f>SUM(Emissions!Q145:Q156)</f>
        <v>0.15768201001521304</v>
      </c>
      <c r="P48" s="23">
        <f>SUM(Emissions!R145:R156)</f>
        <v>0.15768201001521304</v>
      </c>
      <c r="Q48" s="23">
        <f>SUM(Emissions!S145:S156)</f>
        <v>0.15768201001521304</v>
      </c>
      <c r="R48" s="23">
        <f>SUM(Emissions!T145:T156)</f>
        <v>0.15768201001521304</v>
      </c>
      <c r="S48" s="23">
        <f>SUM(Emissions!U145:U156)</f>
        <v>0.15768201001521304</v>
      </c>
      <c r="T48" s="23">
        <f>SUM(Emissions!V145:V156)</f>
        <v>0.15768201001521304</v>
      </c>
      <c r="U48" s="23">
        <f>SUM(Emissions!W145:W156)</f>
        <v>0.15768201001521304</v>
      </c>
      <c r="V48" s="23">
        <f>SUM(Emissions!X145:X156)</f>
        <v>0.15768201001521304</v>
      </c>
      <c r="W48" s="23">
        <f>SUM(Emissions!Y145:Y156)</f>
        <v>0.15768201001521304</v>
      </c>
      <c r="X48" s="23">
        <f>SUM(Emissions!Z145:Z156)</f>
        <v>0.15768201001521304</v>
      </c>
      <c r="Y48" s="23">
        <f>SUM(Emissions!AA145:AA156)</f>
        <v>0.15768201001521304</v>
      </c>
      <c r="Z48" s="23">
        <f>SUM(Emissions!AB145:AB156)</f>
        <v>0.15768201001521304</v>
      </c>
      <c r="AA48" s="23">
        <f>SUM(Emissions!AC145:AC156)</f>
        <v>0.15768201001521304</v>
      </c>
      <c r="AB48" s="23">
        <f>SUM(Emissions!AD145:AD156)</f>
        <v>0.15768201001521304</v>
      </c>
      <c r="AC48" s="23">
        <f>SUM(Emissions!AE145:AE156)</f>
        <v>0.15768201001521304</v>
      </c>
      <c r="AD48" s="23">
        <f>SUM(Emissions!AF145:AF156)</f>
        <v>0.15768201001521304</v>
      </c>
      <c r="AE48" s="23">
        <f>SUM(Emissions!AG145:AG156)</f>
        <v>0.15768201001521304</v>
      </c>
      <c r="AF48" s="23">
        <f>SUM(Emissions!AH145:AH156)</f>
        <v>0.15768201001521304</v>
      </c>
      <c r="AG48" s="23">
        <f>SUM(Emissions!AI145:AI156)</f>
        <v>0.15768201001521304</v>
      </c>
      <c r="AH48" s="23">
        <f>SUM(Emissions!AJ145:AJ156)</f>
        <v>0.16836032754720609</v>
      </c>
      <c r="AI48" s="23">
        <f>SUM(Emissions!AK145:AK156)</f>
        <v>0.16840015022995525</v>
      </c>
      <c r="AJ48" s="23">
        <f>SUM(Emissions!AL145:AL156)</f>
        <v>0.16843997291270438</v>
      </c>
      <c r="AK48" s="23">
        <f>SUM(Emissions!AM145:AM156)</f>
        <v>0.16847979559545351</v>
      </c>
      <c r="AL48" s="23">
        <f>SUM(Emissions!AN145:AN156)</f>
        <v>0.16851961827820264</v>
      </c>
      <c r="AM48" s="23">
        <f>SUM(Emissions!AO145:AO156)</f>
        <v>0.16855944096095177</v>
      </c>
      <c r="AN48" s="23">
        <f>SUM(Emissions!AP145:AP156)</f>
        <v>0.16859926364370093</v>
      </c>
      <c r="AO48" s="23">
        <f>SUM(Emissions!AQ145:AQ156)</f>
        <v>0.16863908632645003</v>
      </c>
      <c r="AP48" s="23">
        <f>SUM(Emissions!AR145:AR156)</f>
        <v>0.16867890900919918</v>
      </c>
      <c r="AQ48" s="23">
        <f>SUM(Emissions!AS145:AS156)</f>
        <v>0.16871873169194831</v>
      </c>
      <c r="AR48" s="23">
        <f>SUM(Emissions!AT145:AT156)</f>
        <v>0.16875855437469744</v>
      </c>
      <c r="AS48" s="23">
        <f>SUM(Emissions!AU145:AU156)</f>
        <v>0.1687983770574466</v>
      </c>
      <c r="AT48" s="23">
        <f>SUM(Emissions!AV145:AV156)</f>
        <v>0.1688381997401957</v>
      </c>
      <c r="AU48" s="23">
        <f>SUM(Emissions!AW145:AW156)</f>
        <v>0.16887802242294486</v>
      </c>
      <c r="AV48" s="23">
        <f>SUM(Emissions!AX145:AX156)</f>
        <v>0.16891784510569399</v>
      </c>
      <c r="AW48" s="23">
        <f>SUM(Emissions!AY145:AY156)</f>
        <v>0.16895766778844312</v>
      </c>
      <c r="AX48" s="23">
        <f>SUM(Emissions!AZ145:AZ156)</f>
        <v>0.16899749047119228</v>
      </c>
      <c r="AY48" s="23">
        <f>SUM(Emissions!BA145:BA156)</f>
        <v>0.16903731315394138</v>
      </c>
      <c r="AZ48" s="23">
        <f>SUM(Emissions!BB145:BB156)</f>
        <v>0.16907713583669054</v>
      </c>
      <c r="BA48" s="23">
        <f>SUM(Emissions!BC145:BC156)</f>
        <v>0.16911695851943967</v>
      </c>
      <c r="BB48" s="23">
        <f>SUM(Emissions!BD145:BD156)</f>
        <v>0.1691567812021888</v>
      </c>
      <c r="BC48" s="23">
        <f>SUM(Emissions!BE145:BE156)</f>
        <v>0.16919660388493796</v>
      </c>
      <c r="BD48" s="23">
        <f>SUM(Emissions!BF145:BF156)</f>
        <v>0.16923642656768706</v>
      </c>
      <c r="BE48" s="23">
        <f>SUM(Emissions!BG145:BG156)</f>
        <v>0.16927624925043622</v>
      </c>
      <c r="BF48" s="23">
        <f>SUM(Emissions!BH145:BH156)</f>
        <v>0.16931607193318532</v>
      </c>
      <c r="BG48" s="23">
        <f>SUM(Emissions!BI145:BI156)</f>
        <v>0.16935589461593448</v>
      </c>
      <c r="BH48" s="23">
        <f>SUM(Emissions!BJ145:BJ156)</f>
        <v>0.16939571729868361</v>
      </c>
      <c r="BI48" s="23">
        <f>SUM(Emissions!BK145:BK156)</f>
        <v>0.16943553998143274</v>
      </c>
      <c r="BJ48" s="23">
        <f>SUM(Emissions!BL145:BL156)</f>
        <v>0.16947536266418189</v>
      </c>
      <c r="BK48" s="23">
        <f>SUM(Emissions!BM145:BM156)</f>
        <v>0.16951518534693102</v>
      </c>
      <c r="BL48" s="23">
        <f>SUM(Emissions!BN145:BN156)</f>
        <v>0.16955500802968015</v>
      </c>
      <c r="BM48" s="23">
        <f>SUM(Emissions!BO145:BO156)</f>
        <v>0.16959483071242931</v>
      </c>
      <c r="BN48" s="23">
        <f>SUM(Emissions!BP145:BP156)</f>
        <v>0.16963465339517841</v>
      </c>
    </row>
    <row r="49" spans="1:72" s="19" customFormat="1" ht="15.75" x14ac:dyDescent="0.25">
      <c r="A49" s="19" t="str">
        <f t="shared" si="31"/>
        <v>3C Aggregated and non-CO2 emissions on land</v>
      </c>
      <c r="B49" s="19" t="str">
        <f>'IPCC Categories'!B78</f>
        <v>3C5 Indirect N2O from managed soils (N2O)</v>
      </c>
      <c r="C49" s="19" t="s">
        <v>152</v>
      </c>
      <c r="D49" s="19" t="str">
        <f t="shared" ref="D49" si="32">D48</f>
        <v>N2O</v>
      </c>
      <c r="E49" s="19" t="str">
        <f t="shared" ref="E49" si="33">E48</f>
        <v>Gg N2O</v>
      </c>
      <c r="F49" s="50">
        <f>SUM(F50:F51)</f>
        <v>7.7032587210076144</v>
      </c>
      <c r="G49" s="50">
        <f t="shared" ref="G49:BN49" si="34">SUM(G50:G51)</f>
        <v>7.6814294416040232</v>
      </c>
      <c r="H49" s="50">
        <f t="shared" si="34"/>
        <v>7.4996587099075827</v>
      </c>
      <c r="I49" s="50">
        <f t="shared" si="34"/>
        <v>7.3900080147702605</v>
      </c>
      <c r="J49" s="50">
        <f t="shared" si="34"/>
        <v>7.1895606772082514</v>
      </c>
      <c r="K49" s="50">
        <f t="shared" si="34"/>
        <v>7.1491398235846519</v>
      </c>
      <c r="L49" s="50">
        <f t="shared" si="34"/>
        <v>7.3927664272848759</v>
      </c>
      <c r="M49" s="50">
        <f t="shared" si="34"/>
        <v>7.4591582430645653</v>
      </c>
      <c r="N49" s="50">
        <f t="shared" si="34"/>
        <v>7.5289898642721163</v>
      </c>
      <c r="O49" s="50">
        <f t="shared" si="34"/>
        <v>7.5119044750048722</v>
      </c>
      <c r="P49" s="50">
        <f t="shared" si="34"/>
        <v>7.5419730085851944</v>
      </c>
      <c r="Q49" s="50">
        <f t="shared" si="34"/>
        <v>7.3914641235202962</v>
      </c>
      <c r="R49" s="50">
        <f t="shared" si="34"/>
        <v>7.4560688038313012</v>
      </c>
      <c r="S49" s="50">
        <f t="shared" si="34"/>
        <v>7.3417109461489591</v>
      </c>
      <c r="T49" s="50">
        <f t="shared" si="34"/>
        <v>7.2579955465928894</v>
      </c>
      <c r="U49" s="50">
        <f t="shared" si="34"/>
        <v>7.1599834044108377</v>
      </c>
      <c r="V49" s="50">
        <f t="shared" si="34"/>
        <v>7.2096083335596948</v>
      </c>
      <c r="W49" s="50">
        <f t="shared" si="34"/>
        <v>7.3981397435622824</v>
      </c>
      <c r="X49" s="50">
        <f t="shared" si="34"/>
        <v>7.4958655517267792</v>
      </c>
      <c r="Y49" s="50">
        <f t="shared" si="34"/>
        <v>7.4715706067967984</v>
      </c>
      <c r="Z49" s="50">
        <f t="shared" si="34"/>
        <v>7.3406832058889977</v>
      </c>
      <c r="AA49" s="50">
        <f t="shared" si="34"/>
        <v>7.3299021553117774</v>
      </c>
      <c r="AB49" s="50">
        <f t="shared" si="34"/>
        <v>7.3966991150205201</v>
      </c>
      <c r="AC49" s="50">
        <f t="shared" si="34"/>
        <v>7.4442522305756</v>
      </c>
      <c r="AD49" s="50">
        <f t="shared" si="34"/>
        <v>7.4301530502951989</v>
      </c>
      <c r="AE49" s="50">
        <f t="shared" si="34"/>
        <v>7.2859459550190939</v>
      </c>
      <c r="AF49" s="50">
        <f t="shared" si="34"/>
        <v>7.1339265473868965</v>
      </c>
      <c r="AG49" s="50">
        <f t="shared" si="34"/>
        <v>7.0784863282668997</v>
      </c>
      <c r="AH49" s="50">
        <f t="shared" si="34"/>
        <v>7.3979505919773612</v>
      </c>
      <c r="AI49" s="50">
        <f t="shared" si="34"/>
        <v>7.5985770445181808</v>
      </c>
      <c r="AJ49" s="50">
        <f t="shared" si="34"/>
        <v>7.5996628708179399</v>
      </c>
      <c r="AK49" s="50">
        <f t="shared" si="34"/>
        <v>7.6105889726678626</v>
      </c>
      <c r="AL49" s="50">
        <f t="shared" si="34"/>
        <v>7.6214274882004291</v>
      </c>
      <c r="AM49" s="50">
        <f t="shared" si="34"/>
        <v>7.6322836589483796</v>
      </c>
      <c r="AN49" s="50">
        <f t="shared" si="34"/>
        <v>7.6430644810109349</v>
      </c>
      <c r="AO49" s="50">
        <f t="shared" si="34"/>
        <v>7.6539293780449684</v>
      </c>
      <c r="AP49" s="50">
        <f t="shared" si="34"/>
        <v>7.6666634459157548</v>
      </c>
      <c r="AQ49" s="50">
        <f t="shared" si="34"/>
        <v>7.6793728375879349</v>
      </c>
      <c r="AR49" s="50">
        <f t="shared" si="34"/>
        <v>7.6921957713086799</v>
      </c>
      <c r="AS49" s="50">
        <f t="shared" si="34"/>
        <v>7.7051023481108869</v>
      </c>
      <c r="AT49" s="50">
        <f t="shared" si="34"/>
        <v>7.7181002680852586</v>
      </c>
      <c r="AU49" s="50">
        <f t="shared" si="34"/>
        <v>7.7312976634588253</v>
      </c>
      <c r="AV49" s="50">
        <f t="shared" si="34"/>
        <v>7.7443388406932456</v>
      </c>
      <c r="AW49" s="50">
        <f t="shared" si="34"/>
        <v>7.7577234287356083</v>
      </c>
      <c r="AX49" s="50">
        <f t="shared" si="34"/>
        <v>7.7713468714311986</v>
      </c>
      <c r="AY49" s="50">
        <f t="shared" si="34"/>
        <v>7.7852219224819468</v>
      </c>
      <c r="AZ49" s="50">
        <f t="shared" si="34"/>
        <v>7.7995984894141595</v>
      </c>
      <c r="BA49" s="50">
        <f t="shared" si="34"/>
        <v>7.8141466704384062</v>
      </c>
      <c r="BB49" s="50">
        <f t="shared" si="34"/>
        <v>7.8287563734118395</v>
      </c>
      <c r="BC49" s="50">
        <f t="shared" si="34"/>
        <v>7.8435390886074341</v>
      </c>
      <c r="BD49" s="50">
        <f t="shared" si="34"/>
        <v>7.8585933228328244</v>
      </c>
      <c r="BE49" s="50">
        <f t="shared" si="34"/>
        <v>7.8752904629421678</v>
      </c>
      <c r="BF49" s="50">
        <f t="shared" si="34"/>
        <v>7.8921943568319852</v>
      </c>
      <c r="BG49" s="50">
        <f t="shared" si="34"/>
        <v>7.9092927690559263</v>
      </c>
      <c r="BH49" s="50">
        <f t="shared" si="34"/>
        <v>7.9266151538391476</v>
      </c>
      <c r="BI49" s="50">
        <f t="shared" si="34"/>
        <v>7.9442787598492917</v>
      </c>
      <c r="BJ49" s="50">
        <f t="shared" si="34"/>
        <v>7.9618182235474899</v>
      </c>
      <c r="BK49" s="50">
        <f t="shared" si="34"/>
        <v>7.9796507833080428</v>
      </c>
      <c r="BL49" s="50">
        <f t="shared" si="34"/>
        <v>7.9975531549685073</v>
      </c>
      <c r="BM49" s="50">
        <f t="shared" si="34"/>
        <v>8.0157752434422793</v>
      </c>
      <c r="BN49" s="50">
        <f t="shared" si="34"/>
        <v>8.0343438257357143</v>
      </c>
    </row>
    <row r="50" spans="1:72" x14ac:dyDescent="0.25">
      <c r="A50" t="str">
        <f t="shared" ref="A50" si="35">A48</f>
        <v>3C Aggregated and non-CO2 emissions on land</v>
      </c>
      <c r="B50" t="str">
        <f>'IPCC Categories'!B78</f>
        <v>3C5 Indirect N2O from managed soils (N2O)</v>
      </c>
      <c r="C50" t="str">
        <f>'IPCC Categories'!C78</f>
        <v>Volatilisation</v>
      </c>
      <c r="D50" t="str">
        <f>D48</f>
        <v>N2O</v>
      </c>
      <c r="E50" t="str">
        <f>E48</f>
        <v>Gg N2O</v>
      </c>
      <c r="F50" s="23">
        <f>SUM(Emissions!H136:H139)</f>
        <v>7.1839751379908723</v>
      </c>
      <c r="G50" s="23">
        <f>SUM(Emissions!I136:I139)</f>
        <v>7.1613277299785283</v>
      </c>
      <c r="H50" s="23">
        <f>SUM(Emissions!J136:J139)</f>
        <v>6.973495324173081</v>
      </c>
      <c r="I50" s="23">
        <f>SUM(Emissions!K136:K139)</f>
        <v>6.8393410538260762</v>
      </c>
      <c r="J50" s="23">
        <f>SUM(Emissions!L136:L139)</f>
        <v>6.6367297523851203</v>
      </c>
      <c r="K50" s="23">
        <f>SUM(Emissions!M136:M139)</f>
        <v>6.669391079979448</v>
      </c>
      <c r="L50" s="23">
        <f>SUM(Emissions!N136:N139)</f>
        <v>6.8799227017061675</v>
      </c>
      <c r="M50" s="23">
        <f>SUM(Emissions!O136:O139)</f>
        <v>6.9289564681596332</v>
      </c>
      <c r="N50" s="23">
        <f>SUM(Emissions!P136:P139)</f>
        <v>7.0327935478753698</v>
      </c>
      <c r="O50" s="23">
        <f>SUM(Emissions!Q136:Q139)</f>
        <v>7.0139549971454418</v>
      </c>
      <c r="P50" s="23">
        <f>SUM(Emissions!R136:R139)</f>
        <v>6.9912972312738084</v>
      </c>
      <c r="Q50" s="23">
        <f>SUM(Emissions!S136:S139)</f>
        <v>6.900122583456108</v>
      </c>
      <c r="R50" s="23">
        <f>SUM(Emissions!T136:T139)</f>
        <v>6.9385561638404774</v>
      </c>
      <c r="S50" s="23">
        <f>SUM(Emissions!U136:U139)</f>
        <v>6.8328825992868278</v>
      </c>
      <c r="T50" s="23">
        <f>SUM(Emissions!V136:V139)</f>
        <v>6.7809287651143499</v>
      </c>
      <c r="U50" s="23">
        <f>SUM(Emissions!W136:W139)</f>
        <v>6.6755784582013353</v>
      </c>
      <c r="V50" s="23">
        <f>SUM(Emissions!X136:X139)</f>
        <v>6.8024903951615503</v>
      </c>
      <c r="W50" s="23">
        <f>SUM(Emissions!Y136:Y139)</f>
        <v>6.9265278546024636</v>
      </c>
      <c r="X50" s="23">
        <f>SUM(Emissions!Z136:Z139)</f>
        <v>6.9813057302936983</v>
      </c>
      <c r="Y50" s="23">
        <f>SUM(Emissions!AA136:AA139)</f>
        <v>6.9865650699050512</v>
      </c>
      <c r="Z50" s="23">
        <f>SUM(Emissions!AB136:AB139)</f>
        <v>6.8355943584047232</v>
      </c>
      <c r="AA50" s="23">
        <f>SUM(Emissions!AC136:AC139)</f>
        <v>6.8429733502704497</v>
      </c>
      <c r="AB50" s="23">
        <f>SUM(Emissions!AD136:AD139)</f>
        <v>6.8997496272240113</v>
      </c>
      <c r="AC50" s="23">
        <f>SUM(Emissions!AE136:AE139)</f>
        <v>6.918660564198496</v>
      </c>
      <c r="AD50" s="23">
        <f>SUM(Emissions!AF136:AF139)</f>
        <v>6.919604861411031</v>
      </c>
      <c r="AE50" s="23">
        <f>SUM(Emissions!AG136:AG139)</f>
        <v>6.7827401119595674</v>
      </c>
      <c r="AF50" s="23">
        <f>SUM(Emissions!AH136:AH139)</f>
        <v>6.6875208967080058</v>
      </c>
      <c r="AG50" s="23">
        <f>SUM(Emissions!AI136:AI139)</f>
        <v>6.5737323721816709</v>
      </c>
      <c r="AH50" s="23">
        <f>SUM(Emissions!AJ136:AJ139)</f>
        <v>6.8710233081139602</v>
      </c>
      <c r="AI50" s="23">
        <f>SUM(Emissions!AK136:AK139)</f>
        <v>7.0608994069873834</v>
      </c>
      <c r="AJ50" s="23">
        <f>SUM(Emissions!AL136:AL139)</f>
        <v>7.062709010257251</v>
      </c>
      <c r="AK50" s="23">
        <f>SUM(Emissions!AM136:AM139)</f>
        <v>7.0738589398287974</v>
      </c>
      <c r="AL50" s="23">
        <f>SUM(Emissions!AN136:AN139)</f>
        <v>7.0849257222379283</v>
      </c>
      <c r="AM50" s="23">
        <f>SUM(Emissions!AO136:AO139)</f>
        <v>7.0960091542373682</v>
      </c>
      <c r="AN50" s="23">
        <f>SUM(Emissions!AP136:AP139)</f>
        <v>7.1070210527964086</v>
      </c>
      <c r="AO50" s="23">
        <f>SUM(Emissions!AQ136:AQ139)</f>
        <v>7.1181125832309347</v>
      </c>
      <c r="AP50" s="23">
        <f>SUM(Emissions!AR136:AR139)</f>
        <v>7.128840083048587</v>
      </c>
      <c r="AQ50" s="23">
        <f>SUM(Emissions!AS136:AS139)</f>
        <v>7.139544079435046</v>
      </c>
      <c r="AR50" s="23">
        <f>SUM(Emissions!AT136:AT139)</f>
        <v>7.1503556190462572</v>
      </c>
      <c r="AS50" s="23">
        <f>SUM(Emissions!AU136:AU139)</f>
        <v>7.1612463486968121</v>
      </c>
      <c r="AT50" s="23">
        <f>SUM(Emissions!AV136:AV139)</f>
        <v>7.1722235623514043</v>
      </c>
      <c r="AU50" s="23">
        <f>SUM(Emissions!AW136:AW139)</f>
        <v>7.1834341149280929</v>
      </c>
      <c r="AV50" s="23">
        <f>SUM(Emissions!AX136:AX139)</f>
        <v>7.1944964237641198</v>
      </c>
      <c r="AW50" s="23">
        <f>SUM(Emissions!AY136:AY139)</f>
        <v>7.2058840758297782</v>
      </c>
      <c r="AX50" s="23">
        <f>SUM(Emissions!AZ136:AZ139)</f>
        <v>7.2174979094585767</v>
      </c>
      <c r="AY50" s="23">
        <f>SUM(Emissions!BA136:BA139)</f>
        <v>7.2293499551293072</v>
      </c>
      <c r="AZ50" s="23">
        <f>SUM(Emissions!BB136:BB139)</f>
        <v>7.2416274986466682</v>
      </c>
      <c r="BA50" s="23">
        <f>SUM(Emissions!BC136:BC139)</f>
        <v>7.2540673693345754</v>
      </c>
      <c r="BB50" s="23">
        <f>SUM(Emissions!BD136:BD139)</f>
        <v>7.266565228667841</v>
      </c>
      <c r="BC50" s="23">
        <f>SUM(Emissions!BE136:BE139)</f>
        <v>7.2792266718944507</v>
      </c>
      <c r="BD50" s="23">
        <f>SUM(Emissions!BF136:BF139)</f>
        <v>7.2921449496041664</v>
      </c>
      <c r="BE50" s="23">
        <f>SUM(Emissions!BG136:BG139)</f>
        <v>7.3064345600745906</v>
      </c>
      <c r="BF50" s="23">
        <f>SUM(Emissions!BH136:BH139)</f>
        <v>7.3209195777118472</v>
      </c>
      <c r="BG50" s="23">
        <f>SUM(Emissions!BI136:BI139)</f>
        <v>7.3355883586778026</v>
      </c>
      <c r="BH50" s="23">
        <f>SUM(Emissions!BJ136:BJ139)</f>
        <v>7.3504687295718476</v>
      </c>
      <c r="BI50" s="23">
        <f>SUM(Emissions!BK136:BK139)</f>
        <v>7.3656716014675663</v>
      </c>
      <c r="BJ50" s="23">
        <f>SUM(Emissions!BL136:BL139)</f>
        <v>7.380808571396333</v>
      </c>
      <c r="BK50" s="23">
        <f>SUM(Emissions!BM136:BM139)</f>
        <v>7.3962222690187813</v>
      </c>
      <c r="BL50" s="23">
        <f>SUM(Emissions!BN136:BN139)</f>
        <v>7.4117013460368844</v>
      </c>
      <c r="BM50" s="23">
        <f>SUM(Emissions!BO136:BO139)</f>
        <v>7.4274822038770338</v>
      </c>
      <c r="BN50" s="23">
        <f>SUM(Emissions!BP136:BP139)</f>
        <v>7.4435900662418977</v>
      </c>
    </row>
    <row r="51" spans="1:72" x14ac:dyDescent="0.25">
      <c r="A51" t="str">
        <f t="shared" ref="A51:A52" si="36">A50</f>
        <v>3C Aggregated and non-CO2 emissions on land</v>
      </c>
      <c r="B51" t="str">
        <f>B50</f>
        <v>3C5 Indirect N2O from managed soils (N2O)</v>
      </c>
      <c r="C51" t="str">
        <f>'IPCC Categories'!C79</f>
        <v>Leaching/runoff</v>
      </c>
      <c r="D51" t="str">
        <f t="shared" si="29"/>
        <v>N2O</v>
      </c>
      <c r="E51" t="str">
        <f t="shared" si="30"/>
        <v>Gg N2O</v>
      </c>
      <c r="F51" s="23">
        <f>SUM(Emissions!H140:H155)</f>
        <v>0.5192835830167426</v>
      </c>
      <c r="G51" s="23">
        <f>SUM(Emissions!I140:I155)</f>
        <v>0.52010171162549512</v>
      </c>
      <c r="H51" s="23">
        <f>SUM(Emissions!J140:J155)</f>
        <v>0.52616338573450194</v>
      </c>
      <c r="I51" s="23">
        <f>SUM(Emissions!K140:K155)</f>
        <v>0.55066696094418399</v>
      </c>
      <c r="J51" s="23">
        <f>SUM(Emissions!L140:L155)</f>
        <v>0.55283092482313123</v>
      </c>
      <c r="K51" s="23">
        <f>SUM(Emissions!M140:M155)</f>
        <v>0.47974874360520425</v>
      </c>
      <c r="L51" s="23">
        <f>SUM(Emissions!N140:N155)</f>
        <v>0.51284372557870861</v>
      </c>
      <c r="M51" s="23">
        <f>SUM(Emissions!O140:O155)</f>
        <v>0.53020177490493225</v>
      </c>
      <c r="N51" s="23">
        <f>SUM(Emissions!P140:P155)</f>
        <v>0.49619631639674644</v>
      </c>
      <c r="O51" s="23">
        <f>SUM(Emissions!Q140:Q155)</f>
        <v>0.49794947785943022</v>
      </c>
      <c r="P51" s="23">
        <f>SUM(Emissions!R140:R155)</f>
        <v>0.55067577731138606</v>
      </c>
      <c r="Q51" s="23">
        <f>SUM(Emissions!S140:S155)</f>
        <v>0.4913415400641884</v>
      </c>
      <c r="R51" s="23">
        <f>SUM(Emissions!T140:T155)</f>
        <v>0.51751263999082375</v>
      </c>
      <c r="S51" s="23">
        <f>SUM(Emissions!U140:U155)</f>
        <v>0.5088283468621313</v>
      </c>
      <c r="T51" s="23">
        <f>SUM(Emissions!V140:V155)</f>
        <v>0.47706678147853976</v>
      </c>
      <c r="U51" s="23">
        <f>SUM(Emissions!W140:W155)</f>
        <v>0.48440494620950225</v>
      </c>
      <c r="V51" s="23">
        <f>SUM(Emissions!X140:X155)</f>
        <v>0.4071179383981442</v>
      </c>
      <c r="W51" s="23">
        <f>SUM(Emissions!Y140:Y155)</f>
        <v>0.47161188895981909</v>
      </c>
      <c r="X51" s="23">
        <f>SUM(Emissions!Z140:Z155)</f>
        <v>0.51455982143308099</v>
      </c>
      <c r="Y51" s="23">
        <f>SUM(Emissions!AA140:AA155)</f>
        <v>0.48500553689174686</v>
      </c>
      <c r="Z51" s="23">
        <f>SUM(Emissions!AB140:AB155)</f>
        <v>0.50508884748427418</v>
      </c>
      <c r="AA51" s="23">
        <f>SUM(Emissions!AC140:AC155)</f>
        <v>0.48692880504132796</v>
      </c>
      <c r="AB51" s="23">
        <f>SUM(Emissions!AD140:AD155)</f>
        <v>0.49694948779650916</v>
      </c>
      <c r="AC51" s="23">
        <f>SUM(Emissions!AE140:AE155)</f>
        <v>0.52559166637710386</v>
      </c>
      <c r="AD51" s="23">
        <f>SUM(Emissions!AF140:AF155)</f>
        <v>0.51054818888416775</v>
      </c>
      <c r="AE51" s="23">
        <f>SUM(Emissions!AG140:AG155)</f>
        <v>0.5032058430595262</v>
      </c>
      <c r="AF51" s="23">
        <f>SUM(Emissions!AH140:AH155)</f>
        <v>0.44640565067889088</v>
      </c>
      <c r="AG51" s="23">
        <f>SUM(Emissions!AI140:AI155)</f>
        <v>0.50475395608522899</v>
      </c>
      <c r="AH51" s="23">
        <f>SUM(Emissions!AJ140:AJ155)</f>
        <v>0.52692728386340049</v>
      </c>
      <c r="AI51" s="23">
        <f>SUM(Emissions!AK140:AK155)</f>
        <v>0.53767763753079745</v>
      </c>
      <c r="AJ51" s="23">
        <f>SUM(Emissions!AL140:AL155)</f>
        <v>0.53695386056068906</v>
      </c>
      <c r="AK51" s="23">
        <f>SUM(Emissions!AM140:AM155)</f>
        <v>0.53673003283906517</v>
      </c>
      <c r="AL51" s="23">
        <f>SUM(Emissions!AN140:AN155)</f>
        <v>0.53650176596250054</v>
      </c>
      <c r="AM51" s="23">
        <f>SUM(Emissions!AO140:AO155)</f>
        <v>0.53627450471101135</v>
      </c>
      <c r="AN51" s="23">
        <f>SUM(Emissions!AP140:AP155)</f>
        <v>0.53604342821452589</v>
      </c>
      <c r="AO51" s="23">
        <f>SUM(Emissions!AQ140:AQ155)</f>
        <v>0.53581679481403344</v>
      </c>
      <c r="AP51" s="23">
        <f>SUM(Emissions!AR140:AR155)</f>
        <v>0.53782336286716814</v>
      </c>
      <c r="AQ51" s="23">
        <f>SUM(Emissions!AS140:AS155)</f>
        <v>0.53982875815288889</v>
      </c>
      <c r="AR51" s="23">
        <f>SUM(Emissions!AT140:AT155)</f>
        <v>0.54184015226242277</v>
      </c>
      <c r="AS51" s="23">
        <f>SUM(Emissions!AU140:AU155)</f>
        <v>0.54385599941407448</v>
      </c>
      <c r="AT51" s="23">
        <f>SUM(Emissions!AV140:AV155)</f>
        <v>0.54587670573385472</v>
      </c>
      <c r="AU51" s="23">
        <f>SUM(Emissions!AW140:AW155)</f>
        <v>0.54786354853073227</v>
      </c>
      <c r="AV51" s="23">
        <f>SUM(Emissions!AX140:AX155)</f>
        <v>0.5498424169291255</v>
      </c>
      <c r="AW51" s="23">
        <f>SUM(Emissions!AY140:AY155)</f>
        <v>0.55183935290582986</v>
      </c>
      <c r="AX51" s="23">
        <f>SUM(Emissions!AZ140:AZ155)</f>
        <v>0.55384896197262234</v>
      </c>
      <c r="AY51" s="23">
        <f>SUM(Emissions!BA140:BA155)</f>
        <v>0.55587196735263944</v>
      </c>
      <c r="AZ51" s="23">
        <f>SUM(Emissions!BB140:BB155)</f>
        <v>0.55797099076749124</v>
      </c>
      <c r="BA51" s="23">
        <f>SUM(Emissions!BC140:BC155)</f>
        <v>0.56007930110383064</v>
      </c>
      <c r="BB51" s="23">
        <f>SUM(Emissions!BD140:BD155)</f>
        <v>0.56219114474399834</v>
      </c>
      <c r="BC51" s="23">
        <f>SUM(Emissions!BE140:BE155)</f>
        <v>0.56431241671298338</v>
      </c>
      <c r="BD51" s="23">
        <f>SUM(Emissions!BF140:BF155)</f>
        <v>0.5664483732286576</v>
      </c>
      <c r="BE51" s="23">
        <f>SUM(Emissions!BG140:BG155)</f>
        <v>0.56885590286757703</v>
      </c>
      <c r="BF51" s="23">
        <f>SUM(Emissions!BH140:BH155)</f>
        <v>0.57127477912013824</v>
      </c>
      <c r="BG51" s="23">
        <f>SUM(Emissions!BI140:BI155)</f>
        <v>0.57370441037812392</v>
      </c>
      <c r="BH51" s="23">
        <f>SUM(Emissions!BJ140:BJ155)</f>
        <v>0.57614642426730012</v>
      </c>
      <c r="BI51" s="23">
        <f>SUM(Emissions!BK140:BK155)</f>
        <v>0.57860715838172572</v>
      </c>
      <c r="BJ51" s="23">
        <f>SUM(Emissions!BL140:BL155)</f>
        <v>0.58100965215115685</v>
      </c>
      <c r="BK51" s="23">
        <f>SUM(Emissions!BM140:BM155)</f>
        <v>0.58342851428926168</v>
      </c>
      <c r="BL51" s="23">
        <f>SUM(Emissions!BN140:BN155)</f>
        <v>0.5858518089316227</v>
      </c>
      <c r="BM51" s="23">
        <f>SUM(Emissions!BO140:BO155)</f>
        <v>0.58829303956524526</v>
      </c>
      <c r="BN51" s="23">
        <f>SUM(Emissions!BP140:BP155)</f>
        <v>0.59075375949381692</v>
      </c>
    </row>
    <row r="52" spans="1:72" s="19" customFormat="1" ht="15.75" x14ac:dyDescent="0.25">
      <c r="A52" s="19" t="str">
        <f t="shared" si="36"/>
        <v>3C Aggregated and non-CO2 emissions on land</v>
      </c>
      <c r="B52" s="19" t="str">
        <f>'IPCC Categories'!B80</f>
        <v>3C6 Indirect N2O from manure management (N2O)</v>
      </c>
      <c r="C52" s="19" t="s">
        <v>152</v>
      </c>
      <c r="D52" s="19" t="str">
        <f t="shared" ref="D52" si="37">D51</f>
        <v>N2O</v>
      </c>
      <c r="E52" s="19" t="str">
        <f t="shared" ref="E52" si="38">E51</f>
        <v>Gg N2O</v>
      </c>
      <c r="F52" s="50">
        <f>SUM(F53:F54)</f>
        <v>1.1067848439218742</v>
      </c>
      <c r="G52" s="50">
        <f t="shared" ref="G52:BN52" si="39">SUM(G53:G54)</f>
        <v>1.1793101333236566</v>
      </c>
      <c r="H52" s="50">
        <f t="shared" si="39"/>
        <v>1.0964875704106052</v>
      </c>
      <c r="I52" s="50">
        <f t="shared" si="39"/>
        <v>1.1375032898207786</v>
      </c>
      <c r="J52" s="50">
        <f t="shared" si="39"/>
        <v>1.0846717436458997</v>
      </c>
      <c r="K52" s="50">
        <f t="shared" si="39"/>
        <v>1.1448597732686163</v>
      </c>
      <c r="L52" s="50">
        <f t="shared" si="39"/>
        <v>1.1958977242460898</v>
      </c>
      <c r="M52" s="50">
        <f t="shared" si="39"/>
        <v>1.1849439691736401</v>
      </c>
      <c r="N52" s="50">
        <f t="shared" si="39"/>
        <v>1.2139183010598238</v>
      </c>
      <c r="O52" s="50">
        <f t="shared" si="39"/>
        <v>1.2266540220375095</v>
      </c>
      <c r="P52" s="50">
        <f t="shared" si="39"/>
        <v>1.3571702301687614</v>
      </c>
      <c r="Q52" s="50">
        <f t="shared" si="39"/>
        <v>1.3495873458385352</v>
      </c>
      <c r="R52" s="50">
        <f t="shared" si="39"/>
        <v>1.3100812150143717</v>
      </c>
      <c r="S52" s="50">
        <f t="shared" si="39"/>
        <v>1.2439413143268161</v>
      </c>
      <c r="T52" s="50">
        <f t="shared" si="39"/>
        <v>1.2358396061640136</v>
      </c>
      <c r="U52" s="50">
        <f t="shared" si="39"/>
        <v>1.2987903898093689</v>
      </c>
      <c r="V52" s="50">
        <f t="shared" si="39"/>
        <v>1.3151273686847365</v>
      </c>
      <c r="W52" s="50">
        <f t="shared" si="39"/>
        <v>1.3412006818051601</v>
      </c>
      <c r="X52" s="50">
        <f t="shared" si="39"/>
        <v>1.4528640616978117</v>
      </c>
      <c r="Y52" s="50">
        <f t="shared" si="39"/>
        <v>1.4448477671226592</v>
      </c>
      <c r="Z52" s="50">
        <f t="shared" si="39"/>
        <v>1.4531461736367308</v>
      </c>
      <c r="AA52" s="50">
        <f t="shared" si="39"/>
        <v>1.4700081553266331</v>
      </c>
      <c r="AB52" s="50">
        <f t="shared" si="39"/>
        <v>1.4654806839383503</v>
      </c>
      <c r="AC52" s="50">
        <f t="shared" si="39"/>
        <v>1.5067832033820139</v>
      </c>
      <c r="AD52" s="50">
        <f t="shared" si="39"/>
        <v>1.4966846735897776</v>
      </c>
      <c r="AE52" s="50">
        <f t="shared" si="39"/>
        <v>1.5216387080576339</v>
      </c>
      <c r="AF52" s="50">
        <f t="shared" si="39"/>
        <v>1.5198265213672717</v>
      </c>
      <c r="AG52" s="50">
        <f t="shared" si="39"/>
        <v>1.5584892776129362</v>
      </c>
      <c r="AH52" s="50">
        <f t="shared" si="39"/>
        <v>1.5453949488223191</v>
      </c>
      <c r="AI52" s="50">
        <f t="shared" si="39"/>
        <v>1.564906538172623</v>
      </c>
      <c r="AJ52" s="50">
        <f t="shared" si="39"/>
        <v>1.5710517341237971</v>
      </c>
      <c r="AK52" s="50">
        <f t="shared" si="39"/>
        <v>1.5849393151334892</v>
      </c>
      <c r="AL52" s="50">
        <f t="shared" si="39"/>
        <v>1.5987598540844463</v>
      </c>
      <c r="AM52" s="50">
        <f t="shared" si="39"/>
        <v>1.6125954420926116</v>
      </c>
      <c r="AN52" s="50">
        <f t="shared" si="39"/>
        <v>1.6263733164283658</v>
      </c>
      <c r="AO52" s="50">
        <f t="shared" si="39"/>
        <v>1.6402181329057235</v>
      </c>
      <c r="AP52" s="50">
        <f t="shared" si="39"/>
        <v>1.6553873734874218</v>
      </c>
      <c r="AQ52" s="50">
        <f t="shared" si="39"/>
        <v>1.6705388646873791</v>
      </c>
      <c r="AR52" s="50">
        <f t="shared" si="39"/>
        <v>1.6857809679158289</v>
      </c>
      <c r="AS52" s="50">
        <f t="shared" si="39"/>
        <v>1.7010903538035262</v>
      </c>
      <c r="AT52" s="50">
        <f t="shared" si="39"/>
        <v>1.7164731634111001</v>
      </c>
      <c r="AU52" s="50">
        <f t="shared" si="39"/>
        <v>1.7318380165737342</v>
      </c>
      <c r="AV52" s="50">
        <f t="shared" si="39"/>
        <v>1.747082159368063</v>
      </c>
      <c r="AW52" s="50">
        <f t="shared" si="39"/>
        <v>1.7625985637615686</v>
      </c>
      <c r="AX52" s="50">
        <f t="shared" si="39"/>
        <v>1.7783053023794859</v>
      </c>
      <c r="AY52" s="50">
        <f t="shared" si="39"/>
        <v>1.7942126771596785</v>
      </c>
      <c r="AZ52" s="50">
        <f t="shared" si="39"/>
        <v>1.8107147011685534</v>
      </c>
      <c r="BA52" s="50">
        <f t="shared" si="39"/>
        <v>1.8273547286700427</v>
      </c>
      <c r="BB52" s="50">
        <f t="shared" si="39"/>
        <v>1.8440460236825704</v>
      </c>
      <c r="BC52" s="50">
        <f t="shared" si="39"/>
        <v>1.8608766238977956</v>
      </c>
      <c r="BD52" s="50">
        <f t="shared" si="39"/>
        <v>1.8779244823868328</v>
      </c>
      <c r="BE52" s="50">
        <f t="shared" si="39"/>
        <v>1.8970076320677347</v>
      </c>
      <c r="BF52" s="50">
        <f t="shared" si="39"/>
        <v>1.9162575637117403</v>
      </c>
      <c r="BG52" s="50">
        <f t="shared" si="39"/>
        <v>1.9356647702702692</v>
      </c>
      <c r="BH52" s="50">
        <f t="shared" si="39"/>
        <v>1.9552527192339695</v>
      </c>
      <c r="BI52" s="50">
        <f t="shared" si="39"/>
        <v>1.9751144539482022</v>
      </c>
      <c r="BJ52" s="50">
        <f t="shared" si="39"/>
        <v>1.9946732078538216</v>
      </c>
      <c r="BK52" s="50">
        <f t="shared" si="39"/>
        <v>2.0144680275117972</v>
      </c>
      <c r="BL52" s="50">
        <f t="shared" si="39"/>
        <v>2.0343220444526873</v>
      </c>
      <c r="BM52" s="50">
        <f t="shared" si="39"/>
        <v>2.0544335219965948</v>
      </c>
      <c r="BN52" s="50">
        <f t="shared" si="39"/>
        <v>2.0748239451141921</v>
      </c>
    </row>
    <row r="53" spans="1:72" x14ac:dyDescent="0.25">
      <c r="A53" t="str">
        <f t="shared" ref="A53" si="40">A51</f>
        <v>3C Aggregated and non-CO2 emissions on land</v>
      </c>
      <c r="B53" t="str">
        <f>'IPCC Categories'!B80</f>
        <v>3C6 Indirect N2O from manure management (N2O)</v>
      </c>
      <c r="C53" t="str">
        <f>'IPCC Categories'!C80</f>
        <v>Volatilisation</v>
      </c>
      <c r="D53" t="str">
        <f>D51</f>
        <v>N2O</v>
      </c>
      <c r="E53" t="str">
        <f>E51</f>
        <v>Gg N2O</v>
      </c>
      <c r="F53" s="23">
        <f>SUM(Emissions!H157:H172)</f>
        <v>0.80497093483523396</v>
      </c>
      <c r="G53" s="23">
        <f>SUM(Emissions!I157:I172)</f>
        <v>0.86233539878187604</v>
      </c>
      <c r="H53" s="23">
        <f>SUM(Emissions!J157:J172)</f>
        <v>0.79767569260328364</v>
      </c>
      <c r="I53" s="23">
        <f>SUM(Emissions!K157:K172)</f>
        <v>0.83265187632050408</v>
      </c>
      <c r="J53" s="23">
        <f>SUM(Emissions!L157:L172)</f>
        <v>0.79362380821800149</v>
      </c>
      <c r="K53" s="23">
        <f>SUM(Emissions!M157:M172)</f>
        <v>0.84114007394933876</v>
      </c>
      <c r="L53" s="23">
        <f>SUM(Emissions!N157:N172)</f>
        <v>0.88031125752728001</v>
      </c>
      <c r="M53" s="23">
        <f>SUM(Emissions!O157:O172)</f>
        <v>0.87011957060763057</v>
      </c>
      <c r="N53" s="23">
        <f>SUM(Emissions!P157:P172)</f>
        <v>0.89193646472266419</v>
      </c>
      <c r="O53" s="23">
        <f>SUM(Emissions!Q157:Q172)</f>
        <v>0.9018496961695287</v>
      </c>
      <c r="P53" s="23">
        <f>SUM(Emissions!R157:R172)</f>
        <v>1.0051166202071826</v>
      </c>
      <c r="Q53" s="23">
        <f>SUM(Emissions!S157:S172)</f>
        <v>0.99973180096814318</v>
      </c>
      <c r="R53" s="23">
        <f>SUM(Emissions!T157:T172)</f>
        <v>0.96903043616764661</v>
      </c>
      <c r="S53" s="23">
        <f>SUM(Emissions!U157:U172)</f>
        <v>0.91635616897348715</v>
      </c>
      <c r="T53" s="23">
        <f>SUM(Emissions!V157:V172)</f>
        <v>0.91079640284789576</v>
      </c>
      <c r="U53" s="23">
        <f>SUM(Emissions!W157:W172)</f>
        <v>0.96093176336778918</v>
      </c>
      <c r="V53" s="23">
        <f>SUM(Emissions!X157:X172)</f>
        <v>0.97375523430943844</v>
      </c>
      <c r="W53" s="23">
        <f>SUM(Emissions!Y157:Y172)</f>
        <v>0.99293298858543744</v>
      </c>
      <c r="X53" s="23">
        <f>SUM(Emissions!Z157:Z172)</f>
        <v>1.080705672997484</v>
      </c>
      <c r="Y53" s="23">
        <f>SUM(Emissions!AA157:AA172)</f>
        <v>1.0746830477881333</v>
      </c>
      <c r="Z53" s="23">
        <f>SUM(Emissions!AB157:AB172)</f>
        <v>1.0819782799441571</v>
      </c>
      <c r="AA53" s="23">
        <f>SUM(Emissions!AC157:AC172)</f>
        <v>1.0958521266457313</v>
      </c>
      <c r="AB53" s="23">
        <f>SUM(Emissions!AD157:AD172)</f>
        <v>1.0930257706858908</v>
      </c>
      <c r="AC53" s="23">
        <f>SUM(Emissions!AE157:AE172)</f>
        <v>1.1237991512805587</v>
      </c>
      <c r="AD53" s="23">
        <f>SUM(Emissions!AF157:AF172)</f>
        <v>1.1164723148853968</v>
      </c>
      <c r="AE53" s="23">
        <f>SUM(Emissions!AG157:AG172)</f>
        <v>1.1373158531810148</v>
      </c>
      <c r="AF53" s="23">
        <f>SUM(Emissions!AH157:AH172)</f>
        <v>1.1372405425972549</v>
      </c>
      <c r="AG53" s="23">
        <f>SUM(Emissions!AI157:AI172)</f>
        <v>1.1696085471881996</v>
      </c>
      <c r="AH53" s="23">
        <f>SUM(Emissions!AJ157:AJ172)</f>
        <v>1.1557832474804215</v>
      </c>
      <c r="AI53" s="23">
        <f>SUM(Emissions!AK157:AK172)</f>
        <v>1.1676993948051024</v>
      </c>
      <c r="AJ53" s="23">
        <f>SUM(Emissions!AL157:AL172)</f>
        <v>1.1724564306908021</v>
      </c>
      <c r="AK53" s="23">
        <f>SUM(Emissions!AM157:AM172)</f>
        <v>1.1833452011440788</v>
      </c>
      <c r="AL53" s="23">
        <f>SUM(Emissions!AN157:AN172)</f>
        <v>1.194180863242547</v>
      </c>
      <c r="AM53" s="23">
        <f>SUM(Emissions!AO157:AO172)</f>
        <v>1.2050284466739229</v>
      </c>
      <c r="AN53" s="23">
        <f>SUM(Emissions!AP157:AP172)</f>
        <v>1.2158303113673996</v>
      </c>
      <c r="AO53" s="23">
        <f>SUM(Emissions!AQ157:AQ172)</f>
        <v>1.2266852052648531</v>
      </c>
      <c r="AP53" s="23">
        <f>SUM(Emissions!AR157:AR172)</f>
        <v>1.238579881102428</v>
      </c>
      <c r="AQ53" s="23">
        <f>SUM(Emissions!AS157:AS172)</f>
        <v>1.2504604965051389</v>
      </c>
      <c r="AR53" s="23">
        <f>SUM(Emissions!AT157:AT172)</f>
        <v>1.2624128915643524</v>
      </c>
      <c r="AS53" s="23">
        <f>SUM(Emissions!AU157:AU172)</f>
        <v>1.2744185855756998</v>
      </c>
      <c r="AT53" s="23">
        <f>SUM(Emissions!AV157:AV172)</f>
        <v>1.2864824432710471</v>
      </c>
      <c r="AU53" s="23">
        <f>SUM(Emissions!AW157:AW172)</f>
        <v>1.2985362137383789</v>
      </c>
      <c r="AV53" s="23">
        <f>SUM(Emissions!AX157:AX172)</f>
        <v>1.310494361706918</v>
      </c>
      <c r="AW53" s="23">
        <f>SUM(Emissions!AY157:AY172)</f>
        <v>1.3226681857198495</v>
      </c>
      <c r="AX53" s="23">
        <f>SUM(Emissions!AZ157:AZ172)</f>
        <v>1.3349927858015251</v>
      </c>
      <c r="AY53" s="23">
        <f>SUM(Emissions!BA157:BA172)</f>
        <v>1.3474763227820838</v>
      </c>
      <c r="AZ53" s="23">
        <f>SUM(Emissions!BB157:BB172)</f>
        <v>1.3604262916134577</v>
      </c>
      <c r="BA53" s="23">
        <f>SUM(Emissions!BC157:BC172)</f>
        <v>1.3734855819495015</v>
      </c>
      <c r="BB53" s="23">
        <f>SUM(Emissions!BD157:BD172)</f>
        <v>1.3865854846035948</v>
      </c>
      <c r="BC53" s="23">
        <f>SUM(Emissions!BE157:BE172)</f>
        <v>1.399795739929147</v>
      </c>
      <c r="BD53" s="23">
        <f>SUM(Emissions!BF157:BF172)</f>
        <v>1.4131780996047068</v>
      </c>
      <c r="BE53" s="23">
        <f>SUM(Emissions!BG157:BG172)</f>
        <v>1.4281554288100744</v>
      </c>
      <c r="BF53" s="23">
        <f>SUM(Emissions!BH157:BH172)</f>
        <v>1.4432648768125786</v>
      </c>
      <c r="BG53" s="23">
        <f>SUM(Emissions!BI157:BI172)</f>
        <v>1.4584989124591363</v>
      </c>
      <c r="BH53" s="23">
        <f>SUM(Emissions!BJ157:BJ172)</f>
        <v>1.4738761258711022</v>
      </c>
      <c r="BI53" s="23">
        <f>SUM(Emissions!BK157:BK172)</f>
        <v>1.4894702227085408</v>
      </c>
      <c r="BJ53" s="23">
        <f>SUM(Emissions!BL157:BL172)</f>
        <v>1.5048292383454451</v>
      </c>
      <c r="BK53" s="23">
        <f>SUM(Emissions!BM157:BM172)</f>
        <v>1.520375256954229</v>
      </c>
      <c r="BL53" s="23">
        <f>SUM(Emissions!BN157:BN172)</f>
        <v>1.5359681695628054</v>
      </c>
      <c r="BM53" s="23">
        <f>SUM(Emissions!BO157:BO172)</f>
        <v>1.5517650333922419</v>
      </c>
      <c r="BN53" s="23">
        <f>SUM(Emissions!BP157:BP172)</f>
        <v>1.5677828680772643</v>
      </c>
    </row>
    <row r="54" spans="1:72" x14ac:dyDescent="0.25">
      <c r="A54" t="str">
        <f t="shared" ref="A54" si="41">A53</f>
        <v>3C Aggregated and non-CO2 emissions on land</v>
      </c>
      <c r="B54" t="str">
        <f>B53</f>
        <v>3C6 Indirect N2O from manure management (N2O)</v>
      </c>
      <c r="C54" t="str">
        <f>'IPCC Categories'!C81</f>
        <v>Leaching/runoff</v>
      </c>
      <c r="D54" t="str">
        <f t="shared" si="29"/>
        <v>N2O</v>
      </c>
      <c r="E54" t="str">
        <f t="shared" si="30"/>
        <v>Gg N2O</v>
      </c>
      <c r="F54" s="23">
        <f>SUM(Emissions!H173:H188)</f>
        <v>0.30181390908664013</v>
      </c>
      <c r="G54" s="23">
        <f>SUM(Emissions!I173:I188)</f>
        <v>0.3169747345417806</v>
      </c>
      <c r="H54" s="23">
        <f>SUM(Emissions!J173:J188)</f>
        <v>0.2988118778073216</v>
      </c>
      <c r="I54" s="23">
        <f>SUM(Emissions!K173:K188)</f>
        <v>0.30485141350027467</v>
      </c>
      <c r="J54" s="23">
        <f>SUM(Emissions!L173:L188)</f>
        <v>0.29104793542789809</v>
      </c>
      <c r="K54" s="23">
        <f>SUM(Emissions!M173:M188)</f>
        <v>0.30371969931927756</v>
      </c>
      <c r="L54" s="23">
        <f>SUM(Emissions!N173:N188)</f>
        <v>0.31558646671880985</v>
      </c>
      <c r="M54" s="23">
        <f>SUM(Emissions!O173:O188)</f>
        <v>0.31482439856600941</v>
      </c>
      <c r="N54" s="23">
        <f>SUM(Emissions!P173:P188)</f>
        <v>0.32198183633715949</v>
      </c>
      <c r="O54" s="23">
        <f>SUM(Emissions!Q173:Q188)</f>
        <v>0.32480432586798069</v>
      </c>
      <c r="P54" s="23">
        <f>SUM(Emissions!R173:R188)</f>
        <v>0.3520536099615787</v>
      </c>
      <c r="Q54" s="23">
        <f>SUM(Emissions!S173:S188)</f>
        <v>0.34985554487039217</v>
      </c>
      <c r="R54" s="23">
        <f>SUM(Emissions!T173:T188)</f>
        <v>0.34105077884672508</v>
      </c>
      <c r="S54" s="23">
        <f>SUM(Emissions!U173:U188)</f>
        <v>0.32758514535332894</v>
      </c>
      <c r="T54" s="23">
        <f>SUM(Emissions!V173:V188)</f>
        <v>0.32504320331611769</v>
      </c>
      <c r="U54" s="23">
        <f>SUM(Emissions!W173:W188)</f>
        <v>0.33785862644157977</v>
      </c>
      <c r="V54" s="23">
        <f>SUM(Emissions!X173:X188)</f>
        <v>0.34137213437529795</v>
      </c>
      <c r="W54" s="23">
        <f>SUM(Emissions!Y173:Y188)</f>
        <v>0.34826769321972251</v>
      </c>
      <c r="X54" s="23">
        <f>SUM(Emissions!Z173:Z188)</f>
        <v>0.3721583887003278</v>
      </c>
      <c r="Y54" s="23">
        <f>SUM(Emissions!AA173:AA188)</f>
        <v>0.37016471933452583</v>
      </c>
      <c r="Z54" s="23">
        <f>SUM(Emissions!AB173:AB188)</f>
        <v>0.3711678936925738</v>
      </c>
      <c r="AA54" s="23">
        <f>SUM(Emissions!AC173:AC188)</f>
        <v>0.37415602868090186</v>
      </c>
      <c r="AB54" s="23">
        <f>SUM(Emissions!AD173:AD188)</f>
        <v>0.3724549132524595</v>
      </c>
      <c r="AC54" s="23">
        <f>SUM(Emissions!AE173:AE188)</f>
        <v>0.3829840521014552</v>
      </c>
      <c r="AD54" s="23">
        <f>SUM(Emissions!AF173:AF188)</f>
        <v>0.38021235870438086</v>
      </c>
      <c r="AE54" s="23">
        <f>SUM(Emissions!AG173:AG188)</f>
        <v>0.38432285487661905</v>
      </c>
      <c r="AF54" s="23">
        <f>SUM(Emissions!AH173:AH188)</f>
        <v>0.38258597877001682</v>
      </c>
      <c r="AG54" s="23">
        <f>SUM(Emissions!AI173:AI188)</f>
        <v>0.38888073042473659</v>
      </c>
      <c r="AH54" s="23">
        <f>SUM(Emissions!AJ173:AJ188)</f>
        <v>0.38961170134189765</v>
      </c>
      <c r="AI54" s="23">
        <f>SUM(Emissions!AK173:AK188)</f>
        <v>0.39720714336752067</v>
      </c>
      <c r="AJ54" s="23">
        <f>SUM(Emissions!AL173:AL188)</f>
        <v>0.39859530343299487</v>
      </c>
      <c r="AK54" s="23">
        <f>SUM(Emissions!AM173:AM188)</f>
        <v>0.40159411398941031</v>
      </c>
      <c r="AL54" s="23">
        <f>SUM(Emissions!AN173:AN188)</f>
        <v>0.4045789908418993</v>
      </c>
      <c r="AM54" s="23">
        <f>SUM(Emissions!AO173:AO188)</f>
        <v>0.40756699541868879</v>
      </c>
      <c r="AN54" s="23">
        <f>SUM(Emissions!AP173:AP188)</f>
        <v>0.4105430050609663</v>
      </c>
      <c r="AO54" s="23">
        <f>SUM(Emissions!AQ173:AQ188)</f>
        <v>0.4135329276408703</v>
      </c>
      <c r="AP54" s="23">
        <f>SUM(Emissions!AR173:AR188)</f>
        <v>0.41680749238499387</v>
      </c>
      <c r="AQ54" s="23">
        <f>SUM(Emissions!AS173:AS188)</f>
        <v>0.42007836818224015</v>
      </c>
      <c r="AR54" s="23">
        <f>SUM(Emissions!AT173:AT188)</f>
        <v>0.42336807635147644</v>
      </c>
      <c r="AS54" s="23">
        <f>SUM(Emissions!AU173:AU188)</f>
        <v>0.4266717682278266</v>
      </c>
      <c r="AT54" s="23">
        <f>SUM(Emissions!AV173:AV188)</f>
        <v>0.42999072014005296</v>
      </c>
      <c r="AU54" s="23">
        <f>SUM(Emissions!AW173:AW188)</f>
        <v>0.43330180283535535</v>
      </c>
      <c r="AV54" s="23">
        <f>SUM(Emissions!AX173:AX188)</f>
        <v>0.43658779766114486</v>
      </c>
      <c r="AW54" s="23">
        <f>SUM(Emissions!AY173:AY188)</f>
        <v>0.43993037804171925</v>
      </c>
      <c r="AX54" s="23">
        <f>SUM(Emissions!AZ173:AZ188)</f>
        <v>0.44331251657796089</v>
      </c>
      <c r="AY54" s="23">
        <f>SUM(Emissions!BA173:BA188)</f>
        <v>0.44673635437759468</v>
      </c>
      <c r="AZ54" s="23">
        <f>SUM(Emissions!BB173:BB188)</f>
        <v>0.45028840955509564</v>
      </c>
      <c r="BA54" s="23">
        <f>SUM(Emissions!BC173:BC188)</f>
        <v>0.45386914672054102</v>
      </c>
      <c r="BB54" s="23">
        <f>SUM(Emissions!BD173:BD188)</f>
        <v>0.45746053907897571</v>
      </c>
      <c r="BC54" s="23">
        <f>SUM(Emissions!BE173:BE188)</f>
        <v>0.4610808839686486</v>
      </c>
      <c r="BD54" s="23">
        <f>SUM(Emissions!BF173:BF188)</f>
        <v>0.46474638278212616</v>
      </c>
      <c r="BE54" s="23">
        <f>SUM(Emissions!BG173:BG188)</f>
        <v>0.4688522032576603</v>
      </c>
      <c r="BF54" s="23">
        <f>SUM(Emissions!BH173:BH188)</f>
        <v>0.47299268689916169</v>
      </c>
      <c r="BG54" s="23">
        <f>SUM(Emissions!BI173:BI188)</f>
        <v>0.4771658578111328</v>
      </c>
      <c r="BH54" s="23">
        <f>SUM(Emissions!BJ173:BJ188)</f>
        <v>0.4813765933628672</v>
      </c>
      <c r="BI54" s="23">
        <f>SUM(Emissions!BK173:BK188)</f>
        <v>0.48564423123966149</v>
      </c>
      <c r="BJ54" s="23">
        <f>SUM(Emissions!BL173:BL188)</f>
        <v>0.48984396950837644</v>
      </c>
      <c r="BK54" s="23">
        <f>SUM(Emissions!BM173:BM188)</f>
        <v>0.49409277055756828</v>
      </c>
      <c r="BL54" s="23">
        <f>SUM(Emissions!BN173:BN188)</f>
        <v>0.49835387488988175</v>
      </c>
      <c r="BM54" s="23">
        <f>SUM(Emissions!BO173:BO188)</f>
        <v>0.50266848860435265</v>
      </c>
      <c r="BN54" s="23">
        <f>SUM(Emissions!BP173:BP188)</f>
        <v>0.5070410770369278</v>
      </c>
    </row>
    <row r="57" spans="1:72" s="19" customFormat="1" ht="15.75" x14ac:dyDescent="0.25">
      <c r="A57" s="17" t="s">
        <v>8</v>
      </c>
      <c r="B57" s="17" t="s">
        <v>318</v>
      </c>
      <c r="C57" s="17"/>
      <c r="D57" s="17"/>
      <c r="E57" s="17"/>
      <c r="F57" s="17">
        <v>1990</v>
      </c>
      <c r="G57" s="17">
        <v>1991</v>
      </c>
      <c r="H57" s="17">
        <v>1992</v>
      </c>
      <c r="I57" s="17">
        <v>1993</v>
      </c>
      <c r="J57" s="17">
        <v>1994</v>
      </c>
      <c r="K57" s="17">
        <v>1995</v>
      </c>
      <c r="L57" s="17">
        <v>1996</v>
      </c>
      <c r="M57" s="17">
        <v>1997</v>
      </c>
      <c r="N57" s="17">
        <v>1998</v>
      </c>
      <c r="O57" s="17">
        <v>1999</v>
      </c>
      <c r="P57" s="17">
        <v>2000</v>
      </c>
      <c r="Q57" s="17">
        <v>2001</v>
      </c>
      <c r="R57" s="17">
        <v>2002</v>
      </c>
      <c r="S57" s="17">
        <v>2003</v>
      </c>
      <c r="T57" s="17">
        <v>2004</v>
      </c>
      <c r="U57" s="17">
        <v>2005</v>
      </c>
      <c r="V57" s="17">
        <v>2006</v>
      </c>
      <c r="W57" s="17">
        <v>2007</v>
      </c>
      <c r="X57" s="17">
        <v>2008</v>
      </c>
      <c r="Y57" s="17">
        <v>2009</v>
      </c>
      <c r="Z57" s="17">
        <v>2010</v>
      </c>
      <c r="AA57" s="17">
        <v>2011</v>
      </c>
      <c r="AB57" s="17">
        <v>2012</v>
      </c>
      <c r="AC57" s="17">
        <v>2013</v>
      </c>
      <c r="AD57" s="17">
        <v>2014</v>
      </c>
      <c r="AE57" s="17">
        <v>2015</v>
      </c>
      <c r="AF57" s="17">
        <v>2016</v>
      </c>
      <c r="AG57" s="17">
        <v>2017</v>
      </c>
      <c r="AH57" s="17">
        <v>2018</v>
      </c>
      <c r="AI57" s="17">
        <v>2019</v>
      </c>
      <c r="AJ57" s="17">
        <v>2020</v>
      </c>
      <c r="AK57" s="17">
        <v>2021</v>
      </c>
      <c r="AL57" s="17">
        <v>2022</v>
      </c>
      <c r="AM57" s="17">
        <v>2023</v>
      </c>
      <c r="AN57" s="17">
        <v>2024</v>
      </c>
      <c r="AO57" s="17">
        <v>2025</v>
      </c>
      <c r="AP57" s="17">
        <v>2026</v>
      </c>
      <c r="AQ57" s="17">
        <v>2027</v>
      </c>
      <c r="AR57" s="17">
        <v>2028</v>
      </c>
      <c r="AS57" s="17">
        <v>2029</v>
      </c>
      <c r="AT57" s="17">
        <v>2030</v>
      </c>
      <c r="AU57" s="17">
        <v>2031</v>
      </c>
      <c r="AV57" s="17">
        <v>2032</v>
      </c>
      <c r="AW57" s="17">
        <v>2033</v>
      </c>
      <c r="AX57" s="17">
        <v>2034</v>
      </c>
      <c r="AY57" s="17">
        <v>2035</v>
      </c>
      <c r="AZ57" s="17">
        <v>2036</v>
      </c>
      <c r="BA57" s="17">
        <v>2037</v>
      </c>
      <c r="BB57" s="17">
        <v>2038</v>
      </c>
      <c r="BC57" s="17">
        <v>2039</v>
      </c>
      <c r="BD57" s="17">
        <v>2040</v>
      </c>
      <c r="BE57" s="17">
        <v>2041</v>
      </c>
      <c r="BF57" s="17">
        <v>2042</v>
      </c>
      <c r="BG57" s="17">
        <v>2043</v>
      </c>
      <c r="BH57" s="17">
        <v>2044</v>
      </c>
      <c r="BI57" s="17">
        <v>2045</v>
      </c>
      <c r="BJ57" s="17">
        <v>2046</v>
      </c>
      <c r="BK57" s="17">
        <v>2047</v>
      </c>
      <c r="BL57" s="17">
        <v>2048</v>
      </c>
      <c r="BM57" s="17">
        <v>2049</v>
      </c>
      <c r="BN57" s="17">
        <v>2050</v>
      </c>
      <c r="BO57" s="17"/>
      <c r="BP57" s="17"/>
      <c r="BQ57" s="17"/>
      <c r="BR57" s="17"/>
      <c r="BS57" s="17"/>
      <c r="BT57" s="17"/>
    </row>
    <row r="58" spans="1:72" x14ac:dyDescent="0.25">
      <c r="A58" t="str">
        <f>A4</f>
        <v>3A Livestock</v>
      </c>
      <c r="B58" t="str">
        <f t="shared" ref="B58:D58" si="42">B4</f>
        <v>3A1 Enteric fermentation (CH4)</v>
      </c>
      <c r="C58" t="s">
        <v>715</v>
      </c>
      <c r="D58" t="str">
        <f t="shared" si="42"/>
        <v>CH4</v>
      </c>
      <c r="E58" t="s">
        <v>714</v>
      </c>
      <c r="F58" s="23">
        <f t="shared" ref="F58:AK58" si="43">F4*CH4GWP</f>
        <v>27887.85112455436</v>
      </c>
      <c r="G58" s="23">
        <f t="shared" si="43"/>
        <v>28052.95424476856</v>
      </c>
      <c r="H58" s="23">
        <f t="shared" si="43"/>
        <v>27441.217435183567</v>
      </c>
      <c r="I58" s="23">
        <f t="shared" si="43"/>
        <v>26581.05994030408</v>
      </c>
      <c r="J58" s="23">
        <f t="shared" si="43"/>
        <v>25774.563793534111</v>
      </c>
      <c r="K58" s="23">
        <f t="shared" si="43"/>
        <v>26067.705926599345</v>
      </c>
      <c r="L58" s="23">
        <f t="shared" si="43"/>
        <v>26722.834982572273</v>
      </c>
      <c r="M58" s="23">
        <f t="shared" si="43"/>
        <v>27148.993723921943</v>
      </c>
      <c r="N58" s="23">
        <f t="shared" si="43"/>
        <v>27518.798403844699</v>
      </c>
      <c r="O58" s="23">
        <f t="shared" si="43"/>
        <v>27480.068184836913</v>
      </c>
      <c r="P58" s="23">
        <f t="shared" si="43"/>
        <v>27554.219807136677</v>
      </c>
      <c r="Q58" s="23">
        <f t="shared" si="43"/>
        <v>27355.95746628254</v>
      </c>
      <c r="R58" s="23">
        <f t="shared" si="43"/>
        <v>26716.740856961191</v>
      </c>
      <c r="S58" s="23">
        <f t="shared" si="43"/>
        <v>26637.476489992478</v>
      </c>
      <c r="T58" s="23">
        <f t="shared" si="43"/>
        <v>26374.852623436884</v>
      </c>
      <c r="U58" s="23">
        <f t="shared" si="43"/>
        <v>26533.412575204307</v>
      </c>
      <c r="V58" s="23">
        <f t="shared" si="43"/>
        <v>26410.698013112593</v>
      </c>
      <c r="W58" s="23">
        <f t="shared" si="43"/>
        <v>26955.917556178629</v>
      </c>
      <c r="X58" s="23">
        <f t="shared" si="43"/>
        <v>27407.444385583316</v>
      </c>
      <c r="Y58" s="23">
        <f t="shared" si="43"/>
        <v>27291.288746937418</v>
      </c>
      <c r="Z58" s="23">
        <f t="shared" si="43"/>
        <v>27077.0700941676</v>
      </c>
      <c r="AA58" s="23">
        <f t="shared" si="43"/>
        <v>26920.982021071421</v>
      </c>
      <c r="AB58" s="23">
        <f t="shared" si="43"/>
        <v>27469.076503124114</v>
      </c>
      <c r="AC58" s="23">
        <f t="shared" si="43"/>
        <v>27304.760847607151</v>
      </c>
      <c r="AD58" s="23">
        <f t="shared" si="43"/>
        <v>27103.533249424239</v>
      </c>
      <c r="AE58" s="23">
        <f t="shared" si="43"/>
        <v>26779.377143924692</v>
      </c>
      <c r="AF58" s="23">
        <f t="shared" si="43"/>
        <v>26271.294216726048</v>
      </c>
      <c r="AG58" s="23">
        <f t="shared" si="43"/>
        <v>25739.24076826543</v>
      </c>
      <c r="AH58" s="23">
        <f t="shared" si="43"/>
        <v>26979.240392504562</v>
      </c>
      <c r="AI58" s="23">
        <f t="shared" si="43"/>
        <v>27845.684012346828</v>
      </c>
      <c r="AJ58" s="23">
        <f t="shared" si="43"/>
        <v>27875.278038756765</v>
      </c>
      <c r="AK58" s="23">
        <f t="shared" si="43"/>
        <v>27920.645783751799</v>
      </c>
      <c r="AL58" s="23">
        <f t="shared" ref="AL58:BN58" si="44">AL4*CH4GWP</f>
        <v>27965.87410142969</v>
      </c>
      <c r="AM58" s="23">
        <f t="shared" si="44"/>
        <v>28011.127582231569</v>
      </c>
      <c r="AN58" s="23">
        <f t="shared" si="44"/>
        <v>28056.2611718076</v>
      </c>
      <c r="AO58" s="23">
        <f t="shared" si="44"/>
        <v>28101.523654600423</v>
      </c>
      <c r="AP58" s="23">
        <f t="shared" si="44"/>
        <v>28150.893215586013</v>
      </c>
      <c r="AQ58" s="23">
        <f t="shared" si="44"/>
        <v>28200.221325815055</v>
      </c>
      <c r="AR58" s="23">
        <f t="shared" si="44"/>
        <v>28249.72315597034</v>
      </c>
      <c r="AS58" s="23">
        <f t="shared" si="44"/>
        <v>28299.35195562246</v>
      </c>
      <c r="AT58" s="23">
        <f t="shared" si="44"/>
        <v>28349.119514829454</v>
      </c>
      <c r="AU58" s="23">
        <f t="shared" si="44"/>
        <v>28398.187103431752</v>
      </c>
      <c r="AV58" s="23">
        <f t="shared" si="44"/>
        <v>28447.008109347498</v>
      </c>
      <c r="AW58" s="23">
        <f t="shared" si="44"/>
        <v>28496.357816268774</v>
      </c>
      <c r="AX58" s="23">
        <f t="shared" si="44"/>
        <v>28546.073288904598</v>
      </c>
      <c r="AY58" s="23">
        <f t="shared" si="44"/>
        <v>28596.173680628974</v>
      </c>
      <c r="AZ58" s="23">
        <f t="shared" si="44"/>
        <v>28648.172715140045</v>
      </c>
      <c r="BA58" s="23">
        <f t="shared" si="44"/>
        <v>28700.431873710975</v>
      </c>
      <c r="BB58" s="23">
        <f t="shared" si="44"/>
        <v>28752.780617350276</v>
      </c>
      <c r="BC58" s="23">
        <f t="shared" si="44"/>
        <v>28805.391103805265</v>
      </c>
      <c r="BD58" s="23">
        <f t="shared" si="44"/>
        <v>28858.415010654822</v>
      </c>
      <c r="BE58" s="23">
        <f t="shared" si="44"/>
        <v>28918.192307399717</v>
      </c>
      <c r="BF58" s="23">
        <f t="shared" si="44"/>
        <v>28978.281625303189</v>
      </c>
      <c r="BG58" s="23">
        <f t="shared" si="44"/>
        <v>29038.66364179186</v>
      </c>
      <c r="BH58" s="23">
        <f t="shared" si="44"/>
        <v>29099.383268838628</v>
      </c>
      <c r="BI58" s="23">
        <f t="shared" si="44"/>
        <v>29160.620355987459</v>
      </c>
      <c r="BJ58" s="23">
        <f t="shared" si="44"/>
        <v>29220.453965387278</v>
      </c>
      <c r="BK58" s="23">
        <f t="shared" si="44"/>
        <v>29280.729658040855</v>
      </c>
      <c r="BL58" s="23">
        <f t="shared" si="44"/>
        <v>29341.103987164432</v>
      </c>
      <c r="BM58" s="23">
        <f t="shared" si="44"/>
        <v>29401.960383159138</v>
      </c>
      <c r="BN58" s="23">
        <f t="shared" si="44"/>
        <v>29463.339197565292</v>
      </c>
    </row>
    <row r="59" spans="1:72" x14ac:dyDescent="0.25">
      <c r="A59" t="str">
        <f>A11</f>
        <v>3A Livestock</v>
      </c>
      <c r="B59" t="str">
        <f t="shared" ref="B59:D59" si="45">B11</f>
        <v>3A2 Manure management (CH4)</v>
      </c>
      <c r="C59" t="s">
        <v>716</v>
      </c>
      <c r="D59" t="str">
        <f t="shared" si="45"/>
        <v>CH4</v>
      </c>
      <c r="E59" t="s">
        <v>714</v>
      </c>
      <c r="F59" s="23">
        <f t="shared" ref="F59:AK59" si="46">F11*CH4GWP</f>
        <v>666.06204934001551</v>
      </c>
      <c r="G59" s="23">
        <f t="shared" si="46"/>
        <v>732.12436901914043</v>
      </c>
      <c r="H59" s="23">
        <f t="shared" si="46"/>
        <v>700.56680996537909</v>
      </c>
      <c r="I59" s="23">
        <f t="shared" si="46"/>
        <v>712.45688981398314</v>
      </c>
      <c r="J59" s="23">
        <f t="shared" si="46"/>
        <v>673.84019056197121</v>
      </c>
      <c r="K59" s="23">
        <f t="shared" si="46"/>
        <v>693.75148778351172</v>
      </c>
      <c r="L59" s="23">
        <f t="shared" si="46"/>
        <v>735.0532688951846</v>
      </c>
      <c r="M59" s="23">
        <f t="shared" si="46"/>
        <v>726.81306453403101</v>
      </c>
      <c r="N59" s="23">
        <f t="shared" si="46"/>
        <v>739.05090449418776</v>
      </c>
      <c r="O59" s="23">
        <f t="shared" si="46"/>
        <v>751.5428196938949</v>
      </c>
      <c r="P59" s="23">
        <f t="shared" si="46"/>
        <v>762.61798038874713</v>
      </c>
      <c r="Q59" s="23">
        <f t="shared" si="46"/>
        <v>770.037342974083</v>
      </c>
      <c r="R59" s="23">
        <f t="shared" si="46"/>
        <v>755.58203891254311</v>
      </c>
      <c r="S59" s="23">
        <f t="shared" si="46"/>
        <v>721.75143456019089</v>
      </c>
      <c r="T59" s="23">
        <f t="shared" si="46"/>
        <v>716.67484725890722</v>
      </c>
      <c r="U59" s="23">
        <f t="shared" si="46"/>
        <v>729.32337712122808</v>
      </c>
      <c r="V59" s="23">
        <f t="shared" si="46"/>
        <v>720.68997500480248</v>
      </c>
      <c r="W59" s="23">
        <f t="shared" si="46"/>
        <v>731.3640552803688</v>
      </c>
      <c r="X59" s="23">
        <f t="shared" si="46"/>
        <v>761.56334487642721</v>
      </c>
      <c r="Y59" s="23">
        <f t="shared" si="46"/>
        <v>763.39480303850974</v>
      </c>
      <c r="Z59" s="23">
        <f t="shared" si="46"/>
        <v>759.25274923515042</v>
      </c>
      <c r="AA59" s="23">
        <f t="shared" si="46"/>
        <v>751.41115031540085</v>
      </c>
      <c r="AB59" s="23">
        <f t="shared" si="46"/>
        <v>744.38511314864274</v>
      </c>
      <c r="AC59" s="23">
        <f t="shared" si="46"/>
        <v>757.82655552186191</v>
      </c>
      <c r="AD59" s="23">
        <f t="shared" si="46"/>
        <v>744.22285854115205</v>
      </c>
      <c r="AE59" s="23">
        <f t="shared" si="46"/>
        <v>737.34059398935415</v>
      </c>
      <c r="AF59" s="23">
        <f t="shared" si="46"/>
        <v>738.42694788516951</v>
      </c>
      <c r="AG59" s="23">
        <f t="shared" si="46"/>
        <v>745.04487421960675</v>
      </c>
      <c r="AH59" s="23">
        <f t="shared" si="46"/>
        <v>748.75282808729946</v>
      </c>
      <c r="AI59" s="23">
        <f t="shared" si="46"/>
        <v>750.17872337648419</v>
      </c>
      <c r="AJ59" s="23">
        <f t="shared" si="46"/>
        <v>752.40132015299946</v>
      </c>
      <c r="AK59" s="23">
        <f t="shared" si="46"/>
        <v>753.52465876935548</v>
      </c>
      <c r="AL59" s="23">
        <f t="shared" ref="AL59:BN59" si="47">AL11*CH4GWP</f>
        <v>754.65788096336973</v>
      </c>
      <c r="AM59" s="23">
        <f t="shared" si="47"/>
        <v>755.78887999229153</v>
      </c>
      <c r="AN59" s="23">
        <f t="shared" si="47"/>
        <v>756.92838752645548</v>
      </c>
      <c r="AO59" s="23">
        <f t="shared" si="47"/>
        <v>758.05801852582749</v>
      </c>
      <c r="AP59" s="23">
        <f t="shared" si="47"/>
        <v>759.25679446510969</v>
      </c>
      <c r="AQ59" s="23">
        <f t="shared" si="47"/>
        <v>760.45818371869518</v>
      </c>
      <c r="AR59" s="23">
        <f t="shared" si="47"/>
        <v>761.64620358486809</v>
      </c>
      <c r="AS59" s="23">
        <f t="shared" si="47"/>
        <v>762.82429469803708</v>
      </c>
      <c r="AT59" s="23">
        <f t="shared" si="47"/>
        <v>763.99155098528877</v>
      </c>
      <c r="AU59" s="23">
        <f t="shared" si="47"/>
        <v>765.04478978736961</v>
      </c>
      <c r="AV59" s="23">
        <f t="shared" si="47"/>
        <v>766.11582750514435</v>
      </c>
      <c r="AW59" s="23">
        <f t="shared" si="47"/>
        <v>767.14669934311019</v>
      </c>
      <c r="AX59" s="23">
        <f t="shared" si="47"/>
        <v>768.14948882493013</v>
      </c>
      <c r="AY59" s="23">
        <f t="shared" si="47"/>
        <v>769.12267556074346</v>
      </c>
      <c r="AZ59" s="23">
        <f t="shared" si="47"/>
        <v>770.13865002124089</v>
      </c>
      <c r="BA59" s="23">
        <f t="shared" si="47"/>
        <v>771.1342593863252</v>
      </c>
      <c r="BB59" s="23">
        <f t="shared" si="47"/>
        <v>772.12229792823348</v>
      </c>
      <c r="BC59" s="23">
        <f t="shared" si="47"/>
        <v>773.08977871892739</v>
      </c>
      <c r="BD59" s="23">
        <f t="shared" si="47"/>
        <v>774.02520174157178</v>
      </c>
      <c r="BE59" s="23">
        <f t="shared" si="47"/>
        <v>775.14868638816233</v>
      </c>
      <c r="BF59" s="23">
        <f t="shared" si="47"/>
        <v>776.24755731109406</v>
      </c>
      <c r="BG59" s="23">
        <f t="shared" si="47"/>
        <v>777.32321653242013</v>
      </c>
      <c r="BH59" s="23">
        <f t="shared" si="47"/>
        <v>778.37220141449529</v>
      </c>
      <c r="BI59" s="23">
        <f t="shared" si="47"/>
        <v>779.38078493339594</v>
      </c>
      <c r="BJ59" s="23">
        <f t="shared" si="47"/>
        <v>780.29504108511981</v>
      </c>
      <c r="BK59" s="23">
        <f t="shared" si="47"/>
        <v>781.17445900714722</v>
      </c>
      <c r="BL59" s="23">
        <f t="shared" si="47"/>
        <v>782.04513164188768</v>
      </c>
      <c r="BM59" s="23">
        <f t="shared" si="47"/>
        <v>782.8778085070303</v>
      </c>
      <c r="BN59" s="23">
        <f t="shared" si="47"/>
        <v>783.66931902775559</v>
      </c>
    </row>
    <row r="60" spans="1:72" x14ac:dyDescent="0.25">
      <c r="A60" t="str">
        <f>A19</f>
        <v>3A Livestock</v>
      </c>
      <c r="B60" t="str">
        <f t="shared" ref="B60:D60" si="48">B19</f>
        <v>3A2 Manure management (N2O)</v>
      </c>
      <c r="C60" t="s">
        <v>717</v>
      </c>
      <c r="D60" t="str">
        <f t="shared" si="48"/>
        <v>N2O</v>
      </c>
      <c r="E60" t="s">
        <v>714</v>
      </c>
      <c r="F60" s="23">
        <f t="shared" ref="F60:AK60" si="49">F19*N2OGWP</f>
        <v>1255.1652754869137</v>
      </c>
      <c r="G60" s="23">
        <f t="shared" si="49"/>
        <v>1258.0143640040135</v>
      </c>
      <c r="H60" s="23">
        <f t="shared" si="49"/>
        <v>1225.2163625655207</v>
      </c>
      <c r="I60" s="23">
        <f t="shared" si="49"/>
        <v>1236.3224727966381</v>
      </c>
      <c r="J60" s="23">
        <f t="shared" si="49"/>
        <v>1196.4788414758145</v>
      </c>
      <c r="K60" s="23">
        <f t="shared" si="49"/>
        <v>1241.7643864691374</v>
      </c>
      <c r="L60" s="23">
        <f t="shared" si="49"/>
        <v>1306.5378094378329</v>
      </c>
      <c r="M60" s="23">
        <f t="shared" si="49"/>
        <v>1321.5734657862276</v>
      </c>
      <c r="N60" s="23">
        <f t="shared" si="49"/>
        <v>1372.8496560471892</v>
      </c>
      <c r="O60" s="23">
        <f t="shared" si="49"/>
        <v>1397.6106559713833</v>
      </c>
      <c r="P60" s="23">
        <f t="shared" si="49"/>
        <v>1437.1521613218097</v>
      </c>
      <c r="Q60" s="23">
        <f t="shared" si="49"/>
        <v>1420.7532667016601</v>
      </c>
      <c r="R60" s="23">
        <f t="shared" si="49"/>
        <v>1453.9931240925632</v>
      </c>
      <c r="S60" s="23">
        <f t="shared" si="49"/>
        <v>1423.6012907024699</v>
      </c>
      <c r="T60" s="23">
        <f t="shared" si="49"/>
        <v>1426.753610882653</v>
      </c>
      <c r="U60" s="23">
        <f t="shared" si="49"/>
        <v>1477.1488035237094</v>
      </c>
      <c r="V60" s="23">
        <f t="shared" si="49"/>
        <v>1517.6310373242886</v>
      </c>
      <c r="W60" s="23">
        <f t="shared" si="49"/>
        <v>1563.8037591101804</v>
      </c>
      <c r="X60" s="23">
        <f t="shared" si="49"/>
        <v>1600.9778867790778</v>
      </c>
      <c r="Y60" s="23">
        <f t="shared" si="49"/>
        <v>1570.3300471621321</v>
      </c>
      <c r="Z60" s="23">
        <f t="shared" si="49"/>
        <v>1579.8471445717203</v>
      </c>
      <c r="AA60" s="23">
        <f t="shared" si="49"/>
        <v>1630.4753358386679</v>
      </c>
      <c r="AB60" s="23">
        <f t="shared" si="49"/>
        <v>1642.380071341656</v>
      </c>
      <c r="AC60" s="23">
        <f t="shared" si="49"/>
        <v>1665.2529259483606</v>
      </c>
      <c r="AD60" s="23">
        <f t="shared" si="49"/>
        <v>1689.0522689610332</v>
      </c>
      <c r="AE60" s="23">
        <f t="shared" si="49"/>
        <v>1715.6363953919295</v>
      </c>
      <c r="AF60" s="23">
        <f t="shared" si="49"/>
        <v>1681.005662815563</v>
      </c>
      <c r="AG60" s="23">
        <f t="shared" si="49"/>
        <v>1676.8760997516429</v>
      </c>
      <c r="AH60" s="23">
        <f t="shared" si="49"/>
        <v>1735.5268772397542</v>
      </c>
      <c r="AI60" s="23">
        <f t="shared" si="49"/>
        <v>1782.5050801782247</v>
      </c>
      <c r="AJ60" s="23">
        <f t="shared" si="49"/>
        <v>1792.8710825054216</v>
      </c>
      <c r="AK60" s="23">
        <f t="shared" si="49"/>
        <v>1811.0720748336689</v>
      </c>
      <c r="AL60" s="23">
        <f t="shared" ref="AL60:BN60" si="50">AL19*N2OGWP</f>
        <v>1829.2057171711849</v>
      </c>
      <c r="AM60" s="23">
        <f t="shared" si="50"/>
        <v>1847.354477670377</v>
      </c>
      <c r="AN60" s="23">
        <f t="shared" si="50"/>
        <v>1865.4452594790546</v>
      </c>
      <c r="AO60" s="23">
        <f t="shared" si="50"/>
        <v>1883.6032909025184</v>
      </c>
      <c r="AP60" s="23">
        <f t="shared" si="50"/>
        <v>1903.4462171263463</v>
      </c>
      <c r="AQ60" s="23">
        <f t="shared" si="50"/>
        <v>1923.2713124642198</v>
      </c>
      <c r="AR60" s="23">
        <f t="shared" si="50"/>
        <v>1943.1874359161839</v>
      </c>
      <c r="AS60" s="23">
        <f t="shared" si="50"/>
        <v>1963.1711509857746</v>
      </c>
      <c r="AT60" s="23">
        <f t="shared" si="50"/>
        <v>1983.2286269330436</v>
      </c>
      <c r="AU60" s="23">
        <f t="shared" si="50"/>
        <v>2003.1117565591283</v>
      </c>
      <c r="AV60" s="23">
        <f t="shared" si="50"/>
        <v>2022.8736214428993</v>
      </c>
      <c r="AW60" s="23">
        <f t="shared" si="50"/>
        <v>2042.9089982150176</v>
      </c>
      <c r="AX60" s="23">
        <f t="shared" si="50"/>
        <v>2063.1355831377045</v>
      </c>
      <c r="AY60" s="23">
        <f t="shared" si="50"/>
        <v>2083.5637255332122</v>
      </c>
      <c r="AZ60" s="23">
        <f t="shared" si="50"/>
        <v>2104.7641085828045</v>
      </c>
      <c r="BA60" s="23">
        <f t="shared" si="50"/>
        <v>2126.1031288296813</v>
      </c>
      <c r="BB60" s="23">
        <f t="shared" si="50"/>
        <v>2147.4936519268304</v>
      </c>
      <c r="BC60" s="23">
        <f t="shared" si="50"/>
        <v>2169.0241199871712</v>
      </c>
      <c r="BD60" s="23">
        <f t="shared" si="50"/>
        <v>2190.7728439597208</v>
      </c>
      <c r="BE60" s="23">
        <f t="shared" si="50"/>
        <v>2215.2204315690815</v>
      </c>
      <c r="BF60" s="23">
        <f t="shared" si="50"/>
        <v>2239.8355669169759</v>
      </c>
      <c r="BG60" s="23">
        <f t="shared" si="50"/>
        <v>2264.6086994558473</v>
      </c>
      <c r="BH60" s="23">
        <f t="shared" si="50"/>
        <v>2289.5634043593654</v>
      </c>
      <c r="BI60" s="23">
        <f t="shared" si="50"/>
        <v>2314.7931522229674</v>
      </c>
      <c r="BJ60" s="23">
        <f t="shared" si="50"/>
        <v>2339.5322874941326</v>
      </c>
      <c r="BK60" s="23">
        <f t="shared" si="50"/>
        <v>2364.508572518987</v>
      </c>
      <c r="BL60" s="23">
        <f t="shared" si="50"/>
        <v>2389.544326735961</v>
      </c>
      <c r="BM60" s="23">
        <f t="shared" si="50"/>
        <v>2414.8387237228553</v>
      </c>
      <c r="BN60" s="23">
        <f t="shared" si="50"/>
        <v>2440.413347186623</v>
      </c>
    </row>
    <row r="61" spans="1:72" x14ac:dyDescent="0.25">
      <c r="A61" t="str">
        <f>A27</f>
        <v>3C Aggregated and non-CO2 emissions on land</v>
      </c>
      <c r="B61" t="str">
        <f t="shared" ref="B61:D61" si="51">B27</f>
        <v>3C1 Biomass burning (CH4)</v>
      </c>
      <c r="C61" t="s">
        <v>718</v>
      </c>
      <c r="D61" t="str">
        <f t="shared" si="51"/>
        <v>CH4</v>
      </c>
      <c r="E61" t="s">
        <v>714</v>
      </c>
      <c r="F61" s="23">
        <f t="shared" ref="F61:AK61" si="52">F27*CH4GWP</f>
        <v>1113.9523335609101</v>
      </c>
      <c r="G61" s="23">
        <f t="shared" si="52"/>
        <v>1113.9523335609101</v>
      </c>
      <c r="H61" s="23">
        <f t="shared" si="52"/>
        <v>1113.9523335609101</v>
      </c>
      <c r="I61" s="23">
        <f t="shared" si="52"/>
        <v>1113.9523335609101</v>
      </c>
      <c r="J61" s="23">
        <f t="shared" si="52"/>
        <v>1113.9523335609101</v>
      </c>
      <c r="K61" s="23">
        <f t="shared" si="52"/>
        <v>1113.9523335609101</v>
      </c>
      <c r="L61" s="23">
        <f t="shared" si="52"/>
        <v>1113.9523335609101</v>
      </c>
      <c r="M61" s="23">
        <f t="shared" si="52"/>
        <v>1113.9523335609101</v>
      </c>
      <c r="N61" s="23">
        <f t="shared" si="52"/>
        <v>1113.9523335609101</v>
      </c>
      <c r="O61" s="23">
        <f t="shared" si="52"/>
        <v>1113.9523335609101</v>
      </c>
      <c r="P61" s="23">
        <f t="shared" si="52"/>
        <v>1103.4776992955053</v>
      </c>
      <c r="Q61" s="23">
        <f t="shared" si="52"/>
        <v>1282.5517441798665</v>
      </c>
      <c r="R61" s="23">
        <f t="shared" si="52"/>
        <v>1288.9176046937982</v>
      </c>
      <c r="S61" s="23">
        <f t="shared" si="52"/>
        <v>1011.4345809085878</v>
      </c>
      <c r="T61" s="23">
        <f t="shared" si="52"/>
        <v>883.38003872679235</v>
      </c>
      <c r="U61" s="23">
        <f t="shared" si="52"/>
        <v>1412.334298727088</v>
      </c>
      <c r="V61" s="23">
        <f t="shared" si="52"/>
        <v>1236.8838978672777</v>
      </c>
      <c r="W61" s="23">
        <f t="shared" si="52"/>
        <v>1218.5771221263838</v>
      </c>
      <c r="X61" s="23">
        <f t="shared" si="52"/>
        <v>1139.8644942847</v>
      </c>
      <c r="Y61" s="23">
        <f t="shared" si="52"/>
        <v>1078.8713756473658</v>
      </c>
      <c r="Z61" s="23">
        <f t="shared" si="52"/>
        <v>1107.055106514</v>
      </c>
      <c r="AA61" s="23">
        <f t="shared" si="52"/>
        <v>1093.3943713178221</v>
      </c>
      <c r="AB61" s="23">
        <f t="shared" si="52"/>
        <v>1003.5637069444559</v>
      </c>
      <c r="AC61" s="23">
        <f t="shared" si="52"/>
        <v>949.58031288518987</v>
      </c>
      <c r="AD61" s="23">
        <f t="shared" si="52"/>
        <v>1016.956735075512</v>
      </c>
      <c r="AE61" s="23">
        <f t="shared" si="52"/>
        <v>737.86776841461585</v>
      </c>
      <c r="AF61" s="23">
        <f t="shared" si="52"/>
        <v>446.18919850209591</v>
      </c>
      <c r="AG61" s="23">
        <f t="shared" si="52"/>
        <v>416.70692080806589</v>
      </c>
      <c r="AH61" s="23">
        <f t="shared" si="52"/>
        <v>1146.1124121127225</v>
      </c>
      <c r="AI61" s="23">
        <f t="shared" si="52"/>
        <v>1153.1246026485426</v>
      </c>
      <c r="AJ61" s="23">
        <f t="shared" si="52"/>
        <v>1160.1367931843633</v>
      </c>
      <c r="AK61" s="23">
        <f t="shared" si="52"/>
        <v>1167.1489837201832</v>
      </c>
      <c r="AL61" s="23">
        <f t="shared" ref="AL61:BN61" si="53">AL27*CH4GWP</f>
        <v>1174.1611742560035</v>
      </c>
      <c r="AM61" s="23">
        <f t="shared" si="53"/>
        <v>1181.1733647918238</v>
      </c>
      <c r="AN61" s="23">
        <f t="shared" si="53"/>
        <v>1188.1855553276441</v>
      </c>
      <c r="AO61" s="23">
        <f t="shared" si="53"/>
        <v>1195.1977458634644</v>
      </c>
      <c r="AP61" s="23">
        <f t="shared" si="53"/>
        <v>1202.2099363992847</v>
      </c>
      <c r="AQ61" s="23">
        <f t="shared" si="53"/>
        <v>1209.2221269351051</v>
      </c>
      <c r="AR61" s="23">
        <f t="shared" si="53"/>
        <v>1216.2343174709251</v>
      </c>
      <c r="AS61" s="23">
        <f t="shared" si="53"/>
        <v>1223.2465080067454</v>
      </c>
      <c r="AT61" s="23">
        <f t="shared" si="53"/>
        <v>1230.2586985425658</v>
      </c>
      <c r="AU61" s="23">
        <f t="shared" si="53"/>
        <v>1237.2708890783865</v>
      </c>
      <c r="AV61" s="23">
        <f t="shared" si="53"/>
        <v>1244.2830796142066</v>
      </c>
      <c r="AW61" s="23">
        <f t="shared" si="53"/>
        <v>1251.2952701500269</v>
      </c>
      <c r="AX61" s="23">
        <f t="shared" si="53"/>
        <v>1258.3074606858472</v>
      </c>
      <c r="AY61" s="23">
        <f t="shared" si="53"/>
        <v>1265.3196512216678</v>
      </c>
      <c r="AZ61" s="23">
        <f t="shared" si="53"/>
        <v>1272.3318417574881</v>
      </c>
      <c r="BA61" s="23">
        <f t="shared" si="53"/>
        <v>1279.3440322933086</v>
      </c>
      <c r="BB61" s="23">
        <f t="shared" si="53"/>
        <v>1286.3562228291289</v>
      </c>
      <c r="BC61" s="23">
        <f t="shared" si="53"/>
        <v>1293.3684133649492</v>
      </c>
      <c r="BD61" s="23">
        <f t="shared" si="53"/>
        <v>1300.3806039007698</v>
      </c>
      <c r="BE61" s="23">
        <f t="shared" si="53"/>
        <v>1307.3927944365903</v>
      </c>
      <c r="BF61" s="23">
        <f t="shared" si="53"/>
        <v>1314.4049849724106</v>
      </c>
      <c r="BG61" s="23">
        <f t="shared" si="53"/>
        <v>1321.4171755082309</v>
      </c>
      <c r="BH61" s="23">
        <f t="shared" si="53"/>
        <v>1328.4293660440512</v>
      </c>
      <c r="BI61" s="23">
        <f t="shared" si="53"/>
        <v>1335.4415565798715</v>
      </c>
      <c r="BJ61" s="23">
        <f t="shared" si="53"/>
        <v>1342.4537471156923</v>
      </c>
      <c r="BK61" s="23">
        <f t="shared" si="53"/>
        <v>1349.4659376515126</v>
      </c>
      <c r="BL61" s="23">
        <f t="shared" si="53"/>
        <v>1356.4781281873329</v>
      </c>
      <c r="BM61" s="23">
        <f t="shared" si="53"/>
        <v>1363.490318723153</v>
      </c>
      <c r="BN61" s="23">
        <f t="shared" si="53"/>
        <v>1370.5025092589733</v>
      </c>
    </row>
    <row r="62" spans="1:72" x14ac:dyDescent="0.25">
      <c r="A62" t="str">
        <f>A34</f>
        <v>3C Aggregated and non-CO2 emissions on land</v>
      </c>
      <c r="B62" t="str">
        <f t="shared" ref="B62:D62" si="54">B34</f>
        <v>3C1 Biomass burning (N2O)</v>
      </c>
      <c r="C62" t="s">
        <v>719</v>
      </c>
      <c r="D62" t="str">
        <f t="shared" si="54"/>
        <v>N2O</v>
      </c>
      <c r="E62" t="s">
        <v>714</v>
      </c>
      <c r="F62" s="23">
        <f t="shared" ref="F62:AK62" si="55">F34*N2OGWP</f>
        <v>1149.3522600947301</v>
      </c>
      <c r="G62" s="23">
        <f t="shared" si="55"/>
        <v>1149.3522600947301</v>
      </c>
      <c r="H62" s="23">
        <f t="shared" si="55"/>
        <v>1149.3522600947301</v>
      </c>
      <c r="I62" s="23">
        <f t="shared" si="55"/>
        <v>1149.3522600947301</v>
      </c>
      <c r="J62" s="23">
        <f t="shared" si="55"/>
        <v>1149.3522600947301</v>
      </c>
      <c r="K62" s="23">
        <f t="shared" si="55"/>
        <v>1149.3522600947301</v>
      </c>
      <c r="L62" s="23">
        <f t="shared" si="55"/>
        <v>1149.3522600947301</v>
      </c>
      <c r="M62" s="23">
        <f t="shared" si="55"/>
        <v>1149.3522600947301</v>
      </c>
      <c r="N62" s="23">
        <f t="shared" si="55"/>
        <v>1149.3522600947301</v>
      </c>
      <c r="O62" s="23">
        <f t="shared" si="55"/>
        <v>1149.3522600947301</v>
      </c>
      <c r="P62" s="23">
        <f t="shared" si="55"/>
        <v>1138.2881924240246</v>
      </c>
      <c r="Q62" s="23">
        <f t="shared" si="55"/>
        <v>1347.8625366593228</v>
      </c>
      <c r="R62" s="23">
        <f t="shared" si="55"/>
        <v>1328.3690110437451</v>
      </c>
      <c r="S62" s="23">
        <f t="shared" si="55"/>
        <v>1017.5651134275211</v>
      </c>
      <c r="T62" s="23">
        <f t="shared" si="55"/>
        <v>914.67644691903695</v>
      </c>
      <c r="U62" s="23">
        <f t="shared" si="55"/>
        <v>1447.9112474339306</v>
      </c>
      <c r="V62" s="23">
        <f t="shared" si="55"/>
        <v>1263.4019893034997</v>
      </c>
      <c r="W62" s="23">
        <f t="shared" si="55"/>
        <v>1217.4357899565925</v>
      </c>
      <c r="X62" s="23">
        <f t="shared" si="55"/>
        <v>1180.1818937292605</v>
      </c>
      <c r="Y62" s="23">
        <f t="shared" si="55"/>
        <v>1108.1395844539597</v>
      </c>
      <c r="Z62" s="23">
        <f t="shared" si="55"/>
        <v>1121.7567904983002</v>
      </c>
      <c r="AA62" s="23">
        <f t="shared" si="55"/>
        <v>1111.0832034573957</v>
      </c>
      <c r="AB62" s="23">
        <f t="shared" si="55"/>
        <v>1002.2217969563279</v>
      </c>
      <c r="AC62" s="23">
        <f t="shared" si="55"/>
        <v>980.55948658247996</v>
      </c>
      <c r="AD62" s="23">
        <f t="shared" si="55"/>
        <v>1029.1314860411758</v>
      </c>
      <c r="AE62" s="23">
        <f t="shared" si="55"/>
        <v>747.9095108761079</v>
      </c>
      <c r="AF62" s="23">
        <f t="shared" si="55"/>
        <v>434.96704823788798</v>
      </c>
      <c r="AG62" s="23">
        <f t="shared" si="55"/>
        <v>408.31943255002801</v>
      </c>
      <c r="AH62" s="23">
        <f t="shared" si="55"/>
        <v>1264.507856841826</v>
      </c>
      <c r="AI62" s="23">
        <f t="shared" si="55"/>
        <v>1274.3394738201769</v>
      </c>
      <c r="AJ62" s="23">
        <f t="shared" si="55"/>
        <v>1284.1710907985278</v>
      </c>
      <c r="AK62" s="23">
        <f t="shared" si="55"/>
        <v>1294.0027077768784</v>
      </c>
      <c r="AL62" s="23">
        <f t="shared" ref="AL62:BN62" si="56">AL34*N2OGWP</f>
        <v>1303.8343247552295</v>
      </c>
      <c r="AM62" s="23">
        <f t="shared" si="56"/>
        <v>1313.6659417335804</v>
      </c>
      <c r="AN62" s="23">
        <f t="shared" si="56"/>
        <v>1323.4975587119316</v>
      </c>
      <c r="AO62" s="23">
        <f t="shared" si="56"/>
        <v>1333.3291756902825</v>
      </c>
      <c r="AP62" s="23">
        <f t="shared" si="56"/>
        <v>1343.1607926686336</v>
      </c>
      <c r="AQ62" s="23">
        <f t="shared" si="56"/>
        <v>1352.9924096469842</v>
      </c>
      <c r="AR62" s="23">
        <f t="shared" si="56"/>
        <v>1362.8240266253351</v>
      </c>
      <c r="AS62" s="23">
        <f t="shared" si="56"/>
        <v>1372.6556436036863</v>
      </c>
      <c r="AT62" s="23">
        <f t="shared" si="56"/>
        <v>1382.4872605820369</v>
      </c>
      <c r="AU62" s="23">
        <f t="shared" si="56"/>
        <v>1392.3188775603883</v>
      </c>
      <c r="AV62" s="23">
        <f t="shared" si="56"/>
        <v>1402.1504945387389</v>
      </c>
      <c r="AW62" s="23">
        <f t="shared" si="56"/>
        <v>1411.9821115170898</v>
      </c>
      <c r="AX62" s="23">
        <f t="shared" si="56"/>
        <v>1421.8137284954412</v>
      </c>
      <c r="AY62" s="23">
        <f t="shared" si="56"/>
        <v>1431.6453454737921</v>
      </c>
      <c r="AZ62" s="23">
        <f t="shared" si="56"/>
        <v>1441.4769624521434</v>
      </c>
      <c r="BA62" s="23">
        <f t="shared" si="56"/>
        <v>1451.3085794304945</v>
      </c>
      <c r="BB62" s="23">
        <f t="shared" si="56"/>
        <v>1461.1401964088454</v>
      </c>
      <c r="BC62" s="23">
        <f t="shared" si="56"/>
        <v>1470.9718133871966</v>
      </c>
      <c r="BD62" s="23">
        <f t="shared" si="56"/>
        <v>1480.8034303655477</v>
      </c>
      <c r="BE62" s="23">
        <f t="shared" si="56"/>
        <v>1490.6350473438988</v>
      </c>
      <c r="BF62" s="23">
        <f t="shared" si="56"/>
        <v>1500.4666643222497</v>
      </c>
      <c r="BG62" s="23">
        <f t="shared" si="56"/>
        <v>1510.298281300601</v>
      </c>
      <c r="BH62" s="23">
        <f t="shared" si="56"/>
        <v>1520.1298982789519</v>
      </c>
      <c r="BI62" s="23">
        <f t="shared" si="56"/>
        <v>1529.9615152573031</v>
      </c>
      <c r="BJ62" s="23">
        <f t="shared" si="56"/>
        <v>1539.7931322356542</v>
      </c>
      <c r="BK62" s="23">
        <f t="shared" si="56"/>
        <v>1549.6247492140051</v>
      </c>
      <c r="BL62" s="23">
        <f t="shared" si="56"/>
        <v>1559.4563661923562</v>
      </c>
      <c r="BM62" s="23">
        <f t="shared" si="56"/>
        <v>1569.2879831707075</v>
      </c>
      <c r="BN62" s="23">
        <f t="shared" si="56"/>
        <v>1579.1196001490582</v>
      </c>
    </row>
    <row r="63" spans="1:72" x14ac:dyDescent="0.25">
      <c r="A63" t="str">
        <f>A41</f>
        <v>3C Aggregated and non-CO2 emissions on land</v>
      </c>
      <c r="B63" t="str">
        <f t="shared" ref="B63:F63" si="57">B41</f>
        <v>3C2 Liming (CO2)</v>
      </c>
      <c r="C63" t="s">
        <v>117</v>
      </c>
      <c r="D63" t="str">
        <f t="shared" si="57"/>
        <v>CO2</v>
      </c>
      <c r="E63" t="s">
        <v>714</v>
      </c>
      <c r="F63" s="23">
        <f t="shared" si="57"/>
        <v>357.5</v>
      </c>
      <c r="G63" s="23">
        <f t="shared" ref="G63:BN63" si="58">G41</f>
        <v>378.125</v>
      </c>
      <c r="H63" s="23">
        <f t="shared" si="58"/>
        <v>261.25</v>
      </c>
      <c r="I63" s="23">
        <f t="shared" si="58"/>
        <v>412.5</v>
      </c>
      <c r="J63" s="23">
        <f t="shared" si="58"/>
        <v>595.58170833333327</v>
      </c>
      <c r="K63" s="23">
        <f t="shared" si="58"/>
        <v>473.34145833333332</v>
      </c>
      <c r="L63" s="23">
        <f t="shared" si="58"/>
        <v>579.13625000000002</v>
      </c>
      <c r="M63" s="23">
        <f t="shared" si="58"/>
        <v>547.24312499999996</v>
      </c>
      <c r="N63" s="23">
        <f t="shared" si="58"/>
        <v>570.31379166666659</v>
      </c>
      <c r="O63" s="23">
        <f t="shared" si="58"/>
        <v>567.03808333333325</v>
      </c>
      <c r="P63" s="23">
        <f t="shared" si="58"/>
        <v>378.2405</v>
      </c>
      <c r="Q63" s="23">
        <f t="shared" si="58"/>
        <v>489.66362500000002</v>
      </c>
      <c r="R63" s="23">
        <f t="shared" si="58"/>
        <v>672.79437500000006</v>
      </c>
      <c r="S63" s="23">
        <f t="shared" si="58"/>
        <v>580.13175000000001</v>
      </c>
      <c r="T63" s="23">
        <f t="shared" si="58"/>
        <v>579.7403333333333</v>
      </c>
      <c r="U63" s="23">
        <f t="shared" si="58"/>
        <v>266.03683333333333</v>
      </c>
      <c r="V63" s="23">
        <f t="shared" si="58"/>
        <v>441.42908333333332</v>
      </c>
      <c r="W63" s="23">
        <f t="shared" si="58"/>
        <v>521.42108333333329</v>
      </c>
      <c r="X63" s="23">
        <f t="shared" si="58"/>
        <v>655.32637499999998</v>
      </c>
      <c r="Y63" s="23">
        <f t="shared" si="58"/>
        <v>695.56775237855516</v>
      </c>
      <c r="Z63" s="23">
        <f t="shared" si="58"/>
        <v>653.23730656422072</v>
      </c>
      <c r="AA63" s="23">
        <f t="shared" si="58"/>
        <v>722.61220387104663</v>
      </c>
      <c r="AB63" s="23">
        <f t="shared" si="58"/>
        <v>829.6141641239476</v>
      </c>
      <c r="AC63" s="23">
        <f t="shared" si="58"/>
        <v>749.65665536353811</v>
      </c>
      <c r="AD63" s="23">
        <f t="shared" si="58"/>
        <v>773.17356970483502</v>
      </c>
      <c r="AE63" s="23">
        <f t="shared" si="58"/>
        <v>780.22864400722403</v>
      </c>
      <c r="AF63" s="23">
        <f t="shared" si="58"/>
        <v>982.47410734237747</v>
      </c>
      <c r="AG63" s="23">
        <f t="shared" si="58"/>
        <v>1218.2311736138793</v>
      </c>
      <c r="AH63" s="23">
        <f t="shared" si="58"/>
        <v>688.74289830929615</v>
      </c>
      <c r="AI63" s="23">
        <f t="shared" si="58"/>
        <v>694.04734471925508</v>
      </c>
      <c r="AJ63" s="23">
        <f t="shared" si="58"/>
        <v>699.35179112921401</v>
      </c>
      <c r="AK63" s="23">
        <f t="shared" si="58"/>
        <v>704.72841992293843</v>
      </c>
      <c r="AL63" s="23">
        <f t="shared" si="58"/>
        <v>710.10504861741867</v>
      </c>
      <c r="AM63" s="23">
        <f t="shared" si="58"/>
        <v>715.48167731189903</v>
      </c>
      <c r="AN63" s="23">
        <f t="shared" si="58"/>
        <v>720.85830600637928</v>
      </c>
      <c r="AO63" s="23">
        <f t="shared" si="58"/>
        <v>726.2349348001037</v>
      </c>
      <c r="AP63" s="23">
        <f t="shared" si="58"/>
        <v>726.2349348001037</v>
      </c>
      <c r="AQ63" s="23">
        <f t="shared" si="58"/>
        <v>726.2349348001037</v>
      </c>
      <c r="AR63" s="23">
        <f t="shared" si="58"/>
        <v>726.2349348001037</v>
      </c>
      <c r="AS63" s="23">
        <f t="shared" si="58"/>
        <v>726.2349348001037</v>
      </c>
      <c r="AT63" s="23">
        <f t="shared" si="58"/>
        <v>726.2349348001037</v>
      </c>
      <c r="AU63" s="23">
        <f t="shared" si="58"/>
        <v>726.2349348001037</v>
      </c>
      <c r="AV63" s="23">
        <f t="shared" si="58"/>
        <v>726.2349348001037</v>
      </c>
      <c r="AW63" s="23">
        <f t="shared" si="58"/>
        <v>726.2349348001037</v>
      </c>
      <c r="AX63" s="23">
        <f t="shared" si="58"/>
        <v>726.2349348001037</v>
      </c>
      <c r="AY63" s="23">
        <f t="shared" si="58"/>
        <v>726.2349348001037</v>
      </c>
      <c r="AZ63" s="23">
        <f t="shared" si="58"/>
        <v>726.2349348001037</v>
      </c>
      <c r="BA63" s="23">
        <f t="shared" si="58"/>
        <v>726.2349348001037</v>
      </c>
      <c r="BB63" s="23">
        <f t="shared" si="58"/>
        <v>726.2349348001037</v>
      </c>
      <c r="BC63" s="23">
        <f t="shared" si="58"/>
        <v>726.2349348001037</v>
      </c>
      <c r="BD63" s="23">
        <f t="shared" si="58"/>
        <v>726.2349348001037</v>
      </c>
      <c r="BE63" s="23">
        <f t="shared" si="58"/>
        <v>726.2349348001037</v>
      </c>
      <c r="BF63" s="23">
        <f t="shared" si="58"/>
        <v>726.2349348001037</v>
      </c>
      <c r="BG63" s="23">
        <f t="shared" si="58"/>
        <v>726.2349348001037</v>
      </c>
      <c r="BH63" s="23">
        <f t="shared" si="58"/>
        <v>726.2349348001037</v>
      </c>
      <c r="BI63" s="23">
        <f t="shared" si="58"/>
        <v>726.2349348001037</v>
      </c>
      <c r="BJ63" s="23">
        <f t="shared" si="58"/>
        <v>726.2349348001037</v>
      </c>
      <c r="BK63" s="23">
        <f t="shared" si="58"/>
        <v>726.2349348001037</v>
      </c>
      <c r="BL63" s="23">
        <f t="shared" si="58"/>
        <v>726.2349348001037</v>
      </c>
      <c r="BM63" s="23">
        <f t="shared" si="58"/>
        <v>726.2349348001037</v>
      </c>
      <c r="BN63" s="23">
        <f t="shared" si="58"/>
        <v>726.2349348001037</v>
      </c>
    </row>
    <row r="64" spans="1:72" x14ac:dyDescent="0.25">
      <c r="A64" t="str">
        <f>A42</f>
        <v>3C Aggregated and non-CO2 emissions on land</v>
      </c>
      <c r="B64" t="str">
        <f>B42</f>
        <v>3C3 Urea application (CO2)</v>
      </c>
      <c r="C64" t="s">
        <v>720</v>
      </c>
      <c r="D64" t="str">
        <f>D42</f>
        <v>CO2</v>
      </c>
      <c r="E64" t="s">
        <v>714</v>
      </c>
      <c r="F64" s="23">
        <f>F42</f>
        <v>90.994567483487728</v>
      </c>
      <c r="G64" s="23">
        <f t="shared" ref="G64:BN64" si="59">G42</f>
        <v>111.62690198838213</v>
      </c>
      <c r="H64" s="23">
        <f t="shared" si="59"/>
        <v>132.25923649327655</v>
      </c>
      <c r="I64" s="23">
        <f t="shared" si="59"/>
        <v>152.89157099816552</v>
      </c>
      <c r="J64" s="23">
        <f t="shared" si="59"/>
        <v>173.52390550305992</v>
      </c>
      <c r="K64" s="23">
        <f t="shared" si="59"/>
        <v>194.15624000795432</v>
      </c>
      <c r="L64" s="23">
        <f t="shared" si="59"/>
        <v>214.78857451284878</v>
      </c>
      <c r="M64" s="23">
        <f t="shared" si="59"/>
        <v>235.42090901774316</v>
      </c>
      <c r="N64" s="23">
        <f t="shared" si="59"/>
        <v>256.05324352263762</v>
      </c>
      <c r="O64" s="23">
        <f t="shared" si="59"/>
        <v>276.68557802753202</v>
      </c>
      <c r="P64" s="23">
        <f t="shared" si="59"/>
        <v>297.31791253242642</v>
      </c>
      <c r="Q64" s="23">
        <f t="shared" si="59"/>
        <v>317.95024703732088</v>
      </c>
      <c r="R64" s="23">
        <f t="shared" si="59"/>
        <v>338.58258154220977</v>
      </c>
      <c r="S64" s="23">
        <f t="shared" si="59"/>
        <v>359.21491604710423</v>
      </c>
      <c r="T64" s="23">
        <f t="shared" si="59"/>
        <v>435.89846666666671</v>
      </c>
      <c r="U64" s="23">
        <f t="shared" si="59"/>
        <v>355.08659999999998</v>
      </c>
      <c r="V64" s="23">
        <f t="shared" si="59"/>
        <v>393.08573333333334</v>
      </c>
      <c r="W64" s="23">
        <f t="shared" si="59"/>
        <v>484.55366666666663</v>
      </c>
      <c r="X64" s="23">
        <f t="shared" si="59"/>
        <v>480.19253333333336</v>
      </c>
      <c r="Y64" s="23">
        <f t="shared" si="59"/>
        <v>380.54426666666666</v>
      </c>
      <c r="Z64" s="23">
        <f t="shared" si="59"/>
        <v>501.48046666666664</v>
      </c>
      <c r="AA64" s="23">
        <f t="shared" si="59"/>
        <v>571.19113333333337</v>
      </c>
      <c r="AB64" s="23">
        <f t="shared" si="59"/>
        <v>587.22106666666662</v>
      </c>
      <c r="AC64" s="23">
        <f t="shared" si="59"/>
        <v>533.06336966666674</v>
      </c>
      <c r="AD64" s="23">
        <f t="shared" si="59"/>
        <v>663.77159200000006</v>
      </c>
      <c r="AE64" s="23">
        <f t="shared" si="59"/>
        <v>486.09938600666663</v>
      </c>
      <c r="AF64" s="23">
        <f t="shared" si="59"/>
        <v>643.60119999999995</v>
      </c>
      <c r="AG64" s="23">
        <f t="shared" si="59"/>
        <v>679.61446666666666</v>
      </c>
      <c r="AH64" s="23">
        <f t="shared" si="59"/>
        <v>417.11332241940903</v>
      </c>
      <c r="AI64" s="23">
        <f t="shared" si="59"/>
        <v>419.88128021257768</v>
      </c>
      <c r="AJ64" s="23">
        <f t="shared" si="59"/>
        <v>422.64923800574661</v>
      </c>
      <c r="AK64" s="23">
        <f t="shared" si="59"/>
        <v>425.45486189566344</v>
      </c>
      <c r="AL64" s="23">
        <f t="shared" si="59"/>
        <v>428.26048573379319</v>
      </c>
      <c r="AM64" s="23">
        <f t="shared" si="59"/>
        <v>431.06610957192277</v>
      </c>
      <c r="AN64" s="23">
        <f t="shared" si="59"/>
        <v>433.8717334100524</v>
      </c>
      <c r="AO64" s="23">
        <f t="shared" si="59"/>
        <v>436.67735729996917</v>
      </c>
      <c r="AP64" s="23">
        <f t="shared" si="59"/>
        <v>436.67735729996917</v>
      </c>
      <c r="AQ64" s="23">
        <f t="shared" si="59"/>
        <v>436.67735729996917</v>
      </c>
      <c r="AR64" s="23">
        <f t="shared" si="59"/>
        <v>436.67735729996917</v>
      </c>
      <c r="AS64" s="23">
        <f t="shared" si="59"/>
        <v>436.67735729996917</v>
      </c>
      <c r="AT64" s="23">
        <f t="shared" si="59"/>
        <v>436.67735729996917</v>
      </c>
      <c r="AU64" s="23">
        <f t="shared" si="59"/>
        <v>436.67735729996917</v>
      </c>
      <c r="AV64" s="23">
        <f t="shared" si="59"/>
        <v>436.67735729996917</v>
      </c>
      <c r="AW64" s="23">
        <f t="shared" si="59"/>
        <v>436.67735729996917</v>
      </c>
      <c r="AX64" s="23">
        <f t="shared" si="59"/>
        <v>436.67735729996917</v>
      </c>
      <c r="AY64" s="23">
        <f t="shared" si="59"/>
        <v>436.67735729996917</v>
      </c>
      <c r="AZ64" s="23">
        <f t="shared" si="59"/>
        <v>436.67735729996917</v>
      </c>
      <c r="BA64" s="23">
        <f t="shared" si="59"/>
        <v>436.67735729996917</v>
      </c>
      <c r="BB64" s="23">
        <f t="shared" si="59"/>
        <v>436.67735729996917</v>
      </c>
      <c r="BC64" s="23">
        <f t="shared" si="59"/>
        <v>436.67735729996917</v>
      </c>
      <c r="BD64" s="23">
        <f t="shared" si="59"/>
        <v>436.67735729996917</v>
      </c>
      <c r="BE64" s="23">
        <f t="shared" si="59"/>
        <v>436.67735729996917</v>
      </c>
      <c r="BF64" s="23">
        <f t="shared" si="59"/>
        <v>436.67735729996917</v>
      </c>
      <c r="BG64" s="23">
        <f t="shared" si="59"/>
        <v>436.67735729996917</v>
      </c>
      <c r="BH64" s="23">
        <f t="shared" si="59"/>
        <v>436.67735729996917</v>
      </c>
      <c r="BI64" s="23">
        <f t="shared" si="59"/>
        <v>436.67735729996917</v>
      </c>
      <c r="BJ64" s="23">
        <f t="shared" si="59"/>
        <v>436.67735729996917</v>
      </c>
      <c r="BK64" s="23">
        <f t="shared" si="59"/>
        <v>436.67735729996917</v>
      </c>
      <c r="BL64" s="23">
        <f t="shared" si="59"/>
        <v>436.67735729996917</v>
      </c>
      <c r="BM64" s="23">
        <f t="shared" si="59"/>
        <v>436.67735729996917</v>
      </c>
      <c r="BN64" s="23">
        <f t="shared" si="59"/>
        <v>436.67735729996917</v>
      </c>
    </row>
    <row r="65" spans="1:72" x14ac:dyDescent="0.25">
      <c r="A65" t="str">
        <f>A43</f>
        <v>3C Aggregated and non-CO2 emissions on land</v>
      </c>
      <c r="B65" t="str">
        <f>B43</f>
        <v>3C4 Direct N2O from managed soils (N2O)</v>
      </c>
      <c r="C65" t="s">
        <v>721</v>
      </c>
      <c r="D65" t="str">
        <f>D43</f>
        <v>N2O</v>
      </c>
      <c r="E65" t="s">
        <v>714</v>
      </c>
      <c r="F65" s="23">
        <f t="shared" ref="F65:AK65" si="60">F43*N2OGWP</f>
        <v>19504.904423790304</v>
      </c>
      <c r="G65" s="23">
        <f t="shared" si="60"/>
        <v>19292.945969163135</v>
      </c>
      <c r="H65" s="23">
        <f t="shared" si="60"/>
        <v>19045.664085317185</v>
      </c>
      <c r="I65" s="23">
        <f t="shared" si="60"/>
        <v>19033.869532746325</v>
      </c>
      <c r="J65" s="23">
        <f t="shared" si="60"/>
        <v>18637.217900557851</v>
      </c>
      <c r="K65" s="23">
        <f t="shared" si="60"/>
        <v>18045.206751556161</v>
      </c>
      <c r="L65" s="23">
        <f t="shared" si="60"/>
        <v>18868.194418923074</v>
      </c>
      <c r="M65" s="23">
        <f t="shared" si="60"/>
        <v>19199.105489263504</v>
      </c>
      <c r="N65" s="23">
        <f t="shared" si="60"/>
        <v>19109.504254972093</v>
      </c>
      <c r="O65" s="23">
        <f t="shared" si="60"/>
        <v>19072.793684612472</v>
      </c>
      <c r="P65" s="23">
        <f t="shared" si="60"/>
        <v>19327.015119058116</v>
      </c>
      <c r="Q65" s="23">
        <f t="shared" si="60"/>
        <v>18602.913592780023</v>
      </c>
      <c r="R65" s="23">
        <f t="shared" si="60"/>
        <v>18996.200132064732</v>
      </c>
      <c r="S65" s="23">
        <f t="shared" si="60"/>
        <v>18690.572709169541</v>
      </c>
      <c r="T65" s="23">
        <f t="shared" si="60"/>
        <v>18340.319361353846</v>
      </c>
      <c r="U65" s="23">
        <f t="shared" si="60"/>
        <v>18032.244904032526</v>
      </c>
      <c r="V65" s="23">
        <f t="shared" si="60"/>
        <v>17683.190185022595</v>
      </c>
      <c r="W65" s="23">
        <f t="shared" si="60"/>
        <v>18565.416324630911</v>
      </c>
      <c r="X65" s="23">
        <f t="shared" si="60"/>
        <v>18914.683594619022</v>
      </c>
      <c r="Y65" s="23">
        <f t="shared" si="60"/>
        <v>18700.377993558752</v>
      </c>
      <c r="Z65" s="23">
        <f t="shared" si="60"/>
        <v>18480.993443645988</v>
      </c>
      <c r="AA65" s="23">
        <f t="shared" si="60"/>
        <v>18357.347352101453</v>
      </c>
      <c r="AB65" s="23">
        <f t="shared" si="60"/>
        <v>18857.994474705243</v>
      </c>
      <c r="AC65" s="23">
        <f t="shared" si="60"/>
        <v>18800.288966942488</v>
      </c>
      <c r="AD65" s="23">
        <f t="shared" si="60"/>
        <v>18766.247884784007</v>
      </c>
      <c r="AE65" s="23">
        <f t="shared" si="60"/>
        <v>18299.211804322</v>
      </c>
      <c r="AF65" s="23">
        <f t="shared" si="60"/>
        <v>17601.432971444778</v>
      </c>
      <c r="AG65" s="23">
        <f t="shared" si="60"/>
        <v>17818.415354550449</v>
      </c>
      <c r="AH65" s="23">
        <f t="shared" si="60"/>
        <v>18364.49485963495</v>
      </c>
      <c r="AI65" s="23">
        <f t="shared" si="60"/>
        <v>18831.469312446974</v>
      </c>
      <c r="AJ65" s="23">
        <f t="shared" si="60"/>
        <v>18836.087907114124</v>
      </c>
      <c r="AK65" s="23">
        <f t="shared" si="60"/>
        <v>18844.68346232202</v>
      </c>
      <c r="AL65" s="23">
        <f t="shared" ref="AL65:BN65" si="61">AL43*N2OGWP</f>
        <v>18853.242524846799</v>
      </c>
      <c r="AM65" s="23">
        <f t="shared" si="61"/>
        <v>18861.80673852401</v>
      </c>
      <c r="AN65" s="23">
        <f t="shared" si="61"/>
        <v>18870.339662433322</v>
      </c>
      <c r="AO65" s="23">
        <f t="shared" si="61"/>
        <v>18878.903862879688</v>
      </c>
      <c r="AP65" s="23">
        <f t="shared" si="61"/>
        <v>18903.835103672107</v>
      </c>
      <c r="AQ65" s="23">
        <f t="shared" si="61"/>
        <v>18928.754395735697</v>
      </c>
      <c r="AR65" s="23">
        <f t="shared" si="61"/>
        <v>18953.7155048963</v>
      </c>
      <c r="AS65" s="23">
        <f t="shared" si="61"/>
        <v>18978.706622889269</v>
      </c>
      <c r="AT65" s="23">
        <f t="shared" si="61"/>
        <v>19003.730588306025</v>
      </c>
      <c r="AU65" s="23">
        <f t="shared" si="61"/>
        <v>19028.149770396391</v>
      </c>
      <c r="AV65" s="23">
        <f t="shared" si="61"/>
        <v>19052.50568167209</v>
      </c>
      <c r="AW65" s="23">
        <f t="shared" si="61"/>
        <v>19076.99104999327</v>
      </c>
      <c r="AX65" s="23">
        <f t="shared" si="61"/>
        <v>19101.565344433027</v>
      </c>
      <c r="AY65" s="23">
        <f t="shared" si="61"/>
        <v>19126.233385404648</v>
      </c>
      <c r="AZ65" s="23">
        <f t="shared" si="61"/>
        <v>19151.851177032575</v>
      </c>
      <c r="BA65" s="23">
        <f t="shared" si="61"/>
        <v>19177.53174282188</v>
      </c>
      <c r="BB65" s="23">
        <f t="shared" si="61"/>
        <v>19203.232788477551</v>
      </c>
      <c r="BC65" s="23">
        <f t="shared" si="61"/>
        <v>19228.997258909854</v>
      </c>
      <c r="BD65" s="23">
        <f t="shared" si="61"/>
        <v>19254.86312069152</v>
      </c>
      <c r="BE65" s="23">
        <f t="shared" si="61"/>
        <v>19284.198981377798</v>
      </c>
      <c r="BF65" s="23">
        <f t="shared" si="61"/>
        <v>19313.610617375656</v>
      </c>
      <c r="BG65" s="23">
        <f t="shared" si="61"/>
        <v>19343.093422926722</v>
      </c>
      <c r="BH65" s="23">
        <f t="shared" si="61"/>
        <v>19372.658852634439</v>
      </c>
      <c r="BI65" s="23">
        <f t="shared" si="61"/>
        <v>19402.352190800011</v>
      </c>
      <c r="BJ65" s="23">
        <f t="shared" si="61"/>
        <v>19431.186644244503</v>
      </c>
      <c r="BK65" s="23">
        <f t="shared" si="61"/>
        <v>19460.131346386617</v>
      </c>
      <c r="BL65" s="23">
        <f t="shared" si="61"/>
        <v>19489.100419103943</v>
      </c>
      <c r="BM65" s="23">
        <f t="shared" si="61"/>
        <v>19518.19044639837</v>
      </c>
      <c r="BN65" s="23">
        <f t="shared" si="61"/>
        <v>19547.412092770519</v>
      </c>
    </row>
    <row r="66" spans="1:72" x14ac:dyDescent="0.25">
      <c r="A66" t="str">
        <f>A49</f>
        <v>3C Aggregated and non-CO2 emissions on land</v>
      </c>
      <c r="B66" t="str">
        <f t="shared" ref="B66:D66" si="62">B49</f>
        <v>3C5 Indirect N2O from managed soils (N2O)</v>
      </c>
      <c r="C66" t="s">
        <v>723</v>
      </c>
      <c r="D66" t="str">
        <f t="shared" si="62"/>
        <v>N2O</v>
      </c>
      <c r="E66" t="s">
        <v>714</v>
      </c>
      <c r="F66" s="23">
        <f t="shared" ref="F66:AK66" si="63">F49*N2OGWP</f>
        <v>2388.0102035123605</v>
      </c>
      <c r="G66" s="23">
        <f t="shared" si="63"/>
        <v>2381.2431268972473</v>
      </c>
      <c r="H66" s="23">
        <f t="shared" si="63"/>
        <v>2324.8942000713505</v>
      </c>
      <c r="I66" s="23">
        <f t="shared" si="63"/>
        <v>2290.9024845787808</v>
      </c>
      <c r="J66" s="23">
        <f t="shared" si="63"/>
        <v>2228.7638099345581</v>
      </c>
      <c r="K66" s="23">
        <f t="shared" si="63"/>
        <v>2216.2333453112419</v>
      </c>
      <c r="L66" s="23">
        <f t="shared" si="63"/>
        <v>2291.7575924583116</v>
      </c>
      <c r="M66" s="23">
        <f t="shared" si="63"/>
        <v>2312.3390553500153</v>
      </c>
      <c r="N66" s="23">
        <f t="shared" si="63"/>
        <v>2333.9868579243562</v>
      </c>
      <c r="O66" s="23">
        <f t="shared" si="63"/>
        <v>2328.6903872515104</v>
      </c>
      <c r="P66" s="23">
        <f t="shared" si="63"/>
        <v>2338.0116326614102</v>
      </c>
      <c r="Q66" s="23">
        <f t="shared" si="63"/>
        <v>2291.3538782912919</v>
      </c>
      <c r="R66" s="23">
        <f t="shared" si="63"/>
        <v>2311.3813291877032</v>
      </c>
      <c r="S66" s="23">
        <f t="shared" si="63"/>
        <v>2275.9303933061774</v>
      </c>
      <c r="T66" s="23">
        <f t="shared" si="63"/>
        <v>2249.9786194437957</v>
      </c>
      <c r="U66" s="23">
        <f t="shared" si="63"/>
        <v>2219.5948553673597</v>
      </c>
      <c r="V66" s="23">
        <f t="shared" si="63"/>
        <v>2234.9785834035056</v>
      </c>
      <c r="W66" s="23">
        <f t="shared" si="63"/>
        <v>2293.4233205043074</v>
      </c>
      <c r="X66" s="23">
        <f t="shared" si="63"/>
        <v>2323.7183210353014</v>
      </c>
      <c r="Y66" s="23">
        <f t="shared" si="63"/>
        <v>2316.1868881070077</v>
      </c>
      <c r="Z66" s="23">
        <f t="shared" si="63"/>
        <v>2275.6117938255893</v>
      </c>
      <c r="AA66" s="23">
        <f t="shared" si="63"/>
        <v>2272.2696681466509</v>
      </c>
      <c r="AB66" s="23">
        <f t="shared" si="63"/>
        <v>2292.9767256563614</v>
      </c>
      <c r="AC66" s="23">
        <f t="shared" si="63"/>
        <v>2307.718191478436</v>
      </c>
      <c r="AD66" s="23">
        <f t="shared" si="63"/>
        <v>2303.3474455915116</v>
      </c>
      <c r="AE66" s="23">
        <f t="shared" si="63"/>
        <v>2258.643246055919</v>
      </c>
      <c r="AF66" s="23">
        <f t="shared" si="63"/>
        <v>2211.5172296899377</v>
      </c>
      <c r="AG66" s="23">
        <f t="shared" si="63"/>
        <v>2194.3307617627388</v>
      </c>
      <c r="AH66" s="23">
        <f t="shared" si="63"/>
        <v>2293.3646835129821</v>
      </c>
      <c r="AI66" s="23">
        <f t="shared" si="63"/>
        <v>2355.5588838006361</v>
      </c>
      <c r="AJ66" s="23">
        <f t="shared" si="63"/>
        <v>2355.8954899535615</v>
      </c>
      <c r="AK66" s="23">
        <f t="shared" si="63"/>
        <v>2359.2825815270376</v>
      </c>
      <c r="AL66" s="23">
        <f t="shared" ref="AL66:BN66" si="64">AL49*N2OGWP</f>
        <v>2362.642521342133</v>
      </c>
      <c r="AM66" s="23">
        <f t="shared" si="64"/>
        <v>2366.0079342739978</v>
      </c>
      <c r="AN66" s="23">
        <f t="shared" si="64"/>
        <v>2369.3499891133897</v>
      </c>
      <c r="AO66" s="23">
        <f t="shared" si="64"/>
        <v>2372.7181071939403</v>
      </c>
      <c r="AP66" s="23">
        <f t="shared" si="64"/>
        <v>2376.6656682338839</v>
      </c>
      <c r="AQ66" s="23">
        <f t="shared" si="64"/>
        <v>2380.6055796522596</v>
      </c>
      <c r="AR66" s="23">
        <f t="shared" si="64"/>
        <v>2384.5806891056909</v>
      </c>
      <c r="AS66" s="23">
        <f t="shared" si="64"/>
        <v>2388.5817279143748</v>
      </c>
      <c r="AT66" s="23">
        <f t="shared" si="64"/>
        <v>2392.6110831064302</v>
      </c>
      <c r="AU66" s="23">
        <f t="shared" si="64"/>
        <v>2396.7022756722358</v>
      </c>
      <c r="AV66" s="23">
        <f t="shared" si="64"/>
        <v>2400.745040614906</v>
      </c>
      <c r="AW66" s="23">
        <f t="shared" si="64"/>
        <v>2404.8942629080384</v>
      </c>
      <c r="AX66" s="23">
        <f t="shared" si="64"/>
        <v>2409.1175301436715</v>
      </c>
      <c r="AY66" s="23">
        <f t="shared" si="64"/>
        <v>2413.4187959694036</v>
      </c>
      <c r="AZ66" s="23">
        <f t="shared" si="64"/>
        <v>2417.8755317183895</v>
      </c>
      <c r="BA66" s="23">
        <f t="shared" si="64"/>
        <v>2422.3854678359057</v>
      </c>
      <c r="BB66" s="23">
        <f t="shared" si="64"/>
        <v>2426.9144757576701</v>
      </c>
      <c r="BC66" s="23">
        <f t="shared" si="64"/>
        <v>2431.4971174683046</v>
      </c>
      <c r="BD66" s="23">
        <f t="shared" si="64"/>
        <v>2436.1639300781758</v>
      </c>
      <c r="BE66" s="23">
        <f t="shared" si="64"/>
        <v>2441.340043512072</v>
      </c>
      <c r="BF66" s="23">
        <f t="shared" si="64"/>
        <v>2446.5802506179152</v>
      </c>
      <c r="BG66" s="23">
        <f t="shared" si="64"/>
        <v>2451.880758407337</v>
      </c>
      <c r="BH66" s="23">
        <f t="shared" si="64"/>
        <v>2457.2506976901359</v>
      </c>
      <c r="BI66" s="23">
        <f t="shared" si="64"/>
        <v>2462.7264155532803</v>
      </c>
      <c r="BJ66" s="23">
        <f t="shared" si="64"/>
        <v>2468.1636492997218</v>
      </c>
      <c r="BK66" s="23">
        <f t="shared" si="64"/>
        <v>2473.6917428254933</v>
      </c>
      <c r="BL66" s="23">
        <f t="shared" si="64"/>
        <v>2479.2414780402373</v>
      </c>
      <c r="BM66" s="23">
        <f t="shared" si="64"/>
        <v>2484.8903254671068</v>
      </c>
      <c r="BN66" s="23">
        <f t="shared" si="64"/>
        <v>2490.6465859780715</v>
      </c>
    </row>
    <row r="67" spans="1:72" x14ac:dyDescent="0.25">
      <c r="A67" t="str">
        <f>A52</f>
        <v>3C Aggregated and non-CO2 emissions on land</v>
      </c>
      <c r="B67" t="str">
        <f t="shared" ref="B67:D67" si="65">B52</f>
        <v>3C6 Indirect N2O from manure management (N2O)</v>
      </c>
      <c r="C67" t="s">
        <v>722</v>
      </c>
      <c r="D67" t="str">
        <f t="shared" si="65"/>
        <v>N2O</v>
      </c>
      <c r="E67" t="s">
        <v>714</v>
      </c>
      <c r="F67" s="23">
        <f t="shared" ref="F67:AK67" si="66">F52*N2OGWP</f>
        <v>343.10330161578099</v>
      </c>
      <c r="G67" s="23">
        <f t="shared" si="66"/>
        <v>365.58614133033353</v>
      </c>
      <c r="H67" s="23">
        <f t="shared" si="66"/>
        <v>339.91114682728761</v>
      </c>
      <c r="I67" s="23">
        <f t="shared" si="66"/>
        <v>352.62601984444137</v>
      </c>
      <c r="J67" s="23">
        <f t="shared" si="66"/>
        <v>336.24824053022888</v>
      </c>
      <c r="K67" s="23">
        <f t="shared" si="66"/>
        <v>354.90652971327108</v>
      </c>
      <c r="L67" s="23">
        <f t="shared" si="66"/>
        <v>370.7282945162878</v>
      </c>
      <c r="M67" s="23">
        <f t="shared" si="66"/>
        <v>367.33263044382841</v>
      </c>
      <c r="N67" s="23">
        <f t="shared" si="66"/>
        <v>376.31467332854538</v>
      </c>
      <c r="O67" s="23">
        <f t="shared" si="66"/>
        <v>380.26274683162796</v>
      </c>
      <c r="P67" s="23">
        <f t="shared" si="66"/>
        <v>420.72277135231604</v>
      </c>
      <c r="Q67" s="23">
        <f t="shared" si="66"/>
        <v>418.37207720994593</v>
      </c>
      <c r="R67" s="23">
        <f t="shared" si="66"/>
        <v>406.12517665445523</v>
      </c>
      <c r="S67" s="23">
        <f t="shared" si="66"/>
        <v>385.62180744131297</v>
      </c>
      <c r="T67" s="23">
        <f t="shared" si="66"/>
        <v>383.11027791084422</v>
      </c>
      <c r="U67" s="23">
        <f t="shared" si="66"/>
        <v>402.62502084090437</v>
      </c>
      <c r="V67" s="23">
        <f t="shared" si="66"/>
        <v>407.68948429226828</v>
      </c>
      <c r="W67" s="23">
        <f t="shared" si="66"/>
        <v>415.77221135959962</v>
      </c>
      <c r="X67" s="23">
        <f t="shared" si="66"/>
        <v>450.38785912632164</v>
      </c>
      <c r="Y67" s="23">
        <f t="shared" si="66"/>
        <v>447.90280780802436</v>
      </c>
      <c r="Z67" s="23">
        <f t="shared" si="66"/>
        <v>450.47531382738657</v>
      </c>
      <c r="AA67" s="23">
        <f t="shared" si="66"/>
        <v>455.70252815125627</v>
      </c>
      <c r="AB67" s="23">
        <f t="shared" si="66"/>
        <v>454.2990120208886</v>
      </c>
      <c r="AC67" s="23">
        <f t="shared" si="66"/>
        <v>467.1027930484243</v>
      </c>
      <c r="AD67" s="23">
        <f t="shared" si="66"/>
        <v>463.97224881283108</v>
      </c>
      <c r="AE67" s="23">
        <f t="shared" si="66"/>
        <v>471.70799949786652</v>
      </c>
      <c r="AF67" s="23">
        <f t="shared" si="66"/>
        <v>471.14622162385422</v>
      </c>
      <c r="AG67" s="23">
        <f t="shared" si="66"/>
        <v>483.13167606001025</v>
      </c>
      <c r="AH67" s="23">
        <f t="shared" si="66"/>
        <v>479.07243413491892</v>
      </c>
      <c r="AI67" s="23">
        <f t="shared" si="66"/>
        <v>485.12102683351316</v>
      </c>
      <c r="AJ67" s="23">
        <f t="shared" si="66"/>
        <v>487.0260375783771</v>
      </c>
      <c r="AK67" s="23">
        <f t="shared" si="66"/>
        <v>491.33118769138167</v>
      </c>
      <c r="AL67" s="23">
        <f t="shared" ref="AL67:BN67" si="67">AL52*N2OGWP</f>
        <v>495.61555476617838</v>
      </c>
      <c r="AM67" s="23">
        <f t="shared" si="67"/>
        <v>499.90458704870963</v>
      </c>
      <c r="AN67" s="23">
        <f t="shared" si="67"/>
        <v>504.17572809279341</v>
      </c>
      <c r="AO67" s="23">
        <f t="shared" si="67"/>
        <v>508.46762120077426</v>
      </c>
      <c r="AP67" s="23">
        <f t="shared" si="67"/>
        <v>513.17008578110074</v>
      </c>
      <c r="AQ67" s="23">
        <f t="shared" si="67"/>
        <v>517.8670480530875</v>
      </c>
      <c r="AR67" s="23">
        <f t="shared" si="67"/>
        <v>522.59210005390696</v>
      </c>
      <c r="AS67" s="23">
        <f t="shared" si="67"/>
        <v>527.33800967909315</v>
      </c>
      <c r="AT67" s="23">
        <f t="shared" si="67"/>
        <v>532.10668065744107</v>
      </c>
      <c r="AU67" s="23">
        <f t="shared" si="67"/>
        <v>536.86978513785755</v>
      </c>
      <c r="AV67" s="23">
        <f t="shared" si="67"/>
        <v>541.5954694040995</v>
      </c>
      <c r="AW67" s="23">
        <f t="shared" si="67"/>
        <v>546.40555476608631</v>
      </c>
      <c r="AX67" s="23">
        <f t="shared" si="67"/>
        <v>551.27464373764064</v>
      </c>
      <c r="AY67" s="23">
        <f t="shared" si="67"/>
        <v>556.20592991950036</v>
      </c>
      <c r="AZ67" s="23">
        <f t="shared" si="67"/>
        <v>561.3215573622515</v>
      </c>
      <c r="BA67" s="23">
        <f t="shared" si="67"/>
        <v>566.47996588771321</v>
      </c>
      <c r="BB67" s="23">
        <f t="shared" si="67"/>
        <v>571.65426734159678</v>
      </c>
      <c r="BC67" s="23">
        <f t="shared" si="67"/>
        <v>576.87175340831664</v>
      </c>
      <c r="BD67" s="23">
        <f t="shared" si="67"/>
        <v>582.15658953991817</v>
      </c>
      <c r="BE67" s="23">
        <f t="shared" si="67"/>
        <v>588.07236594099777</v>
      </c>
      <c r="BF67" s="23">
        <f t="shared" si="67"/>
        <v>594.03984475063953</v>
      </c>
      <c r="BG67" s="23">
        <f t="shared" si="67"/>
        <v>600.05607878378339</v>
      </c>
      <c r="BH67" s="23">
        <f t="shared" si="67"/>
        <v>606.1283429625305</v>
      </c>
      <c r="BI67" s="23">
        <f t="shared" si="67"/>
        <v>612.28548072394267</v>
      </c>
      <c r="BJ67" s="23">
        <f t="shared" si="67"/>
        <v>618.34869443468472</v>
      </c>
      <c r="BK67" s="23">
        <f t="shared" si="67"/>
        <v>624.48508852865712</v>
      </c>
      <c r="BL67" s="23">
        <f t="shared" si="67"/>
        <v>630.63983378033311</v>
      </c>
      <c r="BM67" s="23">
        <f t="shared" si="67"/>
        <v>636.87439181894433</v>
      </c>
      <c r="BN67" s="23">
        <f t="shared" si="67"/>
        <v>643.19542298539955</v>
      </c>
    </row>
    <row r="70" spans="1:72" s="19" customFormat="1" ht="15.75" x14ac:dyDescent="0.25">
      <c r="A70" s="17" t="s">
        <v>807</v>
      </c>
      <c r="B70" s="17"/>
      <c r="C70" s="17"/>
      <c r="D70" s="17"/>
      <c r="E70" s="17"/>
      <c r="F70" s="17">
        <v>1990</v>
      </c>
      <c r="G70" s="17">
        <v>1991</v>
      </c>
      <c r="H70" s="17">
        <v>1992</v>
      </c>
      <c r="I70" s="17">
        <v>1993</v>
      </c>
      <c r="J70" s="17">
        <v>1994</v>
      </c>
      <c r="K70" s="17">
        <v>1995</v>
      </c>
      <c r="L70" s="17">
        <v>1996</v>
      </c>
      <c r="M70" s="17">
        <v>1997</v>
      </c>
      <c r="N70" s="17">
        <v>1998</v>
      </c>
      <c r="O70" s="17">
        <v>1999</v>
      </c>
      <c r="P70" s="17">
        <v>2000</v>
      </c>
      <c r="Q70" s="17">
        <v>2001</v>
      </c>
      <c r="R70" s="17">
        <v>2002</v>
      </c>
      <c r="S70" s="17">
        <v>2003</v>
      </c>
      <c r="T70" s="17">
        <v>2004</v>
      </c>
      <c r="U70" s="17">
        <v>2005</v>
      </c>
      <c r="V70" s="17">
        <v>2006</v>
      </c>
      <c r="W70" s="17">
        <v>2007</v>
      </c>
      <c r="X70" s="17">
        <v>2008</v>
      </c>
      <c r="Y70" s="17">
        <v>2009</v>
      </c>
      <c r="Z70" s="17">
        <v>2010</v>
      </c>
      <c r="AA70" s="17">
        <v>2011</v>
      </c>
      <c r="AB70" s="17">
        <v>2012</v>
      </c>
      <c r="AC70" s="17">
        <v>2013</v>
      </c>
      <c r="AD70" s="17">
        <v>2014</v>
      </c>
      <c r="AE70" s="17">
        <v>2015</v>
      </c>
      <c r="AF70" s="17">
        <v>2016</v>
      </c>
      <c r="AG70" s="17">
        <v>2017</v>
      </c>
      <c r="AH70" s="17">
        <v>2018</v>
      </c>
      <c r="AI70" s="17">
        <v>2019</v>
      </c>
      <c r="AJ70" s="17">
        <v>2020</v>
      </c>
      <c r="AK70" s="17">
        <v>2021</v>
      </c>
      <c r="AL70" s="17">
        <v>2022</v>
      </c>
      <c r="AM70" s="17">
        <v>2023</v>
      </c>
      <c r="AN70" s="17">
        <v>2024</v>
      </c>
      <c r="AO70" s="17">
        <v>2025</v>
      </c>
      <c r="AP70" s="17">
        <v>2026</v>
      </c>
      <c r="AQ70" s="17">
        <v>2027</v>
      </c>
      <c r="AR70" s="17">
        <v>2028</v>
      </c>
      <c r="AS70" s="17">
        <v>2029</v>
      </c>
      <c r="AT70" s="17">
        <v>2030</v>
      </c>
      <c r="AU70" s="17">
        <v>2031</v>
      </c>
      <c r="AV70" s="17">
        <v>2032</v>
      </c>
      <c r="AW70" s="17">
        <v>2033</v>
      </c>
      <c r="AX70" s="17">
        <v>2034</v>
      </c>
      <c r="AY70" s="17">
        <v>2035</v>
      </c>
      <c r="AZ70" s="17">
        <v>2036</v>
      </c>
      <c r="BA70" s="17">
        <v>2037</v>
      </c>
      <c r="BB70" s="17">
        <v>2038</v>
      </c>
      <c r="BC70" s="17">
        <v>2039</v>
      </c>
      <c r="BD70" s="17">
        <v>2040</v>
      </c>
      <c r="BE70" s="17">
        <v>2041</v>
      </c>
      <c r="BF70" s="17">
        <v>2042</v>
      </c>
      <c r="BG70" s="17">
        <v>2043</v>
      </c>
      <c r="BH70" s="17">
        <v>2044</v>
      </c>
      <c r="BI70" s="17">
        <v>2045</v>
      </c>
      <c r="BJ70" s="17">
        <v>2046</v>
      </c>
      <c r="BK70" s="17">
        <v>2047</v>
      </c>
      <c r="BL70" s="17">
        <v>2048</v>
      </c>
      <c r="BM70" s="17">
        <v>2049</v>
      </c>
      <c r="BN70" s="17">
        <v>2050</v>
      </c>
      <c r="BO70" s="17"/>
      <c r="BP70" s="17"/>
      <c r="BQ70" s="17"/>
      <c r="BR70" s="17"/>
      <c r="BS70" s="17"/>
      <c r="BT70" s="17"/>
    </row>
    <row r="71" spans="1:72" x14ac:dyDescent="0.25">
      <c r="E71" t="s">
        <v>830</v>
      </c>
      <c r="F71" s="23">
        <f>SUM(F58:F60)</f>
        <v>29809.07844938129</v>
      </c>
      <c r="G71" s="23">
        <f t="shared" ref="G71:AG71" si="68">SUM(G58:G60)</f>
        <v>30043.092977791715</v>
      </c>
      <c r="H71" s="23">
        <f t="shared" si="68"/>
        <v>29367.000607714464</v>
      </c>
      <c r="I71" s="23">
        <f t="shared" si="68"/>
        <v>28529.839302914701</v>
      </c>
      <c r="J71" s="23">
        <f t="shared" si="68"/>
        <v>27644.882825571898</v>
      </c>
      <c r="K71" s="23">
        <f t="shared" si="68"/>
        <v>28003.221800851996</v>
      </c>
      <c r="L71" s="23">
        <f t="shared" si="68"/>
        <v>28764.426060905291</v>
      </c>
      <c r="M71" s="23">
        <f t="shared" si="68"/>
        <v>29197.380254242202</v>
      </c>
      <c r="N71" s="23">
        <f t="shared" si="68"/>
        <v>29630.698964386076</v>
      </c>
      <c r="O71" s="23">
        <f t="shared" si="68"/>
        <v>29629.221660502193</v>
      </c>
      <c r="P71" s="23">
        <f t="shared" si="68"/>
        <v>29753.989948847233</v>
      </c>
      <c r="Q71" s="23">
        <f t="shared" si="68"/>
        <v>29546.748075958283</v>
      </c>
      <c r="R71" s="23">
        <f t="shared" si="68"/>
        <v>28926.316019966296</v>
      </c>
      <c r="S71" s="23">
        <f t="shared" si="68"/>
        <v>28782.82921525514</v>
      </c>
      <c r="T71" s="23">
        <f t="shared" si="68"/>
        <v>28518.281081578443</v>
      </c>
      <c r="U71" s="23">
        <f t="shared" si="68"/>
        <v>28739.884755849245</v>
      </c>
      <c r="V71" s="23">
        <f t="shared" si="68"/>
        <v>28649.019025441685</v>
      </c>
      <c r="W71" s="23">
        <f t="shared" si="68"/>
        <v>29251.085370569181</v>
      </c>
      <c r="X71" s="23">
        <f t="shared" si="68"/>
        <v>29769.985617238821</v>
      </c>
      <c r="Y71" s="23">
        <f t="shared" si="68"/>
        <v>29625.013597138062</v>
      </c>
      <c r="Z71" s="23">
        <f t="shared" si="68"/>
        <v>29416.16998797447</v>
      </c>
      <c r="AA71" s="23">
        <f t="shared" si="68"/>
        <v>29302.868507225488</v>
      </c>
      <c r="AB71" s="23">
        <f t="shared" si="68"/>
        <v>29855.841687614415</v>
      </c>
      <c r="AC71" s="23">
        <f t="shared" si="68"/>
        <v>29727.840329077371</v>
      </c>
      <c r="AD71" s="23">
        <f t="shared" si="68"/>
        <v>29536.808376926423</v>
      </c>
      <c r="AE71" s="23">
        <f t="shared" si="68"/>
        <v>29232.354133305973</v>
      </c>
      <c r="AF71" s="23">
        <f t="shared" si="68"/>
        <v>28690.726827426781</v>
      </c>
      <c r="AG71" s="23">
        <f t="shared" si="68"/>
        <v>28161.16174223668</v>
      </c>
    </row>
    <row r="72" spans="1:72" x14ac:dyDescent="0.25">
      <c r="E72" t="s">
        <v>832</v>
      </c>
      <c r="F72" s="23">
        <f>SUM(F61:F67)</f>
        <v>24947.817090057571</v>
      </c>
      <c r="G72" s="23">
        <f t="shared" ref="G72:AG72" si="69">SUM(G61:G67)</f>
        <v>24792.831733034734</v>
      </c>
      <c r="H72" s="23">
        <f t="shared" si="69"/>
        <v>24367.283262364737</v>
      </c>
      <c r="I72" s="23">
        <f t="shared" si="69"/>
        <v>24506.094201823351</v>
      </c>
      <c r="J72" s="23">
        <f t="shared" si="69"/>
        <v>24234.64015851467</v>
      </c>
      <c r="K72" s="23">
        <f t="shared" si="69"/>
        <v>23547.148918577601</v>
      </c>
      <c r="L72" s="23">
        <f t="shared" si="69"/>
        <v>24587.909724066161</v>
      </c>
      <c r="M72" s="23">
        <f t="shared" si="69"/>
        <v>24924.745802730729</v>
      </c>
      <c r="N72" s="23">
        <f t="shared" si="69"/>
        <v>24909.477415069938</v>
      </c>
      <c r="O72" s="23">
        <f t="shared" si="69"/>
        <v>24888.775073712117</v>
      </c>
      <c r="P72" s="23">
        <f t="shared" si="69"/>
        <v>25003.073827323802</v>
      </c>
      <c r="Q72" s="23">
        <f t="shared" si="69"/>
        <v>24750.66770115777</v>
      </c>
      <c r="R72" s="23">
        <f t="shared" si="69"/>
        <v>25342.370210186647</v>
      </c>
      <c r="S72" s="23">
        <f t="shared" si="69"/>
        <v>24320.471270300244</v>
      </c>
      <c r="T72" s="23">
        <f t="shared" si="69"/>
        <v>23787.103544354315</v>
      </c>
      <c r="U72" s="23">
        <f t="shared" si="69"/>
        <v>24135.833759735142</v>
      </c>
      <c r="V72" s="23">
        <f t="shared" si="69"/>
        <v>23660.658956555813</v>
      </c>
      <c r="W72" s="23">
        <f t="shared" si="69"/>
        <v>24716.59951857779</v>
      </c>
      <c r="X72" s="23">
        <f t="shared" si="69"/>
        <v>25144.355071127939</v>
      </c>
      <c r="Y72" s="23">
        <f t="shared" si="69"/>
        <v>24727.590668620331</v>
      </c>
      <c r="Z72" s="23">
        <f t="shared" si="69"/>
        <v>24590.610221542152</v>
      </c>
      <c r="AA72" s="23">
        <f t="shared" si="69"/>
        <v>24583.600460378959</v>
      </c>
      <c r="AB72" s="23">
        <f t="shared" si="69"/>
        <v>25027.890947073891</v>
      </c>
      <c r="AC72" s="23">
        <f t="shared" si="69"/>
        <v>24787.969775967224</v>
      </c>
      <c r="AD72" s="23">
        <f t="shared" si="69"/>
        <v>25016.600962009874</v>
      </c>
      <c r="AE72" s="23">
        <f t="shared" si="69"/>
        <v>23781.668359180399</v>
      </c>
      <c r="AF72" s="23">
        <f t="shared" si="69"/>
        <v>22791.32797684093</v>
      </c>
      <c r="AG72" s="23">
        <f t="shared" si="69"/>
        <v>23218.749786011838</v>
      </c>
    </row>
    <row r="73" spans="1:72" x14ac:dyDescent="0.25">
      <c r="E73" t="s">
        <v>817</v>
      </c>
      <c r="F73" s="23">
        <f>SUM(F71:F72)</f>
        <v>54756.895539438861</v>
      </c>
      <c r="G73" s="23">
        <f t="shared" ref="G73:AG73" si="70">SUM(G71:G72)</f>
        <v>54835.924710826454</v>
      </c>
      <c r="H73" s="23">
        <f t="shared" si="70"/>
        <v>53734.283870079205</v>
      </c>
      <c r="I73" s="23">
        <f t="shared" si="70"/>
        <v>53035.933504738052</v>
      </c>
      <c r="J73" s="23">
        <f t="shared" si="70"/>
        <v>51879.522984086565</v>
      </c>
      <c r="K73" s="23">
        <f t="shared" si="70"/>
        <v>51550.3707194296</v>
      </c>
      <c r="L73" s="23">
        <f t="shared" si="70"/>
        <v>53352.335784971452</v>
      </c>
      <c r="M73" s="23">
        <f t="shared" si="70"/>
        <v>54122.126056972935</v>
      </c>
      <c r="N73" s="23">
        <f t="shared" si="70"/>
        <v>54540.17637945601</v>
      </c>
      <c r="O73" s="23">
        <f t="shared" si="70"/>
        <v>54517.996734214306</v>
      </c>
      <c r="P73" s="23">
        <f t="shared" si="70"/>
        <v>54757.063776171039</v>
      </c>
      <c r="Q73" s="23">
        <f t="shared" si="70"/>
        <v>54297.415777116054</v>
      </c>
      <c r="R73" s="23">
        <f t="shared" si="70"/>
        <v>54268.686230152947</v>
      </c>
      <c r="S73" s="23">
        <f t="shared" si="70"/>
        <v>53103.300485555388</v>
      </c>
      <c r="T73" s="23">
        <f t="shared" si="70"/>
        <v>52305.384625932755</v>
      </c>
      <c r="U73" s="23">
        <f t="shared" si="70"/>
        <v>52875.718515584391</v>
      </c>
      <c r="V73" s="23">
        <f t="shared" si="70"/>
        <v>52309.677981997498</v>
      </c>
      <c r="W73" s="23">
        <f t="shared" si="70"/>
        <v>53967.684889146971</v>
      </c>
      <c r="X73" s="23">
        <f t="shared" si="70"/>
        <v>54914.340688366763</v>
      </c>
      <c r="Y73" s="23">
        <f t="shared" si="70"/>
        <v>54352.604265758389</v>
      </c>
      <c r="Z73" s="23">
        <f t="shared" si="70"/>
        <v>54006.780209516626</v>
      </c>
      <c r="AA73" s="23">
        <f t="shared" si="70"/>
        <v>53886.468967604451</v>
      </c>
      <c r="AB73" s="23">
        <f t="shared" si="70"/>
        <v>54883.732634688306</v>
      </c>
      <c r="AC73" s="23">
        <f t="shared" si="70"/>
        <v>54515.810105044598</v>
      </c>
      <c r="AD73" s="23">
        <f t="shared" si="70"/>
        <v>54553.409338936297</v>
      </c>
      <c r="AE73" s="23">
        <f t="shared" si="70"/>
        <v>53014.022492486372</v>
      </c>
      <c r="AF73" s="23">
        <f t="shared" si="70"/>
        <v>51482.054804267711</v>
      </c>
      <c r="AG73" s="23">
        <f t="shared" si="70"/>
        <v>51379.911528248515</v>
      </c>
    </row>
    <row r="74" spans="1:72" x14ac:dyDescent="0.25">
      <c r="E74" t="s">
        <v>831</v>
      </c>
      <c r="F74" s="22">
        <v>30363.701489664549</v>
      </c>
      <c r="G74" s="22">
        <v>30620.087433327655</v>
      </c>
      <c r="H74" s="22">
        <v>30019.645292780151</v>
      </c>
      <c r="I74" s="22">
        <v>29126.832767672211</v>
      </c>
      <c r="J74" s="22">
        <v>28220.504029960546</v>
      </c>
      <c r="K74" s="22">
        <v>28658.334296648256</v>
      </c>
      <c r="L74" s="22">
        <v>29216.836454505894</v>
      </c>
      <c r="M74" s="22">
        <v>29686.534877773469</v>
      </c>
      <c r="N74" s="22">
        <v>30358.840057469566</v>
      </c>
      <c r="O74" s="22">
        <v>30552.5406715998</v>
      </c>
      <c r="P74" s="22">
        <v>30515.456515029604</v>
      </c>
      <c r="Q74" s="22">
        <v>30340.133527107813</v>
      </c>
      <c r="R74" s="22">
        <v>29862.347205058868</v>
      </c>
      <c r="S74" s="22">
        <v>28988.455674699828</v>
      </c>
      <c r="T74" s="22">
        <v>28771.73121104404</v>
      </c>
      <c r="U74" s="22">
        <v>28806.676410294196</v>
      </c>
      <c r="V74" s="22">
        <v>28710.685662648946</v>
      </c>
      <c r="W74" s="22">
        <v>27953.813125583809</v>
      </c>
      <c r="X74" s="22">
        <v>29128.465653077492</v>
      </c>
      <c r="Y74" s="22">
        <v>28566.814632287216</v>
      </c>
      <c r="Z74" s="22">
        <v>29466.291233402069</v>
      </c>
      <c r="AA74" s="22">
        <v>29540.386989025857</v>
      </c>
      <c r="AB74" s="22">
        <v>28765.723679034749</v>
      </c>
      <c r="AC74" s="22">
        <v>29976.162007053368</v>
      </c>
      <c r="AD74" s="22">
        <v>29854.259774176113</v>
      </c>
      <c r="AE74" s="22">
        <v>29764.794009191111</v>
      </c>
      <c r="AF74" s="22">
        <v>28493.468307353363</v>
      </c>
      <c r="AG74" s="22">
        <v>28161.291437902692</v>
      </c>
    </row>
    <row r="75" spans="1:72" x14ac:dyDescent="0.25">
      <c r="E75" t="s">
        <v>833</v>
      </c>
      <c r="F75" s="22">
        <v>23966.513245185564</v>
      </c>
      <c r="G75" s="22">
        <v>25488.169557235855</v>
      </c>
      <c r="H75" s="22">
        <v>24918.03927597345</v>
      </c>
      <c r="I75" s="22">
        <v>24848.327264592699</v>
      </c>
      <c r="J75" s="22">
        <v>24505.816851306721</v>
      </c>
      <c r="K75" s="22">
        <v>24432.14794095813</v>
      </c>
      <c r="L75" s="22">
        <v>25202.904527562976</v>
      </c>
      <c r="M75" s="22">
        <v>25504.378529824888</v>
      </c>
      <c r="N75" s="22">
        <v>25890.467620410676</v>
      </c>
      <c r="O75" s="22">
        <v>25983.786939397698</v>
      </c>
      <c r="P75" s="22">
        <v>25868.394067579684</v>
      </c>
      <c r="Q75" s="22">
        <v>26002.535902574971</v>
      </c>
      <c r="R75" s="22">
        <v>26531.007410409438</v>
      </c>
      <c r="S75" s="22">
        <v>24775.301428664814</v>
      </c>
      <c r="T75" s="22">
        <v>24381.007267856174</v>
      </c>
      <c r="U75" s="22">
        <v>24606.540158008142</v>
      </c>
      <c r="V75" s="22">
        <v>24681.528992201023</v>
      </c>
      <c r="W75" s="22">
        <v>24370.637912824339</v>
      </c>
      <c r="X75" s="22">
        <v>25360.261324110521</v>
      </c>
      <c r="Y75" s="22">
        <v>24580.116845224002</v>
      </c>
      <c r="Z75" s="22">
        <v>25130.517014652847</v>
      </c>
      <c r="AA75" s="22">
        <v>25304.85592670933</v>
      </c>
      <c r="AB75" s="22">
        <v>24407.03698205229</v>
      </c>
      <c r="AC75" s="22">
        <v>25679.803908205235</v>
      </c>
      <c r="AD75" s="22">
        <v>25935.14594405461</v>
      </c>
      <c r="AE75" s="22">
        <v>24944.276967369409</v>
      </c>
      <c r="AF75" s="22">
        <v>23249.801068831042</v>
      </c>
      <c r="AG75" s="22">
        <v>23515.861940250066</v>
      </c>
    </row>
    <row r="76" spans="1:72" x14ac:dyDescent="0.25">
      <c r="E76" t="s">
        <v>818</v>
      </c>
      <c r="F76" s="22">
        <f>SUM(F74:F75)</f>
        <v>54330.214734850117</v>
      </c>
      <c r="G76" s="22">
        <f t="shared" ref="G76:AG76" si="71">SUM(G74:G75)</f>
        <v>56108.25699056351</v>
      </c>
      <c r="H76" s="22">
        <f t="shared" si="71"/>
        <v>54937.684568753597</v>
      </c>
      <c r="I76" s="22">
        <f t="shared" si="71"/>
        <v>53975.16003226491</v>
      </c>
      <c r="J76" s="22">
        <f t="shared" si="71"/>
        <v>52726.320881267267</v>
      </c>
      <c r="K76" s="22">
        <f t="shared" si="71"/>
        <v>53090.482237606382</v>
      </c>
      <c r="L76" s="22">
        <f t="shared" si="71"/>
        <v>54419.74098206887</v>
      </c>
      <c r="M76" s="22">
        <f t="shared" si="71"/>
        <v>55190.91340759836</v>
      </c>
      <c r="N76" s="22">
        <f t="shared" si="71"/>
        <v>56249.307677880242</v>
      </c>
      <c r="O76" s="22">
        <f t="shared" si="71"/>
        <v>56536.327610997498</v>
      </c>
      <c r="P76" s="22">
        <f t="shared" si="71"/>
        <v>56383.850582609288</v>
      </c>
      <c r="Q76" s="22">
        <f t="shared" si="71"/>
        <v>56342.669429682785</v>
      </c>
      <c r="R76" s="22">
        <f t="shared" si="71"/>
        <v>56393.354615468306</v>
      </c>
      <c r="S76" s="22">
        <f t="shared" si="71"/>
        <v>53763.757103364638</v>
      </c>
      <c r="T76" s="22">
        <f t="shared" si="71"/>
        <v>53152.73847890021</v>
      </c>
      <c r="U76" s="22">
        <f t="shared" si="71"/>
        <v>53413.216568302334</v>
      </c>
      <c r="V76" s="22">
        <f t="shared" si="71"/>
        <v>53392.214654849973</v>
      </c>
      <c r="W76" s="22">
        <f t="shared" si="71"/>
        <v>52324.451038408151</v>
      </c>
      <c r="X76" s="22">
        <f t="shared" si="71"/>
        <v>54488.726977188009</v>
      </c>
      <c r="Y76" s="22">
        <f t="shared" si="71"/>
        <v>53146.931477511214</v>
      </c>
      <c r="Z76" s="22">
        <f t="shared" si="71"/>
        <v>54596.80824805492</v>
      </c>
      <c r="AA76" s="22">
        <f t="shared" si="71"/>
        <v>54845.242915735187</v>
      </c>
      <c r="AB76" s="22">
        <f t="shared" si="71"/>
        <v>53172.760661087043</v>
      </c>
      <c r="AC76" s="22">
        <f t="shared" si="71"/>
        <v>55655.965915258603</v>
      </c>
      <c r="AD76" s="22">
        <f t="shared" si="71"/>
        <v>55789.405718230722</v>
      </c>
      <c r="AE76" s="22">
        <f t="shared" si="71"/>
        <v>54709.070976560521</v>
      </c>
      <c r="AF76" s="22">
        <f t="shared" si="71"/>
        <v>51743.269376184406</v>
      </c>
      <c r="AG76" s="22">
        <f t="shared" si="71"/>
        <v>51677.153378152754</v>
      </c>
    </row>
    <row r="77" spans="1:72" x14ac:dyDescent="0.25">
      <c r="E77" t="s">
        <v>819</v>
      </c>
      <c r="F77" s="58">
        <f>(F73-F76)/F76</f>
        <v>7.8534717131359E-3</v>
      </c>
      <c r="G77" s="58">
        <f t="shared" ref="G77:AG77" si="72">(G73-G76)/G76</f>
        <v>-2.2676382193641161E-2</v>
      </c>
      <c r="H77" s="58">
        <f t="shared" si="72"/>
        <v>-2.1904831048501064E-2</v>
      </c>
      <c r="I77" s="58">
        <f t="shared" si="72"/>
        <v>-1.7401088333326178E-2</v>
      </c>
      <c r="J77" s="58">
        <f t="shared" si="72"/>
        <v>-1.6060250042622543E-2</v>
      </c>
      <c r="K77" s="58">
        <f t="shared" si="72"/>
        <v>-2.9009183063811981E-2</v>
      </c>
      <c r="L77" s="58">
        <f t="shared" si="72"/>
        <v>-1.9614301314832137E-2</v>
      </c>
      <c r="M77" s="58">
        <f t="shared" si="72"/>
        <v>-1.9365277445802902E-2</v>
      </c>
      <c r="N77" s="58">
        <f t="shared" si="72"/>
        <v>-3.0384930392598229E-2</v>
      </c>
      <c r="O77" s="58">
        <f t="shared" si="72"/>
        <v>-3.569971666130263E-2</v>
      </c>
      <c r="P77" s="58">
        <f t="shared" si="72"/>
        <v>-2.8851999103090806E-2</v>
      </c>
      <c r="Q77" s="58">
        <f t="shared" si="72"/>
        <v>-3.6300261831208838E-2</v>
      </c>
      <c r="R77" s="58">
        <f t="shared" si="72"/>
        <v>-3.7675864466707523E-2</v>
      </c>
      <c r="S77" s="58">
        <f t="shared" si="72"/>
        <v>-1.2284420832782859E-2</v>
      </c>
      <c r="T77" s="58">
        <f t="shared" si="72"/>
        <v>-1.5941866350006127E-2</v>
      </c>
      <c r="U77" s="58">
        <f t="shared" si="72"/>
        <v>-1.0063015995874648E-2</v>
      </c>
      <c r="V77" s="58">
        <f t="shared" si="72"/>
        <v>-2.0275178316735004E-2</v>
      </c>
      <c r="W77" s="58">
        <f t="shared" si="72"/>
        <v>3.1404703119247687E-2</v>
      </c>
      <c r="X77" s="58">
        <f t="shared" si="72"/>
        <v>7.8110415638254728E-3</v>
      </c>
      <c r="Y77" s="58">
        <f t="shared" si="72"/>
        <v>2.2685651922488653E-2</v>
      </c>
      <c r="Z77" s="58">
        <f t="shared" si="72"/>
        <v>-1.080700607730699E-2</v>
      </c>
      <c r="AA77" s="58">
        <f t="shared" si="72"/>
        <v>-1.7481442275746807E-2</v>
      </c>
      <c r="AB77" s="58">
        <f t="shared" si="72"/>
        <v>3.2177602823871977E-2</v>
      </c>
      <c r="AC77" s="58">
        <f t="shared" si="72"/>
        <v>-2.0485778864210134E-2</v>
      </c>
      <c r="AD77" s="58">
        <f t="shared" si="72"/>
        <v>-2.2154679071810394E-2</v>
      </c>
      <c r="AE77" s="58">
        <f t="shared" si="72"/>
        <v>-3.0982951342755801E-2</v>
      </c>
      <c r="AF77" s="58">
        <f t="shared" si="72"/>
        <v>-5.048281159383456E-3</v>
      </c>
      <c r="AG77" s="58">
        <f t="shared" si="72"/>
        <v>-5.7519006073949658E-3</v>
      </c>
    </row>
    <row r="99" spans="1:72" x14ac:dyDescent="0.25">
      <c r="R99" t="s">
        <v>820</v>
      </c>
    </row>
    <row r="110" spans="1:72" s="19" customFormat="1" ht="15.75" x14ac:dyDescent="0.25">
      <c r="A110" s="17" t="s">
        <v>807</v>
      </c>
      <c r="B110" s="17"/>
      <c r="C110" s="17"/>
      <c r="D110" s="17"/>
      <c r="E110" s="17"/>
      <c r="F110" s="17">
        <v>1990</v>
      </c>
      <c r="G110" s="17">
        <v>1991</v>
      </c>
      <c r="H110" s="17">
        <v>1992</v>
      </c>
      <c r="I110" s="17">
        <v>1993</v>
      </c>
      <c r="J110" s="17">
        <v>1994</v>
      </c>
      <c r="K110" s="17">
        <v>1995</v>
      </c>
      <c r="L110" s="17">
        <v>1996</v>
      </c>
      <c r="M110" s="17">
        <v>1997</v>
      </c>
      <c r="N110" s="17">
        <v>1998</v>
      </c>
      <c r="O110" s="17">
        <v>1999</v>
      </c>
      <c r="P110" s="17">
        <v>2000</v>
      </c>
      <c r="Q110" s="17">
        <v>2001</v>
      </c>
      <c r="R110" s="17">
        <v>2002</v>
      </c>
      <c r="S110" s="17">
        <v>2003</v>
      </c>
      <c r="T110" s="17">
        <v>2004</v>
      </c>
      <c r="U110" s="17">
        <v>2005</v>
      </c>
      <c r="V110" s="17">
        <v>2006</v>
      </c>
      <c r="W110" s="17">
        <v>2007</v>
      </c>
      <c r="X110" s="17">
        <v>2008</v>
      </c>
      <c r="Y110" s="17">
        <v>2009</v>
      </c>
      <c r="Z110" s="17">
        <v>2010</v>
      </c>
      <c r="AA110" s="17">
        <v>2011</v>
      </c>
      <c r="AB110" s="17">
        <v>2012</v>
      </c>
      <c r="AC110" s="17">
        <v>2013</v>
      </c>
      <c r="AD110" s="17">
        <v>2014</v>
      </c>
      <c r="AE110" s="17">
        <v>2015</v>
      </c>
      <c r="AF110" s="17">
        <v>2016</v>
      </c>
      <c r="AG110" s="17">
        <v>2017</v>
      </c>
      <c r="AH110" s="17">
        <v>2018</v>
      </c>
      <c r="AI110" s="17">
        <v>2019</v>
      </c>
      <c r="AJ110" s="17">
        <v>2020</v>
      </c>
      <c r="AK110" s="17">
        <v>2021</v>
      </c>
      <c r="AL110" s="17">
        <v>2022</v>
      </c>
      <c r="AM110" s="17">
        <v>2023</v>
      </c>
      <c r="AN110" s="17">
        <v>2024</v>
      </c>
      <c r="AO110" s="17">
        <v>2025</v>
      </c>
      <c r="AP110" s="17">
        <v>2026</v>
      </c>
      <c r="AQ110" s="17">
        <v>2027</v>
      </c>
      <c r="AR110" s="17">
        <v>2028</v>
      </c>
      <c r="AS110" s="17">
        <v>2029</v>
      </c>
      <c r="AT110" s="17">
        <v>2030</v>
      </c>
      <c r="AU110" s="17">
        <v>2031</v>
      </c>
      <c r="AV110" s="17">
        <v>2032</v>
      </c>
      <c r="AW110" s="17">
        <v>2033</v>
      </c>
      <c r="AX110" s="17">
        <v>2034</v>
      </c>
      <c r="AY110" s="17">
        <v>2035</v>
      </c>
      <c r="AZ110" s="17">
        <v>2036</v>
      </c>
      <c r="BA110" s="17">
        <v>2037</v>
      </c>
      <c r="BB110" s="17">
        <v>2038</v>
      </c>
      <c r="BC110" s="17">
        <v>2039</v>
      </c>
      <c r="BD110" s="17">
        <v>2040</v>
      </c>
      <c r="BE110" s="17">
        <v>2041</v>
      </c>
      <c r="BF110" s="17">
        <v>2042</v>
      </c>
      <c r="BG110" s="17">
        <v>2043</v>
      </c>
      <c r="BH110" s="17">
        <v>2044</v>
      </c>
      <c r="BI110" s="17">
        <v>2045</v>
      </c>
      <c r="BJ110" s="17">
        <v>2046</v>
      </c>
      <c r="BK110" s="17">
        <v>2047</v>
      </c>
      <c r="BL110" s="17">
        <v>2048</v>
      </c>
      <c r="BM110" s="17">
        <v>2049</v>
      </c>
      <c r="BN110" s="17">
        <v>2050</v>
      </c>
      <c r="BO110" s="17"/>
      <c r="BP110" s="17"/>
      <c r="BQ110" s="17"/>
      <c r="BR110" s="17"/>
      <c r="BS110" s="17"/>
      <c r="BT110" s="17"/>
    </row>
    <row r="111" spans="1:72" x14ac:dyDescent="0.25">
      <c r="E111" t="s">
        <v>718</v>
      </c>
      <c r="F111" s="23">
        <v>1113.9523335609101</v>
      </c>
      <c r="G111" s="23">
        <v>1113.9523335609101</v>
      </c>
      <c r="H111" s="23">
        <v>1113.9523335609101</v>
      </c>
      <c r="I111" s="23">
        <v>1113.9523335609101</v>
      </c>
      <c r="J111" s="23">
        <v>1113.9523335609101</v>
      </c>
      <c r="K111" s="23">
        <v>1113.9523335609101</v>
      </c>
      <c r="L111" s="23">
        <v>1113.9523335609101</v>
      </c>
      <c r="M111" s="23">
        <v>1113.9523335609101</v>
      </c>
      <c r="N111" s="23">
        <v>1113.9523335609101</v>
      </c>
      <c r="O111" s="23">
        <v>1113.9523335609101</v>
      </c>
      <c r="P111" s="23">
        <v>1103.4776992955053</v>
      </c>
      <c r="Q111" s="23">
        <v>1282.5517441798665</v>
      </c>
      <c r="R111" s="23">
        <v>1288.9176046937982</v>
      </c>
      <c r="S111" s="23">
        <v>1011.4345809085878</v>
      </c>
      <c r="T111" s="23">
        <v>883.38003872679235</v>
      </c>
      <c r="U111" s="23">
        <v>1412.334298727088</v>
      </c>
      <c r="V111" s="23">
        <v>1236.8838978672777</v>
      </c>
      <c r="W111" s="23">
        <v>1218.5771221263838</v>
      </c>
      <c r="X111" s="23">
        <v>1139.8644942847</v>
      </c>
      <c r="Y111" s="23">
        <v>1078.8713756473658</v>
      </c>
      <c r="Z111" s="23">
        <v>1107.055106514</v>
      </c>
      <c r="AA111" s="23">
        <v>1093.3943713178221</v>
      </c>
      <c r="AB111" s="23">
        <v>1003.5637069444559</v>
      </c>
      <c r="AC111" s="23">
        <v>949.58031288518987</v>
      </c>
      <c r="AD111" s="23">
        <v>1016.956735075512</v>
      </c>
      <c r="AE111" s="23">
        <v>737.86776841461585</v>
      </c>
      <c r="AF111" s="23">
        <v>446.18919850209591</v>
      </c>
      <c r="AG111" s="23">
        <v>416.70692080806589</v>
      </c>
      <c r="AH111" s="23">
        <v>953.41633153144642</v>
      </c>
      <c r="AI111" s="23">
        <v>949.15511278249028</v>
      </c>
      <c r="AJ111" s="23">
        <v>936.84581085219077</v>
      </c>
      <c r="AK111" s="23">
        <v>923.04801254060374</v>
      </c>
      <c r="AL111" s="23">
        <v>923.83086633988489</v>
      </c>
      <c r="AM111" s="23">
        <v>927.35133953171032</v>
      </c>
      <c r="AN111" s="23">
        <v>905.10328771083891</v>
      </c>
      <c r="AO111" s="23">
        <v>888.09961309554592</v>
      </c>
      <c r="AP111" s="23">
        <v>872.75163677437502</v>
      </c>
      <c r="AQ111" s="23">
        <v>857.75800408852626</v>
      </c>
      <c r="AR111" s="23">
        <v>850.61092272546864</v>
      </c>
      <c r="AS111" s="23">
        <v>840.04010457174638</v>
      </c>
      <c r="AT111" s="23">
        <v>828.99691103493274</v>
      </c>
      <c r="AU111" s="23">
        <v>823.86011211605364</v>
      </c>
      <c r="AV111" s="23">
        <v>820.57662159257097</v>
      </c>
      <c r="AW111" s="23">
        <v>817.40761700308474</v>
      </c>
      <c r="AX111" s="23">
        <v>825.66666083675238</v>
      </c>
      <c r="AY111" s="23">
        <v>847.83925712437895</v>
      </c>
      <c r="AZ111" s="23">
        <v>872.92498755693396</v>
      </c>
      <c r="BA111" s="23">
        <v>868.57139706063037</v>
      </c>
      <c r="BB111" s="23">
        <v>864.20568430768526</v>
      </c>
      <c r="BC111" s="23">
        <v>860.27723737280223</v>
      </c>
      <c r="BD111" s="23">
        <v>856.87697424917883</v>
      </c>
      <c r="BE111" s="23">
        <v>853.2172938983382</v>
      </c>
      <c r="BF111" s="23">
        <v>849.16257657644303</v>
      </c>
      <c r="BG111" s="23">
        <v>846.10063420939923</v>
      </c>
      <c r="BH111" s="23">
        <v>843.78828540199515</v>
      </c>
      <c r="BI111" s="23">
        <v>842.18087202380002</v>
      </c>
      <c r="BJ111" s="23">
        <v>841.31426607401693</v>
      </c>
      <c r="BK111" s="23">
        <v>840.76910455168797</v>
      </c>
      <c r="BL111" s="23">
        <v>840.78400975380032</v>
      </c>
      <c r="BM111" s="23">
        <v>841.40450616562623</v>
      </c>
      <c r="BN111" s="23">
        <v>842.3577371508793</v>
      </c>
    </row>
    <row r="112" spans="1:72" x14ac:dyDescent="0.25">
      <c r="E112" t="s">
        <v>719</v>
      </c>
      <c r="F112" s="23">
        <v>1149.3522600947301</v>
      </c>
      <c r="G112" s="23">
        <v>1149.3522600947301</v>
      </c>
      <c r="H112" s="23">
        <v>1149.3522600947301</v>
      </c>
      <c r="I112" s="23">
        <v>1149.3522600947301</v>
      </c>
      <c r="J112" s="23">
        <v>1149.3522600947301</v>
      </c>
      <c r="K112" s="23">
        <v>1149.3522600947301</v>
      </c>
      <c r="L112" s="23">
        <v>1149.3522600947301</v>
      </c>
      <c r="M112" s="23">
        <v>1149.3522600947301</v>
      </c>
      <c r="N112" s="23">
        <v>1149.3522600947301</v>
      </c>
      <c r="O112" s="23">
        <v>1149.3522600947301</v>
      </c>
      <c r="P112" s="23">
        <v>1138.2881924240246</v>
      </c>
      <c r="Q112" s="23">
        <v>1347.8625366593228</v>
      </c>
      <c r="R112" s="23">
        <v>1328.3690110437451</v>
      </c>
      <c r="S112" s="23">
        <v>1017.5651134275211</v>
      </c>
      <c r="T112" s="23">
        <v>914.67644691903695</v>
      </c>
      <c r="U112" s="23">
        <v>1447.9112474339306</v>
      </c>
      <c r="V112" s="23">
        <v>1263.4019893034997</v>
      </c>
      <c r="W112" s="23">
        <v>1217.4357899565925</v>
      </c>
      <c r="X112" s="23">
        <v>1180.1818937292605</v>
      </c>
      <c r="Y112" s="23">
        <v>1108.1395844539597</v>
      </c>
      <c r="Z112" s="23">
        <v>1121.7567904983002</v>
      </c>
      <c r="AA112" s="23">
        <v>1111.0832034573957</v>
      </c>
      <c r="AB112" s="23">
        <v>1002.2217969563279</v>
      </c>
      <c r="AC112" s="23">
        <v>980.55948658247996</v>
      </c>
      <c r="AD112" s="23">
        <v>1029.1314860411758</v>
      </c>
      <c r="AE112" s="23">
        <v>747.9095108761079</v>
      </c>
      <c r="AF112" s="23">
        <v>434.96704823788798</v>
      </c>
      <c r="AG112" s="23">
        <v>408.31943255002801</v>
      </c>
      <c r="AH112" s="23">
        <v>989.03967398644897</v>
      </c>
      <c r="AI112" s="23">
        <v>983.28512705702065</v>
      </c>
      <c r="AJ112" s="23">
        <v>967.27577435076694</v>
      </c>
      <c r="AK112" s="23">
        <v>951.32589869564811</v>
      </c>
      <c r="AL112" s="23">
        <v>951.82222399409432</v>
      </c>
      <c r="AM112" s="23">
        <v>954.41954409596531</v>
      </c>
      <c r="AN112" s="23">
        <v>930.44926853734853</v>
      </c>
      <c r="AO112" s="23">
        <v>912.78960790996337</v>
      </c>
      <c r="AP112" s="23">
        <v>898.22919868546933</v>
      </c>
      <c r="AQ112" s="23">
        <v>882.09325874190063</v>
      </c>
      <c r="AR112" s="23">
        <v>873.40235457932522</v>
      </c>
      <c r="AS112" s="23">
        <v>862.31073006877352</v>
      </c>
      <c r="AT112" s="23">
        <v>850.85907023504603</v>
      </c>
      <c r="AU112" s="23">
        <v>845.85323510737715</v>
      </c>
      <c r="AV112" s="23">
        <v>841.5016547924979</v>
      </c>
      <c r="AW112" s="23">
        <v>837.08693229819619</v>
      </c>
      <c r="AX112" s="23">
        <v>844.96547356760379</v>
      </c>
      <c r="AY112" s="23">
        <v>868.20013695114835</v>
      </c>
      <c r="AZ112" s="23">
        <v>894.24675120583186</v>
      </c>
      <c r="BA112" s="23">
        <v>889.12106883561182</v>
      </c>
      <c r="BB112" s="23">
        <v>884.02389968930368</v>
      </c>
      <c r="BC112" s="23">
        <v>879.52937488119107</v>
      </c>
      <c r="BD112" s="23">
        <v>875.64808458729772</v>
      </c>
      <c r="BE112" s="23">
        <v>871.49158854939481</v>
      </c>
      <c r="BF112" s="23">
        <v>866.96291161788429</v>
      </c>
      <c r="BG112" s="23">
        <v>863.4900838991623</v>
      </c>
      <c r="BH112" s="23">
        <v>860.78270440740164</v>
      </c>
      <c r="BI112" s="23">
        <v>858.70396634124506</v>
      </c>
      <c r="BJ112" s="23">
        <v>857.40507988521222</v>
      </c>
      <c r="BK112" s="23">
        <v>856.48577373147191</v>
      </c>
      <c r="BL112" s="23">
        <v>856.13590414360988</v>
      </c>
      <c r="BM112" s="23">
        <v>856.39584520938138</v>
      </c>
      <c r="BN112" s="23">
        <v>856.95995783585226</v>
      </c>
    </row>
    <row r="113" spans="5:66" x14ac:dyDescent="0.25">
      <c r="E113" t="s">
        <v>117</v>
      </c>
      <c r="F113" s="23">
        <v>357.5</v>
      </c>
      <c r="G113" s="23">
        <v>378.125</v>
      </c>
      <c r="H113" s="23">
        <v>261.25</v>
      </c>
      <c r="I113" s="23">
        <v>412.5</v>
      </c>
      <c r="J113" s="23">
        <v>595.58170833333327</v>
      </c>
      <c r="K113" s="23">
        <v>473.34145833333332</v>
      </c>
      <c r="L113" s="23">
        <v>579.13625000000002</v>
      </c>
      <c r="M113" s="23">
        <v>547.24312499999996</v>
      </c>
      <c r="N113" s="23">
        <v>570.31379166666659</v>
      </c>
      <c r="O113" s="23">
        <v>567.03808333333325</v>
      </c>
      <c r="P113" s="23">
        <v>378.2405</v>
      </c>
      <c r="Q113" s="23">
        <v>489.66362500000002</v>
      </c>
      <c r="R113" s="23">
        <v>672.79437500000006</v>
      </c>
      <c r="S113" s="23">
        <v>580.13175000000001</v>
      </c>
      <c r="T113" s="23">
        <v>579.7403333333333</v>
      </c>
      <c r="U113" s="23">
        <v>266.03683333333333</v>
      </c>
      <c r="V113" s="23">
        <v>441.42908333333332</v>
      </c>
      <c r="W113" s="23">
        <v>521.42108333333329</v>
      </c>
      <c r="X113" s="23">
        <v>655.32637499999998</v>
      </c>
      <c r="Y113" s="23">
        <v>695.56775237855516</v>
      </c>
      <c r="Z113" s="23">
        <v>653.23730656422072</v>
      </c>
      <c r="AA113" s="23">
        <v>722.61220387104663</v>
      </c>
      <c r="AB113" s="23">
        <v>829.6141641239476</v>
      </c>
      <c r="AC113" s="23">
        <v>749.65665536353811</v>
      </c>
      <c r="AD113" s="23">
        <v>773.17356970483502</v>
      </c>
      <c r="AE113" s="23">
        <v>780.22864400722403</v>
      </c>
      <c r="AF113" s="23">
        <v>982.47410734237747</v>
      </c>
      <c r="AG113" s="23">
        <v>1218.2311736138793</v>
      </c>
      <c r="AH113" s="23">
        <v>811.87988683203434</v>
      </c>
      <c r="AI113" s="23">
        <v>828.16067939806783</v>
      </c>
      <c r="AJ113" s="23">
        <v>843.63256429682531</v>
      </c>
      <c r="AK113" s="23">
        <v>859.17385233712901</v>
      </c>
      <c r="AL113" s="23">
        <v>874.71514028200966</v>
      </c>
      <c r="AM113" s="23">
        <v>890.25642822689031</v>
      </c>
      <c r="AN113" s="23">
        <v>905.79771617177096</v>
      </c>
      <c r="AO113" s="23">
        <v>921.33900421207466</v>
      </c>
      <c r="AP113" s="23">
        <v>937.31140020964233</v>
      </c>
      <c r="AQ113" s="23">
        <v>953.28379620720989</v>
      </c>
      <c r="AR113" s="23">
        <v>969.25619220477756</v>
      </c>
      <c r="AS113" s="23">
        <v>985.22858820234535</v>
      </c>
      <c r="AT113" s="23">
        <v>1001.2009841999131</v>
      </c>
      <c r="AU113" s="23">
        <v>1016.9832349872023</v>
      </c>
      <c r="AV113" s="23">
        <v>1032.7654856790691</v>
      </c>
      <c r="AW113" s="23">
        <v>1048.5477364663586</v>
      </c>
      <c r="AX113" s="23">
        <v>1064.3299871582253</v>
      </c>
      <c r="AY113" s="23">
        <v>1080.1122378500922</v>
      </c>
      <c r="AZ113" s="23">
        <v>1096.1072036429516</v>
      </c>
      <c r="BA113" s="23">
        <v>1112.1021694358108</v>
      </c>
      <c r="BB113" s="23">
        <v>1128.0971351332469</v>
      </c>
      <c r="BC113" s="23">
        <v>1144.092100926106</v>
      </c>
      <c r="BD113" s="23">
        <v>1160.0870667189654</v>
      </c>
      <c r="BE113" s="23">
        <v>1176.8778874608386</v>
      </c>
      <c r="BF113" s="23">
        <v>1193.6687081072885</v>
      </c>
      <c r="BG113" s="23">
        <v>1210.4595288491616</v>
      </c>
      <c r="BH113" s="23">
        <v>1227.2503495910348</v>
      </c>
      <c r="BI113" s="23">
        <v>1244.0411703329078</v>
      </c>
      <c r="BJ113" s="23">
        <v>1260.6054327894071</v>
      </c>
      <c r="BK113" s="23">
        <v>1277.169695245907</v>
      </c>
      <c r="BL113" s="23">
        <v>1293.7339577978294</v>
      </c>
      <c r="BM113" s="23">
        <v>1310.2982202543287</v>
      </c>
      <c r="BN113" s="23">
        <v>1326.8624827108285</v>
      </c>
    </row>
    <row r="114" spans="5:66" x14ac:dyDescent="0.25">
      <c r="E114" t="s">
        <v>720</v>
      </c>
      <c r="F114" s="23">
        <v>90.994567483487728</v>
      </c>
      <c r="G114" s="23">
        <v>111.62690198838213</v>
      </c>
      <c r="H114" s="23">
        <v>132.25923649327655</v>
      </c>
      <c r="I114" s="23">
        <v>152.89157099816552</v>
      </c>
      <c r="J114" s="23">
        <v>173.52390550305992</v>
      </c>
      <c r="K114" s="23">
        <v>194.15624000795432</v>
      </c>
      <c r="L114" s="23">
        <v>214.78857451284878</v>
      </c>
      <c r="M114" s="23">
        <v>235.42090901774316</v>
      </c>
      <c r="N114" s="23">
        <v>256.05324352263762</v>
      </c>
      <c r="O114" s="23">
        <v>276.68557802753202</v>
      </c>
      <c r="P114" s="23">
        <v>297.31791253242642</v>
      </c>
      <c r="Q114" s="23">
        <v>317.95024703732088</v>
      </c>
      <c r="R114" s="23">
        <v>338.58258154220977</v>
      </c>
      <c r="S114" s="23">
        <v>359.21491604710423</v>
      </c>
      <c r="T114" s="23">
        <v>435.89846666666671</v>
      </c>
      <c r="U114" s="23">
        <v>355.08659999999998</v>
      </c>
      <c r="V114" s="23">
        <v>393.08573333333334</v>
      </c>
      <c r="W114" s="23">
        <v>484.55366666666663</v>
      </c>
      <c r="X114" s="23">
        <v>480.19253333333336</v>
      </c>
      <c r="Y114" s="23">
        <v>380.54426666666666</v>
      </c>
      <c r="Z114" s="23">
        <v>501.48046666666664</v>
      </c>
      <c r="AA114" s="23">
        <v>571.19113333333337</v>
      </c>
      <c r="AB114" s="23">
        <v>587.22106666666662</v>
      </c>
      <c r="AC114" s="23">
        <v>533.06336966666674</v>
      </c>
      <c r="AD114" s="23">
        <v>663.77159200000006</v>
      </c>
      <c r="AE114" s="23">
        <v>486.09938600666663</v>
      </c>
      <c r="AF114" s="23">
        <v>643.60119999999995</v>
      </c>
      <c r="AG114" s="23">
        <v>679.61446666666666</v>
      </c>
      <c r="AH114" s="23">
        <v>581.01044193354528</v>
      </c>
      <c r="AI114" s="23">
        <v>596.09913131599728</v>
      </c>
      <c r="AJ114" s="23">
        <v>610.43814242074211</v>
      </c>
      <c r="AK114" s="23">
        <v>624.84147486861002</v>
      </c>
      <c r="AL114" s="23">
        <v>639.24480722804208</v>
      </c>
      <c r="AM114" s="23">
        <v>653.64813958747379</v>
      </c>
      <c r="AN114" s="23">
        <v>668.05147194690596</v>
      </c>
      <c r="AO114" s="23">
        <v>682.45480439477376</v>
      </c>
      <c r="AP114" s="23">
        <v>697.25767845163148</v>
      </c>
      <c r="AQ114" s="23">
        <v>712.06055250848885</v>
      </c>
      <c r="AR114" s="23">
        <v>726.86342656534669</v>
      </c>
      <c r="AS114" s="23">
        <v>741.66630062220418</v>
      </c>
      <c r="AT114" s="23">
        <v>756.46917467906189</v>
      </c>
      <c r="AU114" s="23">
        <v>771.09582623300321</v>
      </c>
      <c r="AV114" s="23">
        <v>785.72247769850878</v>
      </c>
      <c r="AW114" s="23">
        <v>800.34912925244987</v>
      </c>
      <c r="AX114" s="23">
        <v>814.97578071795544</v>
      </c>
      <c r="AY114" s="23">
        <v>829.60243218346091</v>
      </c>
      <c r="AZ114" s="23">
        <v>844.42622344254914</v>
      </c>
      <c r="BA114" s="23">
        <v>859.2500147016375</v>
      </c>
      <c r="BB114" s="23">
        <v>874.07380587229011</v>
      </c>
      <c r="BC114" s="23">
        <v>888.89759713137823</v>
      </c>
      <c r="BD114" s="23">
        <v>903.72138839046647</v>
      </c>
      <c r="BE114" s="23">
        <v>919.28276094791306</v>
      </c>
      <c r="BF114" s="23">
        <v>934.8441334169238</v>
      </c>
      <c r="BG114" s="23">
        <v>950.40550597437027</v>
      </c>
      <c r="BH114" s="23">
        <v>965.96687853181686</v>
      </c>
      <c r="BI114" s="23">
        <v>981.52825108926322</v>
      </c>
      <c r="BJ114" s="23">
        <v>996.87965428673249</v>
      </c>
      <c r="BK114" s="23">
        <v>1012.231057484201</v>
      </c>
      <c r="BL114" s="23">
        <v>1027.5824607701059</v>
      </c>
      <c r="BM114" s="23">
        <v>1042.9338639675743</v>
      </c>
      <c r="BN114" s="23">
        <v>1058.2852671650435</v>
      </c>
    </row>
    <row r="115" spans="5:66" x14ac:dyDescent="0.25">
      <c r="E115" t="s">
        <v>721</v>
      </c>
      <c r="F115" s="23">
        <v>19504.904423790304</v>
      </c>
      <c r="G115" s="23">
        <v>20660.917389673377</v>
      </c>
      <c r="H115" s="23">
        <v>20413.635505827424</v>
      </c>
      <c r="I115" s="23">
        <v>20401.840953256564</v>
      </c>
      <c r="J115" s="23">
        <v>20005.189321068094</v>
      </c>
      <c r="K115" s="23">
        <v>19413.178172066404</v>
      </c>
      <c r="L115" s="23">
        <v>20236.165839433314</v>
      </c>
      <c r="M115" s="23">
        <v>20567.076909773743</v>
      </c>
      <c r="N115" s="23">
        <v>20477.475675482336</v>
      </c>
      <c r="O115" s="23">
        <v>20440.765105122711</v>
      </c>
      <c r="P115" s="23">
        <v>20694.986539568359</v>
      </c>
      <c r="Q115" s="23">
        <v>19970.885013290266</v>
      </c>
      <c r="R115" s="23">
        <v>20364.171552574975</v>
      </c>
      <c r="S115" s="23">
        <v>20058.54412967978</v>
      </c>
      <c r="T115" s="23">
        <v>19708.290781864089</v>
      </c>
      <c r="U115" s="23">
        <v>19400.216324542769</v>
      </c>
      <c r="V115" s="23">
        <v>19051.161605532838</v>
      </c>
      <c r="W115" s="23">
        <v>19933.38774514115</v>
      </c>
      <c r="X115" s="23">
        <v>20282.655015129261</v>
      </c>
      <c r="Y115" s="23">
        <v>20068.349414068991</v>
      </c>
      <c r="Z115" s="23">
        <v>19848.964864156231</v>
      </c>
      <c r="AA115" s="23">
        <v>19725.318772611696</v>
      </c>
      <c r="AB115" s="23">
        <v>20225.965895215482</v>
      </c>
      <c r="AC115" s="23">
        <v>20168.260387452727</v>
      </c>
      <c r="AD115" s="23">
        <v>20134.219305294246</v>
      </c>
      <c r="AE115" s="23">
        <v>19667.183224832243</v>
      </c>
      <c r="AF115" s="23">
        <v>18969.40439195502</v>
      </c>
      <c r="AG115" s="23">
        <v>19186.386775060691</v>
      </c>
      <c r="AH115" s="23">
        <v>19753.029018517012</v>
      </c>
      <c r="AI115" s="23">
        <v>19783.906857628604</v>
      </c>
      <c r="AJ115" s="23">
        <v>19779.701574173283</v>
      </c>
      <c r="AK115" s="23">
        <v>19778.904215576487</v>
      </c>
      <c r="AL115" s="23">
        <v>19777.995181996146</v>
      </c>
      <c r="AM115" s="23">
        <v>19776.984421077901</v>
      </c>
      <c r="AN115" s="23">
        <v>19775.880594293696</v>
      </c>
      <c r="AO115" s="23">
        <v>19774.691289095183</v>
      </c>
      <c r="AP115" s="23">
        <v>19775.119562820179</v>
      </c>
      <c r="AQ115" s="23">
        <v>19775.477408932729</v>
      </c>
      <c r="AR115" s="23">
        <v>19775.769943136052</v>
      </c>
      <c r="AS115" s="23">
        <v>19776.001736032402</v>
      </c>
      <c r="AT115" s="23">
        <v>19776.176888033733</v>
      </c>
      <c r="AU115" s="23">
        <v>19775.548399840234</v>
      </c>
      <c r="AV115" s="23">
        <v>19774.869408512444</v>
      </c>
      <c r="AW115" s="23">
        <v>19774.142986120893</v>
      </c>
      <c r="AX115" s="23">
        <v>19773.371926377677</v>
      </c>
      <c r="AY115" s="23">
        <v>19772.558779923431</v>
      </c>
      <c r="AZ115" s="23">
        <v>19772.548026839973</v>
      </c>
      <c r="BA115" s="23">
        <v>19772.500515214859</v>
      </c>
      <c r="BB115" s="23">
        <v>19772.418179134187</v>
      </c>
      <c r="BC115" s="23">
        <v>19772.302803273826</v>
      </c>
      <c r="BD115" s="23">
        <v>19772.156036103148</v>
      </c>
      <c r="BE115" s="23">
        <v>19775.137703889606</v>
      </c>
      <c r="BF115" s="23">
        <v>19778.093650274055</v>
      </c>
      <c r="BG115" s="23">
        <v>19781.025091887313</v>
      </c>
      <c r="BH115" s="23">
        <v>19783.933160775436</v>
      </c>
      <c r="BI115" s="23">
        <v>19786.818913472423</v>
      </c>
      <c r="BJ115" s="23">
        <v>19788.782445242443</v>
      </c>
      <c r="BK115" s="23">
        <v>19790.724893801369</v>
      </c>
      <c r="BL115" s="23">
        <v>19792.647148841716</v>
      </c>
      <c r="BM115" s="23">
        <v>19794.550044580425</v>
      </c>
      <c r="BN115" s="23">
        <v>19796.434366442383</v>
      </c>
    </row>
    <row r="116" spans="5:66" x14ac:dyDescent="0.25">
      <c r="E116" t="s">
        <v>723</v>
      </c>
      <c r="F116" s="23">
        <v>2388.0102035123605</v>
      </c>
      <c r="G116" s="23">
        <v>2422.3649563517615</v>
      </c>
      <c r="H116" s="23">
        <v>2366.0160295258652</v>
      </c>
      <c r="I116" s="23">
        <v>2332.024314033295</v>
      </c>
      <c r="J116" s="23">
        <v>2269.8856393890724</v>
      </c>
      <c r="K116" s="23">
        <v>2257.3551747657566</v>
      </c>
      <c r="L116" s="23">
        <v>2332.8794219128258</v>
      </c>
      <c r="M116" s="23">
        <v>2353.4608848045295</v>
      </c>
      <c r="N116" s="23">
        <v>2375.1086873788704</v>
      </c>
      <c r="O116" s="23">
        <v>2369.8122167060246</v>
      </c>
      <c r="P116" s="23">
        <v>2379.1334621159244</v>
      </c>
      <c r="Q116" s="23">
        <v>2332.4757077458062</v>
      </c>
      <c r="R116" s="23">
        <v>2352.5031586422174</v>
      </c>
      <c r="S116" s="23">
        <v>2317.0522227606916</v>
      </c>
      <c r="T116" s="23">
        <v>2291.1004488983099</v>
      </c>
      <c r="U116" s="23">
        <v>2260.716684821874</v>
      </c>
      <c r="V116" s="23">
        <v>2276.1004128580194</v>
      </c>
      <c r="W116" s="23">
        <v>2334.5451499588221</v>
      </c>
      <c r="X116" s="23">
        <v>2364.8401504898161</v>
      </c>
      <c r="Y116" s="23">
        <v>2357.3087175615215</v>
      </c>
      <c r="Z116" s="23">
        <v>2316.7336232801035</v>
      </c>
      <c r="AA116" s="23">
        <v>2313.3914976011652</v>
      </c>
      <c r="AB116" s="23">
        <v>2334.0985551108756</v>
      </c>
      <c r="AC116" s="23">
        <v>2348.8400209329502</v>
      </c>
      <c r="AD116" s="23">
        <v>2344.4692750460258</v>
      </c>
      <c r="AE116" s="23">
        <v>2299.7650755104332</v>
      </c>
      <c r="AF116" s="23">
        <v>2252.6390591444524</v>
      </c>
      <c r="AG116" s="23">
        <v>2235.452591217253</v>
      </c>
      <c r="AH116" s="23">
        <v>2318.6708655488487</v>
      </c>
      <c r="AI116" s="23">
        <v>2326.0988391477244</v>
      </c>
      <c r="AJ116" s="23">
        <v>2329.177625426456</v>
      </c>
      <c r="AK116" s="23">
        <v>2333.0242915983672</v>
      </c>
      <c r="AL116" s="23">
        <v>2336.8440320658519</v>
      </c>
      <c r="AM116" s="23">
        <v>2340.639256805041</v>
      </c>
      <c r="AN116" s="23">
        <v>2344.4120677609794</v>
      </c>
      <c r="AO116" s="23">
        <v>2348.1643090770926</v>
      </c>
      <c r="AP116" s="23">
        <v>2352.2228962152631</v>
      </c>
      <c r="AQ116" s="23">
        <v>2356.2646437004828</v>
      </c>
      <c r="AR116" s="23">
        <v>2360.2907919866634</v>
      </c>
      <c r="AS116" s="23">
        <v>2364.3024503005117</v>
      </c>
      <c r="AT116" s="23">
        <v>2368.3006144703381</v>
      </c>
      <c r="AU116" s="23">
        <v>2372.1420454436102</v>
      </c>
      <c r="AV116" s="23">
        <v>2375.9714551742882</v>
      </c>
      <c r="AW116" s="23">
        <v>2379.7895929910815</v>
      </c>
      <c r="AX116" s="23">
        <v>2383.5971404881425</v>
      </c>
      <c r="AY116" s="23">
        <v>2387.3947198876349</v>
      </c>
      <c r="AZ116" s="23">
        <v>2391.3447618385985</v>
      </c>
      <c r="BA116" s="23">
        <v>2395.2861478850841</v>
      </c>
      <c r="BB116" s="23">
        <v>2399.2193476668131</v>
      </c>
      <c r="BC116" s="23">
        <v>2403.1447942638629</v>
      </c>
      <c r="BD116" s="23">
        <v>2407.0628875054431</v>
      </c>
      <c r="BE116" s="23">
        <v>2411.5815060623418</v>
      </c>
      <c r="BF116" s="23">
        <v>2416.0941731688263</v>
      </c>
      <c r="BG116" s="23">
        <v>2420.6011787744819</v>
      </c>
      <c r="BH116" s="23">
        <v>2425.1027925074882</v>
      </c>
      <c r="BI116" s="23">
        <v>2429.5992657799802</v>
      </c>
      <c r="BJ116" s="23">
        <v>2433.9174402150056</v>
      </c>
      <c r="BK116" s="23">
        <v>2438.2307601014945</v>
      </c>
      <c r="BL116" s="23">
        <v>2442.5394374527291</v>
      </c>
      <c r="BM116" s="23">
        <v>2446.8436708840272</v>
      </c>
      <c r="BN116" s="23">
        <v>2451.1436471198567</v>
      </c>
    </row>
    <row r="117" spans="5:66" x14ac:dyDescent="0.25">
      <c r="E117" t="s">
        <v>722</v>
      </c>
      <c r="F117" s="23">
        <v>343.10330161578099</v>
      </c>
      <c r="G117" s="23">
        <v>365.58614133033353</v>
      </c>
      <c r="H117" s="23">
        <v>339.91114682728761</v>
      </c>
      <c r="I117" s="23">
        <v>352.62601984444137</v>
      </c>
      <c r="J117" s="23">
        <v>336.24824053022888</v>
      </c>
      <c r="K117" s="23">
        <v>354.90652971327108</v>
      </c>
      <c r="L117" s="23">
        <v>370.7282945162878</v>
      </c>
      <c r="M117" s="23">
        <v>367.33263044382841</v>
      </c>
      <c r="N117" s="23">
        <v>376.31467332854538</v>
      </c>
      <c r="O117" s="23">
        <v>380.26274683162796</v>
      </c>
      <c r="P117" s="23">
        <v>420.72277135231604</v>
      </c>
      <c r="Q117" s="23">
        <v>418.37207720994593</v>
      </c>
      <c r="R117" s="23">
        <v>406.12517665445523</v>
      </c>
      <c r="S117" s="23">
        <v>385.62180744131297</v>
      </c>
      <c r="T117" s="23">
        <v>383.11027791084422</v>
      </c>
      <c r="U117" s="23">
        <v>402.62502084090437</v>
      </c>
      <c r="V117" s="23">
        <v>407.68948429226828</v>
      </c>
      <c r="W117" s="23">
        <v>415.77221135959962</v>
      </c>
      <c r="X117" s="23">
        <v>450.38785912632164</v>
      </c>
      <c r="Y117" s="23">
        <v>447.90280780802436</v>
      </c>
      <c r="Z117" s="23">
        <v>450.47531382738657</v>
      </c>
      <c r="AA117" s="23">
        <v>455.70252815125627</v>
      </c>
      <c r="AB117" s="23">
        <v>454.2990120208886</v>
      </c>
      <c r="AC117" s="23">
        <v>467.1027930484243</v>
      </c>
      <c r="AD117" s="23">
        <v>463.97224881283108</v>
      </c>
      <c r="AE117" s="23">
        <v>471.70799949786652</v>
      </c>
      <c r="AF117" s="23">
        <v>471.14622162385422</v>
      </c>
      <c r="AG117" s="23">
        <v>483.13167606001025</v>
      </c>
      <c r="AH117" s="23">
        <v>468.97422378872818</v>
      </c>
      <c r="AI117" s="23">
        <v>475.2249218374152</v>
      </c>
      <c r="AJ117" s="23">
        <v>478.65003949368145</v>
      </c>
      <c r="AK117" s="23">
        <v>483.65498664992003</v>
      </c>
      <c r="AL117" s="23">
        <v>488.60759728253828</v>
      </c>
      <c r="AM117" s="23">
        <v>493.5128571299885</v>
      </c>
      <c r="AN117" s="23">
        <v>498.37510389742414</v>
      </c>
      <c r="AO117" s="23">
        <v>503.19813309399137</v>
      </c>
      <c r="AP117" s="23">
        <v>508.15424956126054</v>
      </c>
      <c r="AQ117" s="23">
        <v>513.07909238907621</v>
      </c>
      <c r="AR117" s="23">
        <v>517.97517053522256</v>
      </c>
      <c r="AS117" s="23">
        <v>522.84471928557002</v>
      </c>
      <c r="AT117" s="23">
        <v>527.6897377871494</v>
      </c>
      <c r="AU117" s="23">
        <v>532.43584846049509</v>
      </c>
      <c r="AV117" s="23">
        <v>537.16025527304782</v>
      </c>
      <c r="AW117" s="23">
        <v>541.86445238147269</v>
      </c>
      <c r="AX117" s="23">
        <v>546.54979385461331</v>
      </c>
      <c r="AY117" s="23">
        <v>551.21751045982899</v>
      </c>
      <c r="AZ117" s="23">
        <v>555.95546154582189</v>
      </c>
      <c r="BA117" s="23">
        <v>560.67847366596118</v>
      </c>
      <c r="BB117" s="23">
        <v>565.38745674669474</v>
      </c>
      <c r="BC117" s="23">
        <v>570.0832456614994</v>
      </c>
      <c r="BD117" s="23">
        <v>574.76660781803753</v>
      </c>
      <c r="BE117" s="23">
        <v>579.76740432819008</v>
      </c>
      <c r="BF117" s="23">
        <v>584.75875710576554</v>
      </c>
      <c r="BG117" s="23">
        <v>589.74119153472066</v>
      </c>
      <c r="BH117" s="23">
        <v>594.71519356554461</v>
      </c>
      <c r="BI117" s="23">
        <v>599.68121356374206</v>
      </c>
      <c r="BJ117" s="23">
        <v>604.54493484405009</v>
      </c>
      <c r="BK117" s="23">
        <v>609.40109743030723</v>
      </c>
      <c r="BL117" s="23">
        <v>614.25008012470573</v>
      </c>
      <c r="BM117" s="23">
        <v>619.09223605574277</v>
      </c>
      <c r="BN117" s="23">
        <v>623.92789508309704</v>
      </c>
    </row>
    <row r="118" spans="5:66" x14ac:dyDescent="0.25">
      <c r="E118" t="s">
        <v>834</v>
      </c>
      <c r="F118">
        <v>1114.2730572677472</v>
      </c>
      <c r="G118">
        <v>1114.2730572677472</v>
      </c>
      <c r="H118">
        <v>1114.2730572677472</v>
      </c>
      <c r="I118">
        <v>1114.2730572677472</v>
      </c>
      <c r="J118">
        <v>1114.2730572677472</v>
      </c>
      <c r="K118">
        <v>1114.2730572677472</v>
      </c>
      <c r="L118">
        <v>1114.2730572677472</v>
      </c>
      <c r="M118">
        <v>1114.2730572677472</v>
      </c>
      <c r="N118">
        <v>1114.2730572677472</v>
      </c>
      <c r="O118">
        <v>1114.2730572677472</v>
      </c>
      <c r="P118">
        <v>1103.7473247333526</v>
      </c>
      <c r="Q118">
        <v>1295.1615779672622</v>
      </c>
      <c r="R118">
        <v>1300.4179901779976</v>
      </c>
      <c r="S118">
        <v>1021.2239026078485</v>
      </c>
      <c r="T118">
        <v>890.95637702591955</v>
      </c>
      <c r="U118">
        <v>1429.3697355873492</v>
      </c>
      <c r="V118">
        <v>1251.7694565972624</v>
      </c>
      <c r="W118">
        <v>1234.9730242836924</v>
      </c>
      <c r="X118">
        <v>1150.1284038185643</v>
      </c>
      <c r="Y118">
        <v>1091.261696265384</v>
      </c>
      <c r="Z118">
        <v>1116.957250242162</v>
      </c>
      <c r="AA118">
        <v>1100.5811063069254</v>
      </c>
      <c r="AB118">
        <v>1010.9312887182766</v>
      </c>
      <c r="AC118">
        <v>956.65662263461502</v>
      </c>
      <c r="AD118">
        <v>1024.1532025090505</v>
      </c>
      <c r="AE118">
        <v>742.78507159014475</v>
      </c>
      <c r="AF118">
        <v>448.47103409650083</v>
      </c>
      <c r="AG118">
        <v>418.78097085765791</v>
      </c>
    </row>
    <row r="119" spans="5:66" x14ac:dyDescent="0.25">
      <c r="E119" t="s">
        <v>835</v>
      </c>
      <c r="F119">
        <v>1149.6141682079121</v>
      </c>
      <c r="G119">
        <v>1149.6141682079121</v>
      </c>
      <c r="H119">
        <v>1149.6141682079121</v>
      </c>
      <c r="I119">
        <v>1149.6141682079121</v>
      </c>
      <c r="J119">
        <v>1149.6141682079121</v>
      </c>
      <c r="K119">
        <v>1149.6141682079121</v>
      </c>
      <c r="L119">
        <v>1149.6141682079121</v>
      </c>
      <c r="M119">
        <v>1149.6141682079121</v>
      </c>
      <c r="N119">
        <v>1149.6141682079121</v>
      </c>
      <c r="O119">
        <v>1149.6141682079121</v>
      </c>
      <c r="P119">
        <v>1138.5083728727629</v>
      </c>
      <c r="Q119">
        <v>1348.0477860975932</v>
      </c>
      <c r="R119">
        <v>1328.8199324792706</v>
      </c>
      <c r="S119">
        <v>1017.846389296701</v>
      </c>
      <c r="T119">
        <v>914.84836029323264</v>
      </c>
      <c r="U119">
        <v>1448.2029822975244</v>
      </c>
      <c r="V119">
        <v>1263.6284316097351</v>
      </c>
      <c r="W119">
        <v>1217.6306521923173</v>
      </c>
      <c r="X119">
        <v>1180.4178811371937</v>
      </c>
      <c r="Y119">
        <v>1108.455283615433</v>
      </c>
      <c r="Z119">
        <v>1122.512590663056</v>
      </c>
      <c r="AA119">
        <v>1111.8425729905728</v>
      </c>
      <c r="AB119">
        <v>1003.2623700366383</v>
      </c>
      <c r="AC119">
        <v>980.98785105992999</v>
      </c>
      <c r="AD119">
        <v>1029.413853897383</v>
      </c>
      <c r="AE119">
        <v>748.29527463252236</v>
      </c>
      <c r="AF119">
        <v>435.50232253439043</v>
      </c>
      <c r="AG119">
        <v>408.72643283393637</v>
      </c>
    </row>
    <row r="120" spans="5:66" x14ac:dyDescent="0.25">
      <c r="E120" t="s">
        <v>836</v>
      </c>
      <c r="F120">
        <v>363.73333333333335</v>
      </c>
      <c r="G120">
        <v>386.1</v>
      </c>
      <c r="H120">
        <v>266.2</v>
      </c>
      <c r="I120">
        <v>413.6</v>
      </c>
      <c r="J120">
        <v>603.75919999999996</v>
      </c>
      <c r="K120">
        <v>481.52980333333335</v>
      </c>
      <c r="L120">
        <v>588.48859666666669</v>
      </c>
      <c r="M120">
        <v>556.65125999999998</v>
      </c>
      <c r="N120">
        <v>581.37815999999998</v>
      </c>
      <c r="O120">
        <v>577.08170666666672</v>
      </c>
      <c r="P120">
        <v>384.05253333333332</v>
      </c>
      <c r="Q120">
        <v>497.15031666666664</v>
      </c>
      <c r="R120">
        <v>683.69223999999997</v>
      </c>
      <c r="S120">
        <v>585.99346666666668</v>
      </c>
      <c r="T120">
        <v>585.5420633333332</v>
      </c>
      <c r="U120">
        <v>267.37941999999998</v>
      </c>
      <c r="V120">
        <v>445.96068000000002</v>
      </c>
      <c r="W120">
        <v>524.87031666666667</v>
      </c>
      <c r="X120">
        <v>658.9218166666667</v>
      </c>
      <c r="Y120">
        <v>701.39039489690549</v>
      </c>
      <c r="Z120">
        <v>659.21936851962221</v>
      </c>
      <c r="AA120">
        <v>728.33299508239213</v>
      </c>
      <c r="AB120">
        <v>834.93197842496943</v>
      </c>
      <c r="AC120">
        <v>755.27559526787866</v>
      </c>
      <c r="AD120">
        <v>778.70394325525831</v>
      </c>
      <c r="AE120">
        <v>785.73244765147194</v>
      </c>
      <c r="AF120">
        <v>987.21624034293666</v>
      </c>
      <c r="AG120">
        <v>1222.085428916417</v>
      </c>
    </row>
    <row r="121" spans="5:66" x14ac:dyDescent="0.25">
      <c r="E121" t="s">
        <v>837</v>
      </c>
      <c r="F121">
        <v>90.994567483487728</v>
      </c>
      <c r="G121">
        <v>111.62690198838213</v>
      </c>
      <c r="H121">
        <v>132.25923649327655</v>
      </c>
      <c r="I121">
        <v>152.89157099816552</v>
      </c>
      <c r="J121">
        <v>173.52390550305992</v>
      </c>
      <c r="K121">
        <v>194.15624000795432</v>
      </c>
      <c r="L121">
        <v>214.78857451284878</v>
      </c>
      <c r="M121">
        <v>235.42090901774316</v>
      </c>
      <c r="N121">
        <v>256.05324352263756</v>
      </c>
      <c r="O121">
        <v>276.68557802753202</v>
      </c>
      <c r="P121">
        <v>297.31791253242642</v>
      </c>
      <c r="Q121">
        <v>317.95024703732088</v>
      </c>
      <c r="R121">
        <v>338.58258154220977</v>
      </c>
      <c r="S121">
        <v>359.21491604710423</v>
      </c>
      <c r="T121">
        <v>435.89846666666665</v>
      </c>
      <c r="U121">
        <v>355.08659999999998</v>
      </c>
      <c r="V121">
        <v>393.08573333333334</v>
      </c>
      <c r="W121">
        <v>484.55366666666663</v>
      </c>
      <c r="X121">
        <v>480.1925333333333</v>
      </c>
      <c r="Y121">
        <v>380.54426666666666</v>
      </c>
      <c r="Z121">
        <v>501.48046666666664</v>
      </c>
      <c r="AA121">
        <v>571.19113333333325</v>
      </c>
      <c r="AB121">
        <v>587.22106666666662</v>
      </c>
      <c r="AC121">
        <v>533.06336966666674</v>
      </c>
      <c r="AD121">
        <v>663.77159200000006</v>
      </c>
      <c r="AE121">
        <v>486.09938600666663</v>
      </c>
      <c r="AF121">
        <v>643.60119999999995</v>
      </c>
      <c r="AG121">
        <v>679.61446666666666</v>
      </c>
    </row>
    <row r="122" spans="5:66" x14ac:dyDescent="0.25">
      <c r="E122" t="s">
        <v>838</v>
      </c>
      <c r="F122">
        <v>18467.2344176074</v>
      </c>
      <c r="G122">
        <v>19894.379979012047</v>
      </c>
      <c r="H122">
        <v>19508.057170250366</v>
      </c>
      <c r="I122">
        <v>19296.286149483876</v>
      </c>
      <c r="J122">
        <v>18829.799299341739</v>
      </c>
      <c r="K122">
        <v>18816.693751205934</v>
      </c>
      <c r="L122">
        <v>19386.372113208152</v>
      </c>
      <c r="M122">
        <v>19675.368284891847</v>
      </c>
      <c r="N122">
        <v>19967.155293555603</v>
      </c>
      <c r="O122">
        <v>20038.391547786159</v>
      </c>
      <c r="P122">
        <v>20072.524975980316</v>
      </c>
      <c r="Q122">
        <v>19701.088061992123</v>
      </c>
      <c r="R122">
        <v>20023.216099759749</v>
      </c>
      <c r="S122">
        <v>19072.340993484708</v>
      </c>
      <c r="T122">
        <v>18849.389549512067</v>
      </c>
      <c r="U122">
        <v>18446.259485586925</v>
      </c>
      <c r="V122">
        <v>18589.571736189206</v>
      </c>
      <c r="W122">
        <v>18224.734436942501</v>
      </c>
      <c r="X122">
        <v>19088.198147813157</v>
      </c>
      <c r="Y122">
        <v>18553.028011451712</v>
      </c>
      <c r="Z122">
        <v>18939.805460502525</v>
      </c>
      <c r="AA122">
        <v>18994.993526805851</v>
      </c>
      <c r="AB122">
        <v>18278.302953548075</v>
      </c>
      <c r="AC122">
        <v>19582.342769355033</v>
      </c>
      <c r="AD122">
        <v>19570.475186144038</v>
      </c>
      <c r="AE122">
        <v>19327.673861761683</v>
      </c>
      <c r="AF122">
        <v>18029.075027657447</v>
      </c>
      <c r="AG122">
        <v>18081.049004423898</v>
      </c>
    </row>
    <row r="123" spans="5:66" x14ac:dyDescent="0.25">
      <c r="E123" t="s">
        <v>839</v>
      </c>
      <c r="F123">
        <v>2447.8863951470803</v>
      </c>
      <c r="G123">
        <v>2496.9018451868697</v>
      </c>
      <c r="H123">
        <v>2435.3630625952328</v>
      </c>
      <c r="I123">
        <v>2396.995208451192</v>
      </c>
      <c r="J123">
        <v>2325.2582722477832</v>
      </c>
      <c r="K123">
        <v>2349.1668279124592</v>
      </c>
      <c r="L123">
        <v>2406.4403578126485</v>
      </c>
      <c r="M123">
        <v>2433.097951693017</v>
      </c>
      <c r="N123">
        <v>2471.2628832175142</v>
      </c>
      <c r="O123">
        <v>2472.2132034057472</v>
      </c>
      <c r="P123">
        <v>2480.4922407158388</v>
      </c>
      <c r="Q123">
        <v>2454.0922943343203</v>
      </c>
      <c r="R123">
        <v>2476.3439129367157</v>
      </c>
      <c r="S123">
        <v>2359.3324950161041</v>
      </c>
      <c r="T123">
        <v>2347.4845744803165</v>
      </c>
      <c r="U123">
        <v>2284.6952992295182</v>
      </c>
      <c r="V123">
        <v>2357.5665947783837</v>
      </c>
      <c r="W123">
        <v>2297.5662221729922</v>
      </c>
      <c r="X123">
        <v>2380.9463845396517</v>
      </c>
      <c r="Y123">
        <v>2329.35287655092</v>
      </c>
      <c r="Z123">
        <v>2369.3465541862302</v>
      </c>
      <c r="AA123">
        <v>2370.4305491547971</v>
      </c>
      <c r="AB123">
        <v>2269.153208313021</v>
      </c>
      <c r="AC123">
        <v>2431.7524623901409</v>
      </c>
      <c r="AD123">
        <v>2430.5768400701409</v>
      </c>
      <c r="AE123">
        <v>2407.0023766672321</v>
      </c>
      <c r="AF123">
        <v>2265.174978621726</v>
      </c>
      <c r="AG123">
        <v>2253.2585636522972</v>
      </c>
    </row>
    <row r="124" spans="5:66" x14ac:dyDescent="0.25">
      <c r="E124" t="s">
        <v>840</v>
      </c>
      <c r="F124">
        <v>332.77730613860399</v>
      </c>
      <c r="G124">
        <v>353.03457691007083</v>
      </c>
      <c r="H124">
        <v>329.75336223257443</v>
      </c>
      <c r="I124">
        <v>341.70939722274608</v>
      </c>
      <c r="J124">
        <v>326.52853902593881</v>
      </c>
      <c r="K124">
        <v>344.58323593662567</v>
      </c>
      <c r="L124">
        <v>360.27670046049241</v>
      </c>
      <c r="M124">
        <v>357.64284080532752</v>
      </c>
      <c r="N124">
        <v>367.73848791261435</v>
      </c>
      <c r="O124">
        <v>372.0452384281258</v>
      </c>
      <c r="P124">
        <v>408.94308689508148</v>
      </c>
      <c r="Q124">
        <v>406.68937516322404</v>
      </c>
      <c r="R124">
        <v>397.06973777083419</v>
      </c>
      <c r="S124">
        <v>376.09010924780205</v>
      </c>
      <c r="T124">
        <v>374.09743931517124</v>
      </c>
      <c r="U124">
        <v>392.69820864834276</v>
      </c>
      <c r="V124">
        <v>398.35557315486267</v>
      </c>
      <c r="W124">
        <v>404.14478384272525</v>
      </c>
      <c r="X124">
        <v>438.4751035531649</v>
      </c>
      <c r="Y124">
        <v>433.26067452840772</v>
      </c>
      <c r="Z124">
        <v>438.54251424027257</v>
      </c>
      <c r="AA124">
        <v>444.74604882624305</v>
      </c>
      <c r="AB124">
        <v>440.60780254144959</v>
      </c>
      <c r="AC124">
        <v>456.58226294187887</v>
      </c>
      <c r="AD124">
        <v>454.87268271519412</v>
      </c>
      <c r="AE124">
        <v>463.54275866618883</v>
      </c>
      <c r="AF124">
        <v>458.22071963845576</v>
      </c>
      <c r="AG124">
        <v>469.34598780544559</v>
      </c>
    </row>
  </sheetData>
  <pageMargins left="0.7" right="0.7" top="0.75" bottom="0.75" header="0.3" footer="0.3"/>
  <pageSetup paperSize="9" orientation="portrait" r:id="rId1"/>
  <drawing r:id="rId2"/>
  <extLst>
    <ext xmlns:x14="http://schemas.microsoft.com/office/spreadsheetml/2009/9/main" uri="{05C60535-1F16-4fd2-B633-F4F36F0B64E0}">
      <x14:sparklineGroups xmlns:xm="http://schemas.microsoft.com/office/excel/2006/main">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'Emissions summary'!F5:AG5</xm:f>
              <xm:sqref>BP5</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82"/>
  <sheetViews>
    <sheetView topLeftCell="A43" workbookViewId="0">
      <selection activeCell="F69" sqref="F69"/>
    </sheetView>
  </sheetViews>
  <sheetFormatPr defaultRowHeight="15" x14ac:dyDescent="0.25"/>
  <cols>
    <col min="1" max="1" width="44.42578125" customWidth="1"/>
    <col min="2" max="2" width="46.42578125" customWidth="1"/>
    <col min="3" max="3" width="37.42578125" customWidth="1"/>
    <col min="4" max="4" width="41" customWidth="1"/>
    <col min="6" max="6" width="35.7109375" customWidth="1"/>
  </cols>
  <sheetData>
    <row r="1" spans="1:6" ht="18.75" x14ac:dyDescent="0.3">
      <c r="A1" s="1" t="s">
        <v>11</v>
      </c>
    </row>
    <row r="3" spans="1:6" ht="17.25" x14ac:dyDescent="0.3">
      <c r="A3" s="97" t="s">
        <v>15</v>
      </c>
      <c r="B3" s="98"/>
      <c r="C3" s="98"/>
      <c r="D3" s="99"/>
    </row>
    <row r="4" spans="1:6" ht="15.75" x14ac:dyDescent="0.25">
      <c r="A4" s="2" t="s">
        <v>16</v>
      </c>
      <c r="B4" s="2" t="s">
        <v>17</v>
      </c>
      <c r="C4" s="2" t="s">
        <v>18</v>
      </c>
      <c r="D4" s="2" t="s">
        <v>74</v>
      </c>
      <c r="F4" s="10" t="s">
        <v>100</v>
      </c>
    </row>
    <row r="5" spans="1:6" ht="15" customHeight="1" x14ac:dyDescent="0.25">
      <c r="A5" s="8" t="s">
        <v>19</v>
      </c>
      <c r="B5" s="4" t="s">
        <v>20</v>
      </c>
      <c r="C5" s="3" t="s">
        <v>21</v>
      </c>
      <c r="D5" s="3" t="s">
        <v>10</v>
      </c>
      <c r="F5" t="s">
        <v>101</v>
      </c>
    </row>
    <row r="6" spans="1:6" ht="15" customHeight="1" x14ac:dyDescent="0.25">
      <c r="A6" s="8"/>
      <c r="B6" s="4"/>
      <c r="C6" s="3"/>
      <c r="D6" s="3" t="s">
        <v>71</v>
      </c>
      <c r="F6" t="s">
        <v>102</v>
      </c>
    </row>
    <row r="7" spans="1:6" x14ac:dyDescent="0.25">
      <c r="A7" s="6"/>
      <c r="B7" s="4"/>
      <c r="C7" s="3" t="s">
        <v>22</v>
      </c>
      <c r="D7" s="3"/>
      <c r="F7" t="s">
        <v>103</v>
      </c>
    </row>
    <row r="8" spans="1:6" x14ac:dyDescent="0.25">
      <c r="A8" s="6"/>
      <c r="B8" s="4"/>
      <c r="C8" s="3" t="s">
        <v>23</v>
      </c>
      <c r="D8" s="3"/>
      <c r="F8" t="s">
        <v>104</v>
      </c>
    </row>
    <row r="9" spans="1:6" x14ac:dyDescent="0.25">
      <c r="A9" s="6"/>
      <c r="B9" s="4"/>
      <c r="C9" s="3" t="s">
        <v>24</v>
      </c>
      <c r="D9" s="3"/>
      <c r="F9" t="s">
        <v>105</v>
      </c>
    </row>
    <row r="10" spans="1:6" x14ac:dyDescent="0.25">
      <c r="A10" s="6"/>
      <c r="B10" s="4"/>
      <c r="C10" s="3" t="s">
        <v>144</v>
      </c>
      <c r="D10" s="3"/>
      <c r="F10" t="s">
        <v>106</v>
      </c>
    </row>
    <row r="11" spans="1:6" x14ac:dyDescent="0.25">
      <c r="A11" s="6"/>
      <c r="B11" s="4"/>
      <c r="C11" s="3" t="s">
        <v>25</v>
      </c>
      <c r="D11" s="3"/>
      <c r="F11" t="s">
        <v>107</v>
      </c>
    </row>
    <row r="12" spans="1:6" x14ac:dyDescent="0.25">
      <c r="A12" s="6"/>
      <c r="B12" s="4" t="s">
        <v>26</v>
      </c>
      <c r="C12" s="3" t="s">
        <v>27</v>
      </c>
      <c r="D12" s="3" t="s">
        <v>72</v>
      </c>
      <c r="F12" t="s">
        <v>108</v>
      </c>
    </row>
    <row r="13" spans="1:6" x14ac:dyDescent="0.25">
      <c r="A13" s="6"/>
      <c r="B13" s="4"/>
      <c r="C13" s="3"/>
      <c r="D13" s="3" t="s">
        <v>73</v>
      </c>
      <c r="F13" t="s">
        <v>109</v>
      </c>
    </row>
    <row r="14" spans="1:6" x14ac:dyDescent="0.25">
      <c r="A14" s="6"/>
      <c r="B14" s="4"/>
      <c r="C14" s="3" t="s">
        <v>28</v>
      </c>
      <c r="D14" s="3"/>
      <c r="F14" t="s">
        <v>110</v>
      </c>
    </row>
    <row r="15" spans="1:6" x14ac:dyDescent="0.25">
      <c r="A15" s="6"/>
      <c r="B15" s="4"/>
      <c r="C15" s="3" t="s">
        <v>29</v>
      </c>
      <c r="D15" s="3"/>
      <c r="F15" t="s">
        <v>111</v>
      </c>
    </row>
    <row r="16" spans="1:6" x14ac:dyDescent="0.25">
      <c r="A16" s="6"/>
      <c r="B16" s="4"/>
      <c r="C16" s="3" t="s">
        <v>30</v>
      </c>
      <c r="D16" s="3"/>
      <c r="F16" t="s">
        <v>112</v>
      </c>
    </row>
    <row r="17" spans="1:6" x14ac:dyDescent="0.25">
      <c r="A17" s="6"/>
      <c r="B17" s="4"/>
      <c r="C17" s="3" t="s">
        <v>145</v>
      </c>
      <c r="D17" s="3"/>
      <c r="F17" t="s">
        <v>114</v>
      </c>
    </row>
    <row r="18" spans="1:6" x14ac:dyDescent="0.25">
      <c r="A18" s="6"/>
      <c r="B18" s="4"/>
      <c r="C18" s="3" t="s">
        <v>31</v>
      </c>
      <c r="D18" s="3"/>
      <c r="F18" t="s">
        <v>115</v>
      </c>
    </row>
    <row r="19" spans="1:6" x14ac:dyDescent="0.25">
      <c r="A19" s="6"/>
      <c r="B19" s="4"/>
      <c r="C19" s="3" t="s">
        <v>32</v>
      </c>
      <c r="D19" s="3"/>
      <c r="F19" t="s">
        <v>116</v>
      </c>
    </row>
    <row r="20" spans="1:6" x14ac:dyDescent="0.25">
      <c r="A20" s="6"/>
      <c r="B20" s="4" t="s">
        <v>741</v>
      </c>
      <c r="C20" s="3" t="s">
        <v>27</v>
      </c>
      <c r="D20" s="3" t="s">
        <v>72</v>
      </c>
      <c r="F20" t="s">
        <v>117</v>
      </c>
    </row>
    <row r="21" spans="1:6" x14ac:dyDescent="0.25">
      <c r="A21" s="6"/>
      <c r="B21" s="4"/>
      <c r="C21" s="3"/>
      <c r="D21" s="3" t="s">
        <v>73</v>
      </c>
      <c r="F21" t="s">
        <v>118</v>
      </c>
    </row>
    <row r="22" spans="1:6" x14ac:dyDescent="0.25">
      <c r="A22" s="6"/>
      <c r="B22" s="4"/>
      <c r="C22" s="3" t="s">
        <v>28</v>
      </c>
      <c r="D22" s="3"/>
      <c r="F22" t="s">
        <v>119</v>
      </c>
    </row>
    <row r="23" spans="1:6" x14ac:dyDescent="0.25">
      <c r="A23" s="6"/>
      <c r="B23" s="4"/>
      <c r="C23" s="3" t="s">
        <v>29</v>
      </c>
      <c r="D23" s="3"/>
      <c r="F23" t="s">
        <v>120</v>
      </c>
    </row>
    <row r="24" spans="1:6" x14ac:dyDescent="0.25">
      <c r="A24" s="6"/>
      <c r="B24" s="4"/>
      <c r="C24" s="3" t="s">
        <v>30</v>
      </c>
      <c r="D24" s="3"/>
      <c r="F24" t="s">
        <v>121</v>
      </c>
    </row>
    <row r="25" spans="1:6" x14ac:dyDescent="0.25">
      <c r="A25" s="6"/>
      <c r="B25" s="4"/>
      <c r="C25" s="3" t="s">
        <v>145</v>
      </c>
      <c r="D25" s="3"/>
      <c r="F25" t="s">
        <v>122</v>
      </c>
    </row>
    <row r="26" spans="1:6" x14ac:dyDescent="0.25">
      <c r="A26" s="6"/>
      <c r="B26" s="4"/>
      <c r="C26" s="3" t="s">
        <v>31</v>
      </c>
      <c r="D26" s="3"/>
      <c r="F26" t="s">
        <v>123</v>
      </c>
    </row>
    <row r="27" spans="1:6" x14ac:dyDescent="0.25">
      <c r="A27" s="6"/>
      <c r="B27" s="4"/>
      <c r="C27" s="3" t="s">
        <v>32</v>
      </c>
      <c r="D27" s="3"/>
      <c r="F27" t="s">
        <v>66</v>
      </c>
    </row>
    <row r="28" spans="1:6" ht="16.5" customHeight="1" x14ac:dyDescent="0.25">
      <c r="A28" s="8" t="s">
        <v>33</v>
      </c>
      <c r="B28" s="4" t="s">
        <v>34</v>
      </c>
      <c r="C28" s="3" t="s">
        <v>35</v>
      </c>
      <c r="D28" s="3"/>
      <c r="F28" t="s">
        <v>67</v>
      </c>
    </row>
    <row r="29" spans="1:6" x14ac:dyDescent="0.25">
      <c r="A29" s="6"/>
      <c r="B29" s="4"/>
      <c r="C29" s="3" t="s">
        <v>36</v>
      </c>
      <c r="D29" s="3" t="s">
        <v>75</v>
      </c>
      <c r="F29" t="s">
        <v>124</v>
      </c>
    </row>
    <row r="30" spans="1:6" x14ac:dyDescent="0.25">
      <c r="A30" s="6"/>
      <c r="B30" s="4"/>
      <c r="C30" s="3"/>
      <c r="D30" s="3" t="s">
        <v>76</v>
      </c>
    </row>
    <row r="31" spans="1:6" x14ac:dyDescent="0.25">
      <c r="A31" s="6"/>
      <c r="B31" s="4"/>
      <c r="C31" s="3"/>
      <c r="D31" s="3" t="s">
        <v>77</v>
      </c>
      <c r="F31" t="s">
        <v>3</v>
      </c>
    </row>
    <row r="32" spans="1:6" x14ac:dyDescent="0.25">
      <c r="A32" s="6"/>
      <c r="B32" s="4"/>
      <c r="C32" s="3"/>
      <c r="D32" s="3" t="s">
        <v>78</v>
      </c>
      <c r="F32" t="s">
        <v>101</v>
      </c>
    </row>
    <row r="33" spans="1:6" x14ac:dyDescent="0.25">
      <c r="A33" s="6"/>
      <c r="B33" s="4"/>
      <c r="C33" s="3"/>
      <c r="D33" s="3" t="s">
        <v>79</v>
      </c>
      <c r="F33" t="s">
        <v>102</v>
      </c>
    </row>
    <row r="34" spans="1:6" x14ac:dyDescent="0.25">
      <c r="A34" s="6"/>
      <c r="B34" s="4" t="s">
        <v>37</v>
      </c>
      <c r="C34" s="3" t="s">
        <v>38</v>
      </c>
      <c r="D34" s="3"/>
    </row>
    <row r="35" spans="1:6" x14ac:dyDescent="0.25">
      <c r="A35" s="6"/>
      <c r="B35" s="4"/>
      <c r="C35" s="3" t="s">
        <v>39</v>
      </c>
      <c r="D35" s="3" t="s">
        <v>80</v>
      </c>
    </row>
    <row r="36" spans="1:6" x14ac:dyDescent="0.25">
      <c r="A36" s="6"/>
      <c r="B36" s="4"/>
      <c r="C36" s="3"/>
      <c r="D36" s="3" t="s">
        <v>81</v>
      </c>
      <c r="F36" t="s">
        <v>126</v>
      </c>
    </row>
    <row r="37" spans="1:6" x14ac:dyDescent="0.25">
      <c r="A37" s="6"/>
      <c r="B37" s="4"/>
      <c r="C37" s="3"/>
      <c r="D37" s="3" t="s">
        <v>82</v>
      </c>
      <c r="F37" t="s">
        <v>127</v>
      </c>
    </row>
    <row r="38" spans="1:6" x14ac:dyDescent="0.25">
      <c r="A38" s="6"/>
      <c r="B38" s="4"/>
      <c r="C38" s="3"/>
      <c r="D38" s="3" t="s">
        <v>83</v>
      </c>
      <c r="F38" t="s">
        <v>139</v>
      </c>
    </row>
    <row r="39" spans="1:6" x14ac:dyDescent="0.25">
      <c r="A39" s="6"/>
      <c r="B39" s="4"/>
      <c r="C39" s="3"/>
      <c r="D39" s="3" t="s">
        <v>84</v>
      </c>
      <c r="F39" t="s">
        <v>140</v>
      </c>
    </row>
    <row r="40" spans="1:6" x14ac:dyDescent="0.25">
      <c r="A40" s="6"/>
      <c r="B40" s="96" t="s">
        <v>40</v>
      </c>
      <c r="C40" s="3" t="s">
        <v>41</v>
      </c>
      <c r="D40" s="3"/>
      <c r="F40" t="s">
        <v>141</v>
      </c>
    </row>
    <row r="41" spans="1:6" x14ac:dyDescent="0.25">
      <c r="A41" s="6"/>
      <c r="B41" s="96"/>
      <c r="C41" s="3" t="s">
        <v>42</v>
      </c>
      <c r="D41" s="3" t="s">
        <v>85</v>
      </c>
      <c r="F41" t="s">
        <v>311</v>
      </c>
    </row>
    <row r="42" spans="1:6" x14ac:dyDescent="0.25">
      <c r="A42" s="6"/>
      <c r="B42" s="4"/>
      <c r="C42" s="3"/>
      <c r="D42" s="3" t="s">
        <v>86</v>
      </c>
      <c r="F42" t="s">
        <v>7</v>
      </c>
    </row>
    <row r="43" spans="1:6" x14ac:dyDescent="0.25">
      <c r="A43" s="6"/>
      <c r="B43" s="4"/>
      <c r="C43" s="3"/>
      <c r="D43" s="3" t="s">
        <v>87</v>
      </c>
      <c r="F43" t="s">
        <v>128</v>
      </c>
    </row>
    <row r="44" spans="1:6" x14ac:dyDescent="0.25">
      <c r="A44" s="6"/>
      <c r="B44" s="4"/>
      <c r="C44" s="3"/>
      <c r="D44" s="3" t="s">
        <v>88</v>
      </c>
      <c r="F44" t="s">
        <v>129</v>
      </c>
    </row>
    <row r="45" spans="1:6" x14ac:dyDescent="0.25">
      <c r="A45" s="6"/>
      <c r="B45" s="4"/>
      <c r="C45" s="3"/>
      <c r="D45" s="3" t="s">
        <v>89</v>
      </c>
      <c r="F45" t="s">
        <v>130</v>
      </c>
    </row>
    <row r="46" spans="1:6" x14ac:dyDescent="0.25">
      <c r="A46" s="6"/>
      <c r="B46" s="4" t="s">
        <v>43</v>
      </c>
      <c r="C46" s="5" t="s">
        <v>43</v>
      </c>
      <c r="D46" s="5"/>
      <c r="F46" t="s">
        <v>131</v>
      </c>
    </row>
    <row r="47" spans="1:6" ht="14.25" customHeight="1" x14ac:dyDescent="0.25">
      <c r="A47" s="6"/>
      <c r="B47" s="4" t="s">
        <v>44</v>
      </c>
      <c r="C47" s="3" t="s">
        <v>45</v>
      </c>
      <c r="D47" s="3"/>
      <c r="F47" t="s">
        <v>132</v>
      </c>
    </row>
    <row r="48" spans="1:6" x14ac:dyDescent="0.25">
      <c r="A48" s="6"/>
      <c r="B48" s="4"/>
      <c r="C48" s="3" t="s">
        <v>46</v>
      </c>
      <c r="D48" s="3" t="s">
        <v>90</v>
      </c>
      <c r="F48" t="s">
        <v>133</v>
      </c>
    </row>
    <row r="49" spans="1:7" x14ac:dyDescent="0.25">
      <c r="A49" s="6"/>
      <c r="B49" s="4"/>
      <c r="C49" s="3"/>
      <c r="D49" s="3" t="s">
        <v>91</v>
      </c>
      <c r="F49" t="s">
        <v>134</v>
      </c>
    </row>
    <row r="50" spans="1:7" x14ac:dyDescent="0.25">
      <c r="A50" s="6"/>
      <c r="B50" s="4"/>
      <c r="C50" s="3"/>
      <c r="D50" s="3" t="s">
        <v>92</v>
      </c>
      <c r="F50" t="s">
        <v>135</v>
      </c>
    </row>
    <row r="51" spans="1:7" x14ac:dyDescent="0.25">
      <c r="A51" s="6"/>
      <c r="B51" s="4"/>
      <c r="C51" s="3"/>
      <c r="D51" s="3" t="s">
        <v>93</v>
      </c>
      <c r="F51" t="s">
        <v>136</v>
      </c>
    </row>
    <row r="52" spans="1:7" x14ac:dyDescent="0.25">
      <c r="A52" s="6"/>
      <c r="B52" s="4"/>
      <c r="C52" s="3"/>
      <c r="D52" s="3" t="s">
        <v>94</v>
      </c>
      <c r="F52" t="s">
        <v>138</v>
      </c>
    </row>
    <row r="53" spans="1:7" x14ac:dyDescent="0.25">
      <c r="A53" s="6"/>
      <c r="B53" s="4" t="s">
        <v>47</v>
      </c>
      <c r="C53" s="3" t="s">
        <v>113</v>
      </c>
      <c r="D53" s="3"/>
      <c r="F53" t="s">
        <v>137</v>
      </c>
    </row>
    <row r="54" spans="1:7" x14ac:dyDescent="0.25">
      <c r="A54" s="6"/>
      <c r="B54" s="4"/>
      <c r="C54" s="3" t="s">
        <v>48</v>
      </c>
      <c r="D54" s="3" t="s">
        <v>95</v>
      </c>
    </row>
    <row r="55" spans="1:7" x14ac:dyDescent="0.25">
      <c r="A55" s="6"/>
      <c r="B55" s="4"/>
      <c r="C55" s="3"/>
      <c r="D55" s="3" t="s">
        <v>96</v>
      </c>
      <c r="F55" t="s">
        <v>298</v>
      </c>
    </row>
    <row r="56" spans="1:7" x14ac:dyDescent="0.25">
      <c r="A56" s="6"/>
      <c r="B56" s="4"/>
      <c r="C56" s="3"/>
      <c r="D56" s="3" t="s">
        <v>97</v>
      </c>
      <c r="F56" t="s">
        <v>299</v>
      </c>
    </row>
    <row r="57" spans="1:7" x14ac:dyDescent="0.25">
      <c r="A57" s="6"/>
      <c r="B57" s="4"/>
      <c r="C57" s="3"/>
      <c r="D57" s="3" t="s">
        <v>98</v>
      </c>
      <c r="F57" t="s">
        <v>300</v>
      </c>
    </row>
    <row r="58" spans="1:7" x14ac:dyDescent="0.25">
      <c r="A58" s="6"/>
      <c r="B58" s="4"/>
      <c r="C58" s="3"/>
      <c r="D58" s="3" t="s">
        <v>99</v>
      </c>
      <c r="F58" t="s">
        <v>301</v>
      </c>
    </row>
    <row r="59" spans="1:7" ht="15" customHeight="1" x14ac:dyDescent="0.25">
      <c r="A59" s="9" t="s">
        <v>423</v>
      </c>
      <c r="B59" s="4" t="s">
        <v>49</v>
      </c>
      <c r="C59" s="3" t="s">
        <v>50</v>
      </c>
      <c r="D59" s="3"/>
      <c r="F59" t="s">
        <v>307</v>
      </c>
    </row>
    <row r="60" spans="1:7" x14ac:dyDescent="0.25">
      <c r="A60" s="7"/>
      <c r="B60" s="4"/>
      <c r="C60" s="3" t="s">
        <v>51</v>
      </c>
      <c r="D60" s="3"/>
      <c r="F60" t="s">
        <v>303</v>
      </c>
    </row>
    <row r="61" spans="1:7" x14ac:dyDescent="0.25">
      <c r="A61" s="7"/>
      <c r="B61" s="4"/>
      <c r="C61" s="3" t="s">
        <v>52</v>
      </c>
      <c r="D61" s="3"/>
      <c r="F61" t="s">
        <v>304</v>
      </c>
    </row>
    <row r="62" spans="1:7" x14ac:dyDescent="0.25">
      <c r="A62" s="7"/>
      <c r="B62" s="4"/>
      <c r="C62" s="3" t="s">
        <v>53</v>
      </c>
      <c r="D62" s="3"/>
      <c r="F62" t="s">
        <v>305</v>
      </c>
    </row>
    <row r="63" spans="1:7" x14ac:dyDescent="0.25">
      <c r="A63" s="7"/>
      <c r="B63" s="4"/>
      <c r="C63" s="3" t="s">
        <v>54</v>
      </c>
      <c r="D63" s="3"/>
      <c r="F63" t="s">
        <v>306</v>
      </c>
    </row>
    <row r="64" spans="1:7" x14ac:dyDescent="0.25">
      <c r="A64" s="7"/>
      <c r="B64" s="4"/>
      <c r="C64" s="3" t="s">
        <v>55</v>
      </c>
      <c r="D64" s="3"/>
      <c r="F64" t="s">
        <v>308</v>
      </c>
      <c r="G64" t="s">
        <v>310</v>
      </c>
    </row>
    <row r="65" spans="1:6" x14ac:dyDescent="0.25">
      <c r="A65" s="7"/>
      <c r="B65" s="4" t="s">
        <v>56</v>
      </c>
      <c r="C65" s="3" t="s">
        <v>50</v>
      </c>
      <c r="D65" s="3"/>
      <c r="F65" t="s">
        <v>102</v>
      </c>
    </row>
    <row r="66" spans="1:6" x14ac:dyDescent="0.25">
      <c r="A66" s="7"/>
      <c r="B66" s="4"/>
      <c r="C66" s="3" t="s">
        <v>51</v>
      </c>
      <c r="D66" s="3"/>
    </row>
    <row r="67" spans="1:6" x14ac:dyDescent="0.25">
      <c r="A67" s="7"/>
      <c r="B67" s="4"/>
      <c r="C67" s="3" t="s">
        <v>52</v>
      </c>
      <c r="D67" s="3"/>
      <c r="F67" t="s">
        <v>889</v>
      </c>
    </row>
    <row r="68" spans="1:6" x14ac:dyDescent="0.25">
      <c r="A68" s="7"/>
      <c r="B68" s="4"/>
      <c r="C68" s="3" t="s">
        <v>53</v>
      </c>
      <c r="D68" s="3"/>
      <c r="F68" t="s">
        <v>890</v>
      </c>
    </row>
    <row r="69" spans="1:6" x14ac:dyDescent="0.25">
      <c r="A69" s="7"/>
      <c r="B69" s="4"/>
      <c r="C69" s="3" t="s">
        <v>54</v>
      </c>
      <c r="D69" s="3"/>
      <c r="F69" t="s">
        <v>891</v>
      </c>
    </row>
    <row r="70" spans="1:6" x14ac:dyDescent="0.25">
      <c r="A70" s="7"/>
      <c r="B70" s="4"/>
      <c r="C70" s="3" t="s">
        <v>55</v>
      </c>
      <c r="D70" s="3"/>
      <c r="F70" t="s">
        <v>892</v>
      </c>
    </row>
    <row r="71" spans="1:6" x14ac:dyDescent="0.25">
      <c r="A71" s="7"/>
      <c r="B71" s="3" t="s">
        <v>57</v>
      </c>
      <c r="C71" s="5" t="s">
        <v>57</v>
      </c>
      <c r="D71" s="5"/>
      <c r="F71" t="s">
        <v>893</v>
      </c>
    </row>
    <row r="72" spans="1:6" x14ac:dyDescent="0.25">
      <c r="A72" s="7"/>
      <c r="B72" s="3" t="s">
        <v>58</v>
      </c>
      <c r="C72" s="5" t="s">
        <v>58</v>
      </c>
      <c r="D72" s="5"/>
      <c r="F72" t="s">
        <v>894</v>
      </c>
    </row>
    <row r="73" spans="1:6" ht="24.75" customHeight="1" x14ac:dyDescent="0.25">
      <c r="A73" s="7"/>
      <c r="B73" s="4" t="s">
        <v>59</v>
      </c>
      <c r="C73" s="3" t="s">
        <v>60</v>
      </c>
      <c r="D73" s="3"/>
    </row>
    <row r="74" spans="1:6" x14ac:dyDescent="0.25">
      <c r="A74" s="7"/>
      <c r="B74" s="4"/>
      <c r="C74" s="3" t="s">
        <v>61</v>
      </c>
      <c r="D74" s="3"/>
    </row>
    <row r="75" spans="1:6" x14ac:dyDescent="0.25">
      <c r="A75" s="7"/>
      <c r="B75" s="4"/>
      <c r="C75" s="3" t="s">
        <v>62</v>
      </c>
      <c r="D75" s="3"/>
    </row>
    <row r="76" spans="1:6" x14ac:dyDescent="0.25">
      <c r="A76" s="7"/>
      <c r="B76" s="4"/>
      <c r="C76" s="3" t="s">
        <v>63</v>
      </c>
      <c r="D76" s="3"/>
    </row>
    <row r="77" spans="1:6" x14ac:dyDescent="0.25">
      <c r="A77" s="7"/>
      <c r="B77" s="4"/>
      <c r="C77" s="3" t="s">
        <v>64</v>
      </c>
      <c r="D77" s="3"/>
    </row>
    <row r="78" spans="1:6" ht="16.5" customHeight="1" x14ac:dyDescent="0.25">
      <c r="A78" s="7"/>
      <c r="B78" s="4" t="s">
        <v>65</v>
      </c>
      <c r="C78" s="3" t="s">
        <v>66</v>
      </c>
      <c r="D78" s="3"/>
    </row>
    <row r="79" spans="1:6" x14ac:dyDescent="0.25">
      <c r="A79" s="7"/>
      <c r="B79" s="4"/>
      <c r="C79" s="3" t="s">
        <v>67</v>
      </c>
      <c r="D79" s="3"/>
    </row>
    <row r="80" spans="1:6" x14ac:dyDescent="0.25">
      <c r="A80" s="7"/>
      <c r="B80" s="4" t="s">
        <v>68</v>
      </c>
      <c r="C80" s="3" t="s">
        <v>66</v>
      </c>
      <c r="D80" s="3"/>
    </row>
    <row r="81" spans="1:4" x14ac:dyDescent="0.25">
      <c r="A81" s="7"/>
      <c r="B81" s="4"/>
      <c r="C81" s="3" t="s">
        <v>67</v>
      </c>
      <c r="D81" s="3"/>
    </row>
    <row r="82" spans="1:4" x14ac:dyDescent="0.25">
      <c r="A82" s="3" t="s">
        <v>69</v>
      </c>
      <c r="B82" s="3" t="s">
        <v>70</v>
      </c>
      <c r="C82" s="5" t="s">
        <v>70</v>
      </c>
      <c r="D82" s="5"/>
    </row>
  </sheetData>
  <mergeCells count="2">
    <mergeCell ref="B40:B41"/>
    <mergeCell ref="A3:D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BP7"/>
  <sheetViews>
    <sheetView workbookViewId="0">
      <selection activeCell="C20" sqref="C20"/>
    </sheetView>
  </sheetViews>
  <sheetFormatPr defaultRowHeight="15" outlineLevelCol="1" x14ac:dyDescent="0.25"/>
  <cols>
    <col min="1" max="1" width="19.140625" customWidth="1"/>
    <col min="2" max="2" width="12.85546875" customWidth="1"/>
    <col min="3" max="3" width="28.5703125" customWidth="1"/>
    <col min="4" max="23" width="12.7109375" customWidth="1" outlineLevel="1"/>
    <col min="24" max="30" width="12.7109375" customWidth="1"/>
    <col min="31" max="31" width="13.85546875" customWidth="1"/>
    <col min="32" max="34" width="12.7109375" customWidth="1"/>
  </cols>
  <sheetData>
    <row r="1" spans="1:68" ht="18.75" x14ac:dyDescent="0.3">
      <c r="A1" s="1" t="s">
        <v>321</v>
      </c>
    </row>
    <row r="2" spans="1:68" x14ac:dyDescent="0.25">
      <c r="X2">
        <v>1</v>
      </c>
      <c r="Y2">
        <v>2</v>
      </c>
      <c r="Z2">
        <v>3</v>
      </c>
      <c r="AA2">
        <v>4</v>
      </c>
      <c r="AB2">
        <v>5</v>
      </c>
      <c r="AC2">
        <v>6</v>
      </c>
      <c r="AD2">
        <v>7</v>
      </c>
      <c r="AE2">
        <v>8</v>
      </c>
      <c r="AF2">
        <v>9</v>
      </c>
      <c r="AG2">
        <v>10</v>
      </c>
      <c r="AH2">
        <v>11</v>
      </c>
      <c r="AI2">
        <v>12</v>
      </c>
      <c r="AJ2">
        <v>13</v>
      </c>
      <c r="AK2">
        <v>14</v>
      </c>
      <c r="AL2">
        <v>15</v>
      </c>
      <c r="AM2">
        <v>16</v>
      </c>
      <c r="AN2">
        <v>17</v>
      </c>
      <c r="AO2">
        <v>18</v>
      </c>
      <c r="AP2">
        <v>19</v>
      </c>
      <c r="AQ2">
        <v>20</v>
      </c>
      <c r="AR2">
        <v>21</v>
      </c>
      <c r="AS2">
        <v>22</v>
      </c>
      <c r="AT2">
        <v>23</v>
      </c>
      <c r="AU2">
        <v>24</v>
      </c>
      <c r="AV2">
        <v>25</v>
      </c>
      <c r="AW2">
        <v>26</v>
      </c>
      <c r="AX2">
        <v>27</v>
      </c>
      <c r="AY2">
        <v>28</v>
      </c>
      <c r="AZ2">
        <v>29</v>
      </c>
      <c r="BA2">
        <v>30</v>
      </c>
      <c r="BB2">
        <v>31</v>
      </c>
      <c r="BC2">
        <v>32</v>
      </c>
      <c r="BD2">
        <v>33</v>
      </c>
      <c r="BE2">
        <v>34</v>
      </c>
      <c r="BF2">
        <v>35</v>
      </c>
      <c r="BG2">
        <v>36</v>
      </c>
      <c r="BH2">
        <v>37</v>
      </c>
      <c r="BI2">
        <v>38</v>
      </c>
      <c r="BJ2">
        <v>39</v>
      </c>
      <c r="BK2">
        <v>40</v>
      </c>
      <c r="BL2">
        <v>41</v>
      </c>
    </row>
    <row r="3" spans="1:68" s="19" customFormat="1" ht="29.25" customHeight="1" x14ac:dyDescent="0.25">
      <c r="A3" s="17" t="s">
        <v>322</v>
      </c>
      <c r="B3" s="17" t="s">
        <v>0</v>
      </c>
      <c r="C3" s="17" t="s">
        <v>287</v>
      </c>
      <c r="D3" s="17">
        <v>1990</v>
      </c>
      <c r="E3" s="17">
        <v>1991</v>
      </c>
      <c r="F3" s="17">
        <v>1992</v>
      </c>
      <c r="G3" s="17">
        <v>1993</v>
      </c>
      <c r="H3" s="17">
        <v>1994</v>
      </c>
      <c r="I3" s="17">
        <v>1995</v>
      </c>
      <c r="J3" s="17">
        <v>1996</v>
      </c>
      <c r="K3" s="17">
        <v>1997</v>
      </c>
      <c r="L3" s="17">
        <v>1998</v>
      </c>
      <c r="M3" s="17">
        <v>1999</v>
      </c>
      <c r="N3" s="17">
        <v>2000</v>
      </c>
      <c r="O3" s="17">
        <v>2001</v>
      </c>
      <c r="P3" s="17">
        <v>2002</v>
      </c>
      <c r="Q3" s="17">
        <v>2003</v>
      </c>
      <c r="R3" s="17">
        <v>2004</v>
      </c>
      <c r="S3" s="17">
        <v>2005</v>
      </c>
      <c r="T3" s="17">
        <v>2006</v>
      </c>
      <c r="U3" s="17">
        <v>2007</v>
      </c>
      <c r="V3" s="17">
        <v>2008</v>
      </c>
      <c r="W3" s="17">
        <v>2009</v>
      </c>
      <c r="X3" s="17">
        <v>2010</v>
      </c>
      <c r="Y3" s="17">
        <v>2011</v>
      </c>
      <c r="Z3" s="17">
        <v>2012</v>
      </c>
      <c r="AA3" s="17">
        <v>2013</v>
      </c>
      <c r="AB3" s="17">
        <v>2014</v>
      </c>
      <c r="AC3" s="17">
        <v>2015</v>
      </c>
      <c r="AD3" s="17">
        <v>2016</v>
      </c>
      <c r="AE3" s="17">
        <v>2017</v>
      </c>
      <c r="AF3" s="17">
        <v>2018</v>
      </c>
      <c r="AG3" s="17">
        <v>2019</v>
      </c>
      <c r="AH3" s="17">
        <v>2020</v>
      </c>
      <c r="AI3" s="17">
        <v>2021</v>
      </c>
      <c r="AJ3" s="17">
        <v>2022</v>
      </c>
      <c r="AK3" s="17">
        <v>2023</v>
      </c>
      <c r="AL3" s="17">
        <v>2024</v>
      </c>
      <c r="AM3" s="17">
        <v>2025</v>
      </c>
      <c r="AN3" s="17">
        <v>2026</v>
      </c>
      <c r="AO3" s="17">
        <v>2027</v>
      </c>
      <c r="AP3" s="17">
        <v>2028</v>
      </c>
      <c r="AQ3" s="17">
        <v>2029</v>
      </c>
      <c r="AR3" s="17">
        <v>2030</v>
      </c>
      <c r="AS3" s="17">
        <v>2031</v>
      </c>
      <c r="AT3" s="17">
        <v>2032</v>
      </c>
      <c r="AU3" s="17">
        <v>2033</v>
      </c>
      <c r="AV3" s="17">
        <v>2034</v>
      </c>
      <c r="AW3" s="17">
        <v>2035</v>
      </c>
      <c r="AX3" s="17">
        <v>2036</v>
      </c>
      <c r="AY3" s="17">
        <v>2037</v>
      </c>
      <c r="AZ3" s="17">
        <v>2038</v>
      </c>
      <c r="BA3" s="17">
        <v>2039</v>
      </c>
      <c r="BB3" s="17">
        <v>2040</v>
      </c>
      <c r="BC3" s="17">
        <v>2041</v>
      </c>
      <c r="BD3" s="17">
        <v>2042</v>
      </c>
      <c r="BE3" s="17">
        <v>2043</v>
      </c>
      <c r="BF3" s="17">
        <v>2044</v>
      </c>
      <c r="BG3" s="17">
        <v>2045</v>
      </c>
      <c r="BH3" s="17">
        <v>2046</v>
      </c>
      <c r="BI3" s="17">
        <v>2047</v>
      </c>
      <c r="BJ3" s="17">
        <v>2048</v>
      </c>
      <c r="BK3" s="17">
        <v>2049</v>
      </c>
      <c r="BL3" s="17">
        <v>2050</v>
      </c>
      <c r="BO3" s="18" t="s">
        <v>312</v>
      </c>
      <c r="BP3" s="17" t="s">
        <v>286</v>
      </c>
    </row>
    <row r="4" spans="1:68" x14ac:dyDescent="0.25">
      <c r="A4" t="s">
        <v>3</v>
      </c>
      <c r="B4" t="s">
        <v>329</v>
      </c>
      <c r="C4" t="s">
        <v>846</v>
      </c>
      <c r="D4" s="22">
        <v>36800509</v>
      </c>
      <c r="E4" s="22">
        <v>37718950</v>
      </c>
      <c r="F4" s="22">
        <v>38672607</v>
      </c>
      <c r="G4" s="22">
        <v>39633750</v>
      </c>
      <c r="H4" s="22">
        <v>40564059</v>
      </c>
      <c r="I4" s="22">
        <v>41435758</v>
      </c>
      <c r="J4" s="22">
        <v>42241011</v>
      </c>
      <c r="K4" s="22">
        <v>42987461</v>
      </c>
      <c r="L4" s="22">
        <v>43682260</v>
      </c>
      <c r="M4" s="22">
        <v>44338543</v>
      </c>
      <c r="N4" s="22">
        <v>44967708</v>
      </c>
      <c r="O4" s="22">
        <v>45571274</v>
      </c>
      <c r="P4" s="22">
        <v>46150913</v>
      </c>
      <c r="Q4" s="22">
        <v>46719196</v>
      </c>
      <c r="R4" s="22">
        <v>47291610</v>
      </c>
      <c r="S4" s="22">
        <v>47880601</v>
      </c>
      <c r="T4" s="22">
        <v>48489459</v>
      </c>
      <c r="U4" s="22">
        <v>49119759</v>
      </c>
      <c r="V4" s="22">
        <v>49779471</v>
      </c>
      <c r="W4" s="22">
        <v>50477011</v>
      </c>
      <c r="X4" s="22">
        <v>51216964</v>
      </c>
      <c r="Y4" s="22">
        <v>52004172</v>
      </c>
      <c r="Z4" s="22">
        <v>53032389.033699296</v>
      </c>
      <c r="AA4" s="22">
        <v>53514007.585114054</v>
      </c>
      <c r="AB4" s="22">
        <v>54000000</v>
      </c>
      <c r="AC4" s="22">
        <v>54490406</v>
      </c>
      <c r="AD4" s="22">
        <v>55024891.060000002</v>
      </c>
      <c r="AE4" s="22">
        <v>55559376.119999997</v>
      </c>
      <c r="AF4" s="22">
        <v>56093861.18</v>
      </c>
      <c r="AG4" s="22">
        <v>56628346.240000002</v>
      </c>
      <c r="AH4" s="22">
        <v>57162831.299999997</v>
      </c>
      <c r="AI4" s="22">
        <v>57704589.579999998</v>
      </c>
      <c r="AJ4" s="22">
        <v>58246347.850000001</v>
      </c>
      <c r="AK4" s="22">
        <v>58788106.119999997</v>
      </c>
      <c r="AL4" s="22">
        <v>59329864.390000001</v>
      </c>
      <c r="AM4" s="22">
        <v>59871622.669999994</v>
      </c>
      <c r="AN4" s="22">
        <v>60458559.640000001</v>
      </c>
      <c r="AO4" s="22">
        <v>61045496.609999999</v>
      </c>
      <c r="AP4" s="22">
        <v>61632433.579999998</v>
      </c>
      <c r="AQ4" s="22">
        <v>62219370.549999997</v>
      </c>
      <c r="AR4" s="22">
        <v>62806307.520000003</v>
      </c>
      <c r="AS4" s="22">
        <v>63373317.899999999</v>
      </c>
      <c r="AT4" s="22">
        <v>63940328.269999996</v>
      </c>
      <c r="AU4" s="22">
        <v>64507338.649999999</v>
      </c>
      <c r="AV4" s="22">
        <v>65074349.020000003</v>
      </c>
      <c r="AW4" s="22">
        <v>65641359.390000001</v>
      </c>
      <c r="AX4" s="22">
        <v>66230661.600000009</v>
      </c>
      <c r="AY4" s="22">
        <v>66819963.810000002</v>
      </c>
      <c r="AZ4" s="22">
        <v>67409266.010000005</v>
      </c>
      <c r="BA4" s="22">
        <v>67998568.219999999</v>
      </c>
      <c r="BB4" s="22">
        <v>68587870.429999992</v>
      </c>
      <c r="BC4" s="22">
        <v>69260575.609999999</v>
      </c>
      <c r="BD4" s="22">
        <v>69933280.780000001</v>
      </c>
      <c r="BE4" s="22">
        <v>70605985.960000008</v>
      </c>
      <c r="BF4" s="22">
        <v>71278691.140000001</v>
      </c>
      <c r="BG4" s="22">
        <v>71951396.319999993</v>
      </c>
      <c r="BH4" s="22">
        <v>72600358.940000013</v>
      </c>
      <c r="BI4" s="22">
        <v>73249321.560000002</v>
      </c>
      <c r="BJ4" s="22">
        <v>73898284.190000013</v>
      </c>
      <c r="BK4" s="22">
        <v>74547246.810000002</v>
      </c>
      <c r="BL4" s="22">
        <v>75196209.430000007</v>
      </c>
    </row>
    <row r="5" spans="1:68" x14ac:dyDescent="0.25">
      <c r="A5" t="s">
        <v>343</v>
      </c>
      <c r="B5" t="s">
        <v>845</v>
      </c>
      <c r="C5" t="s">
        <v>847</v>
      </c>
      <c r="D5" s="22">
        <v>272.30599999999998</v>
      </c>
      <c r="E5" s="22">
        <v>313.67200000000003</v>
      </c>
      <c r="F5" s="22">
        <v>355.05200000000002</v>
      </c>
      <c r="G5" s="22">
        <v>403.59300000000002</v>
      </c>
      <c r="H5" s="22">
        <v>454.25900000000001</v>
      </c>
      <c r="I5" s="22">
        <v>516.12400000000002</v>
      </c>
      <c r="J5" s="22">
        <v>634.61099999999999</v>
      </c>
      <c r="K5" s="22">
        <v>644.553</v>
      </c>
      <c r="L5" s="22">
        <v>694.11</v>
      </c>
      <c r="M5" s="22">
        <v>759.94200000000001</v>
      </c>
      <c r="N5" s="22">
        <v>862.39400000000001</v>
      </c>
      <c r="O5" s="22">
        <v>954.35</v>
      </c>
      <c r="P5" s="22">
        <v>1111.875</v>
      </c>
      <c r="Q5" s="22">
        <v>1208.3789999999999</v>
      </c>
      <c r="R5" s="22">
        <v>1331.951</v>
      </c>
      <c r="S5" s="22">
        <v>1469.239</v>
      </c>
      <c r="T5" s="22">
        <v>1642.222</v>
      </c>
      <c r="U5" s="22">
        <v>1884.722</v>
      </c>
      <c r="V5" s="22">
        <v>2137.19</v>
      </c>
      <c r="W5" s="22">
        <v>2277.1460000000002</v>
      </c>
      <c r="X5" s="22">
        <v>2494.86</v>
      </c>
      <c r="Y5" s="22">
        <v>2724.4</v>
      </c>
      <c r="Z5" s="22">
        <v>3818.7920486940898</v>
      </c>
      <c r="AA5" s="22">
        <v>3913.4184945387733</v>
      </c>
      <c r="AB5" s="22">
        <v>3986.9308667092751</v>
      </c>
      <c r="AC5" s="22">
        <v>4037.7156347824903</v>
      </c>
      <c r="AD5" s="22">
        <v>4070.0111865825666</v>
      </c>
      <c r="AE5" s="22">
        <v>4118.3420053111704</v>
      </c>
      <c r="AF5" s="22">
        <v>4160.1680238194213</v>
      </c>
      <c r="AG5" s="23">
        <v>4195.8864878601053</v>
      </c>
      <c r="AH5" s="23">
        <v>3891.8659988078639</v>
      </c>
      <c r="AI5" s="23">
        <v>3978.2347480572816</v>
      </c>
      <c r="AJ5" s="23">
        <v>4061.1499667888011</v>
      </c>
      <c r="AK5" s="23">
        <v>4144.8404086272503</v>
      </c>
      <c r="AL5" s="23">
        <v>4225.557842135805</v>
      </c>
      <c r="AM5" s="23">
        <v>4309.7236591242645</v>
      </c>
      <c r="AN5" s="23">
        <v>4409.6586807696176</v>
      </c>
      <c r="AO5" s="23">
        <v>4508.6793773069012</v>
      </c>
      <c r="AP5" s="23">
        <v>4612.3677774270727</v>
      </c>
      <c r="AQ5" s="23">
        <v>4719.5221137464587</v>
      </c>
      <c r="AR5" s="23">
        <v>4830.4587311386231</v>
      </c>
      <c r="AS5" s="23">
        <v>4963.6066651247866</v>
      </c>
      <c r="AT5" s="23">
        <v>5090.5364493142024</v>
      </c>
      <c r="AU5" s="23">
        <v>5231.491252157587</v>
      </c>
      <c r="AV5" s="23">
        <v>5382.2507664514342</v>
      </c>
      <c r="AW5" s="23">
        <v>5543.3456650103453</v>
      </c>
      <c r="AX5" s="23">
        <v>5709.1902238340317</v>
      </c>
      <c r="AY5" s="23">
        <v>5882.1437659532367</v>
      </c>
      <c r="AZ5" s="23">
        <v>6057.7382664641273</v>
      </c>
      <c r="BA5" s="23">
        <v>6240.5087937397775</v>
      </c>
      <c r="BB5" s="23">
        <v>6434.4709612419756</v>
      </c>
      <c r="BC5" s="23">
        <v>6636.4399402311183</v>
      </c>
      <c r="BD5" s="23">
        <v>6847.0003814330667</v>
      </c>
      <c r="BE5" s="23">
        <v>7065.6625243864937</v>
      </c>
      <c r="BF5" s="23">
        <v>7293.6352631430673</v>
      </c>
      <c r="BG5" s="23">
        <v>7535.7115458768349</v>
      </c>
      <c r="BH5" s="23">
        <v>7789.7473013254221</v>
      </c>
      <c r="BI5" s="23">
        <v>8055.9435279212203</v>
      </c>
      <c r="BJ5" s="23">
        <v>8325.1891765648088</v>
      </c>
      <c r="BK5" s="23">
        <v>8607.6974223627512</v>
      </c>
      <c r="BL5" s="23">
        <v>8904.5750104588551</v>
      </c>
    </row>
    <row r="6" spans="1:68" x14ac:dyDescent="0.25">
      <c r="A6" t="s">
        <v>842</v>
      </c>
      <c r="B6" t="s">
        <v>309</v>
      </c>
      <c r="D6" s="23">
        <f t="shared" ref="D6:U6" si="0">E6-0.5</f>
        <v>52.2</v>
      </c>
      <c r="E6" s="23">
        <f t="shared" si="0"/>
        <v>52.7</v>
      </c>
      <c r="F6" s="23">
        <f t="shared" si="0"/>
        <v>53.2</v>
      </c>
      <c r="G6" s="23">
        <f t="shared" si="0"/>
        <v>53.7</v>
      </c>
      <c r="H6" s="23">
        <f t="shared" si="0"/>
        <v>54.2</v>
      </c>
      <c r="I6" s="23">
        <f t="shared" si="0"/>
        <v>54.7</v>
      </c>
      <c r="J6" s="23">
        <f t="shared" si="0"/>
        <v>55.2</v>
      </c>
      <c r="K6" s="23">
        <f t="shared" si="0"/>
        <v>55.7</v>
      </c>
      <c r="L6" s="23">
        <f t="shared" si="0"/>
        <v>56.2</v>
      </c>
      <c r="M6" s="23">
        <f t="shared" si="0"/>
        <v>56.7</v>
      </c>
      <c r="N6" s="23">
        <f t="shared" si="0"/>
        <v>57.2</v>
      </c>
      <c r="O6" s="23">
        <f t="shared" si="0"/>
        <v>57.7</v>
      </c>
      <c r="P6" s="23">
        <f t="shared" si="0"/>
        <v>58.2</v>
      </c>
      <c r="Q6" s="23">
        <f t="shared" si="0"/>
        <v>58.7</v>
      </c>
      <c r="R6" s="23">
        <f t="shared" si="0"/>
        <v>59.2</v>
      </c>
      <c r="S6" s="23">
        <f t="shared" si="0"/>
        <v>59.7</v>
      </c>
      <c r="T6" s="23">
        <f t="shared" si="0"/>
        <v>60.2</v>
      </c>
      <c r="U6" s="23">
        <f t="shared" si="0"/>
        <v>60.7</v>
      </c>
      <c r="V6" s="22">
        <v>61.2</v>
      </c>
      <c r="W6" s="22">
        <v>61.7</v>
      </c>
      <c r="X6" s="22">
        <v>62.2</v>
      </c>
      <c r="Y6" s="22">
        <v>62.8</v>
      </c>
      <c r="Z6" s="22">
        <v>63.3</v>
      </c>
      <c r="AA6" s="22">
        <v>63.8</v>
      </c>
      <c r="AB6" s="22">
        <v>64.3</v>
      </c>
      <c r="AC6" s="22">
        <v>64.8</v>
      </c>
      <c r="AD6" s="22">
        <v>65.3</v>
      </c>
      <c r="AE6" s="22">
        <v>65.900000000000006</v>
      </c>
      <c r="AF6" s="22">
        <v>66.400000000000006</v>
      </c>
      <c r="AG6" s="23">
        <f>TREND($V$6:$AF$6,Drivers!$V$4:$AF$4,Drivers!AG$4,TRUE)</f>
        <v>66.582739859683301</v>
      </c>
      <c r="AH6" s="23">
        <f>TREND($V$6:$AF$6,Drivers!$V$4:$AF$4,Drivers!AH$4,TRUE)</f>
        <v>67.017905086757708</v>
      </c>
      <c r="AI6" s="23">
        <f>TREND($V$6:$AF$6,Drivers!$V$4:$AF$4,Drivers!AI$4,TRUE)</f>
        <v>67.458991999337925</v>
      </c>
      <c r="AJ6" s="23">
        <f>TREND($V$6:$AF$6,Drivers!$V$4:$AF$4,Drivers!AJ$4,TRUE)</f>
        <v>67.900078903776375</v>
      </c>
      <c r="AK6" s="23">
        <f>TREND($V$6:$AF$6,Drivers!$V$4:$AF$4,Drivers!AK$4,TRUE)</f>
        <v>68.341165808214811</v>
      </c>
      <c r="AL6" s="23">
        <f>TREND($V$6:$AF$6,Drivers!$V$4:$AF$4,Drivers!AL$4,TRUE)</f>
        <v>68.782252712653261</v>
      </c>
      <c r="AM6" s="23">
        <f>TREND($V$6:$AF$6,Drivers!$V$4:$AF$4,Drivers!AM$4,TRUE)</f>
        <v>69.223339625233464</v>
      </c>
      <c r="AN6" s="23">
        <f>TREND($V$6:$AF$6,Drivers!$V$4:$AF$4,Drivers!AN$4,TRUE)</f>
        <v>69.70120996987589</v>
      </c>
      <c r="AO6" s="23">
        <f>TREND($V$6:$AF$6,Drivers!$V$4:$AF$4,Drivers!AO$4,TRUE)</f>
        <v>70.179080314518302</v>
      </c>
      <c r="AP6" s="23">
        <f>TREND($V$6:$AF$6,Drivers!$V$4:$AF$4,Drivers!AP$4,TRUE)</f>
        <v>70.656950659160714</v>
      </c>
      <c r="AQ6" s="23">
        <f>TREND($V$6:$AF$6,Drivers!$V$4:$AF$4,Drivers!AQ$4,TRUE)</f>
        <v>71.134821003803125</v>
      </c>
      <c r="AR6" s="23">
        <f>TREND($V$6:$AF$6,Drivers!$V$4:$AF$4,Drivers!AR$4,TRUE)</f>
        <v>71.612691348445551</v>
      </c>
      <c r="AS6" s="23">
        <f>TREND($V$6:$AF$6,Drivers!$V$4:$AF$4,Drivers!AS$4,TRUE)</f>
        <v>72.074337929860292</v>
      </c>
      <c r="AT6" s="23">
        <f>TREND($V$6:$AF$6,Drivers!$V$4:$AF$4,Drivers!AT$4,TRUE)</f>
        <v>72.535984503133264</v>
      </c>
      <c r="AU6" s="23">
        <f>TREND($V$6:$AF$6,Drivers!$V$4:$AF$4,Drivers!AU$4,TRUE)</f>
        <v>72.997631084548004</v>
      </c>
      <c r="AV6" s="23">
        <f>TREND($V$6:$AF$6,Drivers!$V$4:$AF$4,Drivers!AV$4,TRUE)</f>
        <v>73.459277657820991</v>
      </c>
      <c r="AW6" s="23">
        <f>TREND($V$6:$AF$6,Drivers!$V$4:$AF$4,Drivers!AW$4,TRUE)</f>
        <v>73.920924231093977</v>
      </c>
      <c r="AX6" s="23">
        <f>TREND($V$6:$AF$6,Drivers!$V$4:$AF$4,Drivers!AX$4,TRUE)</f>
        <v>74.400720298789679</v>
      </c>
      <c r="AY6" s="23">
        <f>TREND($V$6:$AF$6,Drivers!$V$4:$AF$4,Drivers!AY$4,TRUE)</f>
        <v>74.880516366485395</v>
      </c>
      <c r="AZ6" s="23">
        <f>TREND($V$6:$AF$6,Drivers!$V$4:$AF$4,Drivers!AZ$4,TRUE)</f>
        <v>75.360312426039343</v>
      </c>
      <c r="BA6" s="23">
        <f>TREND($V$6:$AF$6,Drivers!$V$4:$AF$4,Drivers!BA$4,TRUE)</f>
        <v>75.840108493735059</v>
      </c>
      <c r="BB6" s="23">
        <f>TREND($V$6:$AF$6,Drivers!$V$4:$AF$4,Drivers!BB$4,TRUE)</f>
        <v>76.319904561430775</v>
      </c>
      <c r="BC6" s="23">
        <f>TREND($V$6:$AF$6,Drivers!$V$4:$AF$4,Drivers!BC$4,TRUE)</f>
        <v>76.867605375385864</v>
      </c>
      <c r="BD6" s="23">
        <f>TREND($V$6:$AF$6,Drivers!$V$4:$AF$4,Drivers!BD$4,TRUE)</f>
        <v>77.415306181199213</v>
      </c>
      <c r="BE6" s="23">
        <f>TREND($V$6:$AF$6,Drivers!$V$4:$AF$4,Drivers!BE$4,TRUE)</f>
        <v>77.963006995154302</v>
      </c>
      <c r="BF6" s="23">
        <f>TREND($V$6:$AF$6,Drivers!$V$4:$AF$4,Drivers!BF$4,TRUE)</f>
        <v>78.510707809109391</v>
      </c>
      <c r="BG6" s="23">
        <f>TREND($V$6:$AF$6,Drivers!$V$4:$AF$4,Drivers!BG$4,TRUE)</f>
        <v>79.058408623064494</v>
      </c>
      <c r="BH6" s="23">
        <f>TREND($V$6:$AF$6,Drivers!$V$4:$AF$4,Drivers!BH$4,TRUE)</f>
        <v>79.58677880032468</v>
      </c>
      <c r="BI6" s="23">
        <f>TREND($V$6:$AF$6,Drivers!$V$4:$AF$4,Drivers!BI$4,TRUE)</f>
        <v>80.115148977584838</v>
      </c>
      <c r="BJ6" s="23">
        <f>TREND($V$6:$AF$6,Drivers!$V$4:$AF$4,Drivers!BJ$4,TRUE)</f>
        <v>80.643519162986777</v>
      </c>
      <c r="BK6" s="23">
        <f>TREND($V$6:$AF$6,Drivers!$V$4:$AF$4,Drivers!BK$4,TRUE)</f>
        <v>81.171889340246935</v>
      </c>
      <c r="BL6" s="23">
        <f>TREND($V$6:$AF$6,Drivers!$V$4:$AF$4,Drivers!BL$4,TRUE)</f>
        <v>81.700259517507106</v>
      </c>
    </row>
    <row r="7" spans="1:68" x14ac:dyDescent="0.25">
      <c r="A7" t="s">
        <v>746</v>
      </c>
      <c r="B7" t="s">
        <v>411</v>
      </c>
      <c r="Z7" s="73">
        <v>2893.5650000000001</v>
      </c>
      <c r="AA7" s="73">
        <v>2965.2651000000001</v>
      </c>
      <c r="AB7" s="73">
        <v>3020.9666999999999</v>
      </c>
      <c r="AC7" s="73">
        <v>3059.4472000000001</v>
      </c>
      <c r="AD7" s="73">
        <v>3083.9180999999999</v>
      </c>
      <c r="AE7" s="73">
        <v>3120.5392000000002</v>
      </c>
      <c r="AF7" s="73">
        <v>3152.2314999999999</v>
      </c>
      <c r="AG7" s="73">
        <v>3179.2959999999998</v>
      </c>
      <c r="AH7" s="73">
        <v>2948.9344000000001</v>
      </c>
      <c r="AI7" s="73">
        <v>3014.3775000000001</v>
      </c>
      <c r="AJ7" s="73">
        <v>3077.2037999999998</v>
      </c>
      <c r="AK7" s="73">
        <v>3140.6174999999998</v>
      </c>
      <c r="AL7" s="73">
        <v>3201.7784999999999</v>
      </c>
      <c r="AM7" s="73">
        <v>3265.5524</v>
      </c>
      <c r="AN7" s="73">
        <v>3341.2748999999999</v>
      </c>
      <c r="AO7" s="73">
        <v>3416.3045999999999</v>
      </c>
      <c r="AP7" s="73">
        <v>3494.8710999999998</v>
      </c>
      <c r="AQ7" s="73">
        <v>3576.0637999999999</v>
      </c>
      <c r="AR7" s="73">
        <v>3660.1224000000002</v>
      </c>
      <c r="AS7" s="73">
        <v>3761.0109000000002</v>
      </c>
      <c r="AT7" s="73">
        <v>3857.1878000000002</v>
      </c>
      <c r="AU7" s="73">
        <v>3963.9917</v>
      </c>
      <c r="AV7" s="73">
        <v>4078.2248</v>
      </c>
      <c r="AW7" s="73">
        <v>4200.2892000000002</v>
      </c>
      <c r="AX7" s="73">
        <v>4325.9525000000003</v>
      </c>
      <c r="AY7" s="73">
        <v>4457.0024000000003</v>
      </c>
      <c r="AZ7" s="73">
        <v>4590.0533999999998</v>
      </c>
      <c r="BA7" s="73">
        <v>4728.5418</v>
      </c>
      <c r="BB7" s="73">
        <v>4875.5102999999999</v>
      </c>
      <c r="BC7" s="73">
        <v>5028.5456999999997</v>
      </c>
      <c r="BD7" s="73">
        <v>5188.0910000000003</v>
      </c>
      <c r="BE7" s="73">
        <v>5353.7750999999998</v>
      </c>
      <c r="BF7" s="73">
        <v>5526.5140000000001</v>
      </c>
      <c r="BG7" s="73">
        <v>5709.9394000000002</v>
      </c>
      <c r="BH7" s="73">
        <v>5902.4267</v>
      </c>
      <c r="BI7" s="73">
        <v>6104.1282000000001</v>
      </c>
      <c r="BJ7" s="73">
        <v>6308.1403</v>
      </c>
      <c r="BK7" s="73">
        <v>6522.2016999999996</v>
      </c>
      <c r="BL7" s="73">
        <v>6747.1509999999998</v>
      </c>
    </row>
  </sheetData>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Drivers!D5:BL5</xm:f>
              <xm:sqref>BN5</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59999389629810485"/>
  </sheetPr>
  <dimension ref="A1:BO41"/>
  <sheetViews>
    <sheetView workbookViewId="0">
      <pane xSplit="1" ySplit="3" topLeftCell="B8" activePane="bottomRight" state="frozen"/>
      <selection pane="topRight" activeCell="B1" sqref="B1"/>
      <selection pane="bottomLeft" activeCell="A4" sqref="A4"/>
      <selection pane="bottomRight" activeCell="A42" sqref="A42:B42"/>
    </sheetView>
  </sheetViews>
  <sheetFormatPr defaultRowHeight="15" x14ac:dyDescent="0.25"/>
  <cols>
    <col min="1" max="1" width="29.5703125" customWidth="1"/>
    <col min="2" max="2" width="12.85546875" customWidth="1"/>
    <col min="3" max="29" width="12.7109375" customWidth="1"/>
    <col min="30" max="30" width="13.85546875" customWidth="1"/>
    <col min="31" max="33" width="12.7109375" customWidth="1"/>
    <col min="34" max="34" width="11.42578125" customWidth="1"/>
  </cols>
  <sheetData>
    <row r="1" spans="1:67" ht="18.75" x14ac:dyDescent="0.3">
      <c r="A1" s="1" t="s">
        <v>332</v>
      </c>
      <c r="AF1" s="11"/>
    </row>
    <row r="2" spans="1:67" x14ac:dyDescent="0.25">
      <c r="AF2" s="11"/>
      <c r="AG2" s="11"/>
    </row>
    <row r="3" spans="1:67" s="19" customFormat="1" ht="29.25" customHeight="1" x14ac:dyDescent="0.25">
      <c r="A3" s="17" t="s">
        <v>331</v>
      </c>
      <c r="B3" s="17" t="s">
        <v>0</v>
      </c>
      <c r="C3" s="17">
        <v>1990</v>
      </c>
      <c r="D3" s="17">
        <v>1991</v>
      </c>
      <c r="E3" s="17">
        <v>1992</v>
      </c>
      <c r="F3" s="17">
        <v>1993</v>
      </c>
      <c r="G3" s="17">
        <v>1994</v>
      </c>
      <c r="H3" s="17">
        <v>1995</v>
      </c>
      <c r="I3" s="17">
        <v>1996</v>
      </c>
      <c r="J3" s="17">
        <v>1997</v>
      </c>
      <c r="K3" s="17">
        <v>1998</v>
      </c>
      <c r="L3" s="17">
        <v>1999</v>
      </c>
      <c r="M3" s="17">
        <v>2000</v>
      </c>
      <c r="N3" s="17">
        <v>2001</v>
      </c>
      <c r="O3" s="17">
        <v>2002</v>
      </c>
      <c r="P3" s="17">
        <v>2003</v>
      </c>
      <c r="Q3" s="17">
        <v>2004</v>
      </c>
      <c r="R3" s="17">
        <v>2005</v>
      </c>
      <c r="S3" s="17">
        <v>2006</v>
      </c>
      <c r="T3" s="17">
        <v>2007</v>
      </c>
      <c r="U3" s="17">
        <v>2008</v>
      </c>
      <c r="V3" s="17">
        <v>2009</v>
      </c>
      <c r="W3" s="17">
        <v>2010</v>
      </c>
      <c r="X3" s="17">
        <v>2011</v>
      </c>
      <c r="Y3" s="17">
        <v>2012</v>
      </c>
      <c r="Z3" s="17">
        <v>2013</v>
      </c>
      <c r="AA3" s="17">
        <v>2014</v>
      </c>
      <c r="AB3" s="17">
        <v>2015</v>
      </c>
      <c r="AC3" s="17">
        <v>2016</v>
      </c>
      <c r="AD3" s="17">
        <v>2017</v>
      </c>
      <c r="AE3" s="17">
        <v>2018</v>
      </c>
      <c r="AF3" s="17">
        <v>2019</v>
      </c>
      <c r="AG3" s="17">
        <v>2020</v>
      </c>
      <c r="AH3" s="17">
        <v>2021</v>
      </c>
      <c r="AI3" s="17">
        <v>2022</v>
      </c>
      <c r="AJ3" s="17">
        <v>2023</v>
      </c>
      <c r="AK3" s="17">
        <v>2024</v>
      </c>
      <c r="AL3" s="17">
        <v>2025</v>
      </c>
      <c r="AM3" s="17">
        <v>2026</v>
      </c>
      <c r="AN3" s="17">
        <v>2027</v>
      </c>
      <c r="AO3" s="17">
        <v>2028</v>
      </c>
      <c r="AP3" s="17">
        <v>2029</v>
      </c>
      <c r="AQ3" s="17">
        <v>2030</v>
      </c>
      <c r="AR3" s="17">
        <v>2031</v>
      </c>
      <c r="AS3" s="17">
        <v>2032</v>
      </c>
      <c r="AT3" s="17">
        <v>2033</v>
      </c>
      <c r="AU3" s="17">
        <v>2034</v>
      </c>
      <c r="AV3" s="17">
        <v>2035</v>
      </c>
      <c r="AW3" s="17">
        <v>2036</v>
      </c>
      <c r="AX3" s="17">
        <v>2037</v>
      </c>
      <c r="AY3" s="17">
        <v>2038</v>
      </c>
      <c r="AZ3" s="17">
        <v>2039</v>
      </c>
      <c r="BA3" s="17">
        <v>2040</v>
      </c>
      <c r="BB3" s="17">
        <v>2041</v>
      </c>
      <c r="BC3" s="17">
        <v>2042</v>
      </c>
      <c r="BD3" s="17">
        <v>2043</v>
      </c>
      <c r="BE3" s="17">
        <v>2044</v>
      </c>
      <c r="BF3" s="17">
        <v>2045</v>
      </c>
      <c r="BG3" s="17">
        <v>2046</v>
      </c>
      <c r="BH3" s="17">
        <v>2047</v>
      </c>
      <c r="BI3" s="17">
        <v>2048</v>
      </c>
      <c r="BJ3" s="17">
        <v>2049</v>
      </c>
      <c r="BK3" s="17">
        <v>2050</v>
      </c>
      <c r="BN3" s="18" t="s">
        <v>312</v>
      </c>
      <c r="BO3" s="17" t="s">
        <v>286</v>
      </c>
    </row>
    <row r="4" spans="1:67" x14ac:dyDescent="0.25">
      <c r="A4" t="s">
        <v>841</v>
      </c>
      <c r="B4" t="s">
        <v>325</v>
      </c>
      <c r="C4" s="23">
        <f>Drivers!D5/Drivers!D4</f>
        <v>7.3995172186341224E-6</v>
      </c>
      <c r="D4" s="23">
        <f>Drivers!E5/Drivers!E4</f>
        <v>8.3160321270873128E-6</v>
      </c>
      <c r="E4" s="23">
        <f>Drivers!F5/Drivers!F4</f>
        <v>9.1809688444329608E-6</v>
      </c>
      <c r="F4" s="23">
        <f>Drivers!G5/Drivers!G4</f>
        <v>1.0183063676790614E-5</v>
      </c>
      <c r="G4" s="23">
        <f>Drivers!H5/Drivers!H4</f>
        <v>1.1198558803003417E-5</v>
      </c>
      <c r="H4" s="23">
        <f>Drivers!I5/Drivers!I4</f>
        <v>1.2456004786976505E-5</v>
      </c>
      <c r="I4" s="23">
        <f>Drivers!J5/Drivers!J4</f>
        <v>1.5023575074943164E-5</v>
      </c>
      <c r="J4" s="23">
        <f>Drivers!K5/Drivers!K4</f>
        <v>1.4993976964585091E-5</v>
      </c>
      <c r="K4" s="23">
        <f>Drivers!L5/Drivers!L4</f>
        <v>1.5889974557177216E-5</v>
      </c>
      <c r="L4" s="23">
        <f>Drivers!M5/Drivers!M4</f>
        <v>1.7139534783540361E-5</v>
      </c>
      <c r="M4" s="23">
        <f>Drivers!N5/Drivers!N4</f>
        <v>1.9178073296508686E-5</v>
      </c>
      <c r="N4" s="23">
        <f>Drivers!O5/Drivers!O4</f>
        <v>2.0941920561623974E-5</v>
      </c>
      <c r="O4" s="23">
        <f>Drivers!P5/Drivers!P4</f>
        <v>2.4092156096673536E-5</v>
      </c>
      <c r="P4" s="23">
        <f>Drivers!Q5/Drivers!Q4</f>
        <v>2.5864721644610491E-5</v>
      </c>
      <c r="Q4" s="23">
        <f>Drivers!R5/Drivers!R4</f>
        <v>2.816463639110616E-5</v>
      </c>
      <c r="R4" s="23">
        <f>Drivers!S5/Drivers!S4</f>
        <v>3.0685475313895917E-5</v>
      </c>
      <c r="S4" s="23">
        <f>Drivers!T5/Drivers!T4</f>
        <v>3.3867608215633009E-5</v>
      </c>
      <c r="T4" s="23">
        <f>Drivers!U5/Drivers!U4</f>
        <v>3.8369935813406575E-5</v>
      </c>
      <c r="U4" s="23">
        <f>Drivers!V5/Drivers!V4</f>
        <v>4.2933160137438985E-5</v>
      </c>
      <c r="V4" s="23">
        <f>Drivers!W5/Drivers!W4</f>
        <v>4.5112536477249022E-5</v>
      </c>
      <c r="W4" s="23">
        <f>Drivers!X5/Drivers!X4</f>
        <v>4.8711594853611398E-5</v>
      </c>
      <c r="X4" s="23">
        <f>Drivers!Y5/Drivers!Y4</f>
        <v>5.2388104554380752E-5</v>
      </c>
      <c r="Y4" s="23">
        <f>Drivers!Z5/Drivers!Z4</f>
        <v>7.2008674666107316E-5</v>
      </c>
      <c r="Z4" s="23">
        <f>Drivers!AA5/Drivers!AA4</f>
        <v>7.3128862350936422E-5</v>
      </c>
      <c r="AA4" s="23">
        <f>Drivers!AB5/Drivers!AB4</f>
        <v>7.3832053087208803E-5</v>
      </c>
      <c r="AB4" s="23">
        <f>Drivers!AC5/Drivers!AC4</f>
        <v>7.4099569652362116E-5</v>
      </c>
      <c r="AC4" s="23">
        <f>Drivers!AD5/Drivers!AD4</f>
        <v>7.3966728660027013E-5</v>
      </c>
      <c r="AD4" s="23">
        <f>Drivers!AE5/Drivers!AE4</f>
        <v>7.4125058503467776E-5</v>
      </c>
      <c r="AE4" s="23">
        <f>Drivers!AF5/Drivers!AF4</f>
        <v>7.4164408302538267E-5</v>
      </c>
      <c r="AF4" s="23">
        <f>Drivers!AG5/Drivers!AG4</f>
        <v>7.4095161989673263E-5</v>
      </c>
      <c r="AG4" s="23">
        <f>Drivers!AH5/Drivers!AH4</f>
        <v>6.8083856420314581E-5</v>
      </c>
      <c r="AH4" s="23">
        <f>Drivers!AI5/Drivers!AI4</f>
        <v>6.8941392305407008E-5</v>
      </c>
      <c r="AI4" s="23">
        <f>Drivers!AJ5/Drivers!AJ4</f>
        <v>6.9723684259953152E-5</v>
      </c>
      <c r="AJ4" s="23">
        <f>Drivers!AK5/Drivers!AK4</f>
        <v>7.050474461903367E-5</v>
      </c>
      <c r="AK4" s="23">
        <f>Drivers!AL5/Drivers!AL4</f>
        <v>7.1221430987258741E-5</v>
      </c>
      <c r="AL4" s="23">
        <f>Drivers!AM5/Drivers!AM4</f>
        <v>7.1982743525736222E-5</v>
      </c>
      <c r="AM4" s="23">
        <f>Drivers!AN5/Drivers!AN4</f>
        <v>7.2936879525858605E-5</v>
      </c>
      <c r="AN4" s="23">
        <f>Drivers!AO5/Drivers!AO4</f>
        <v>7.3857690209507191E-5</v>
      </c>
      <c r="AO4" s="23">
        <f>Drivers!AP5/Drivers!AP4</f>
        <v>7.4836697328203617E-5</v>
      </c>
      <c r="AP4" s="23">
        <f>Drivers!AQ5/Drivers!AQ4</f>
        <v>7.585293891640726E-5</v>
      </c>
      <c r="AQ4" s="23">
        <f>Drivers!AR5/Drivers!AR4</f>
        <v>7.6910407917236888E-5</v>
      </c>
      <c r="AR4" s="23">
        <f>Drivers!AS5/Drivers!AS4</f>
        <v>7.8323288563762988E-5</v>
      </c>
      <c r="AS4" s="23">
        <f>Drivers!AT5/Drivers!AT4</f>
        <v>7.9613861658927679E-5</v>
      </c>
      <c r="AT4" s="23">
        <f>Drivers!AU5/Drivers!AU4</f>
        <v>8.1099164244587647E-5</v>
      </c>
      <c r="AU4" s="23">
        <f>Drivers!AV5/Drivers!AV4</f>
        <v>8.270925253201148E-5</v>
      </c>
      <c r="AV4" s="23">
        <f>Drivers!AW5/Drivers!AW4</f>
        <v>8.4448977238195885E-5</v>
      </c>
      <c r="AW4" s="23">
        <f>Drivers!AX5/Drivers!AX4</f>
        <v>8.6201618493782811E-5</v>
      </c>
      <c r="AX4" s="23">
        <f>Drivers!AY5/Drivers!AY4</f>
        <v>8.8029735883708143E-5</v>
      </c>
      <c r="AY4" s="23">
        <f>Drivers!AZ5/Drivers!AZ4</f>
        <v>8.9865067890896133E-5</v>
      </c>
      <c r="AZ4" s="23">
        <f>Drivers!BA5/Drivers!BA4</f>
        <v>9.1774120501323959E-5</v>
      </c>
      <c r="BA4" s="23">
        <f>Drivers!BB5/Drivers!BB4</f>
        <v>9.3813540512369811E-5</v>
      </c>
      <c r="BB4" s="23">
        <f>Drivers!BC5/Drivers!BC4</f>
        <v>9.5818434683539268E-5</v>
      </c>
      <c r="BC4" s="23">
        <f>Drivers!BD5/Drivers!BD4</f>
        <v>9.7907610011501405E-5</v>
      </c>
      <c r="BD4" s="23">
        <f>Drivers!BE5/Drivers!BE4</f>
        <v>1.0007172094996821E-4</v>
      </c>
      <c r="BE4" s="23">
        <f>Drivers!BF5/Drivers!BF4</f>
        <v>1.0232560596290246E-4</v>
      </c>
      <c r="BF4" s="23">
        <f>Drivers!BG5/Drivers!BG4</f>
        <v>1.0473336073093231E-4</v>
      </c>
      <c r="BG4" s="23">
        <f>Drivers!BH5/Drivers!BH4</f>
        <v>1.0729626430308969E-4</v>
      </c>
      <c r="BH4" s="23">
        <f>Drivers!BI5/Drivers!BI4</f>
        <v>1.0997976986479573E-4</v>
      </c>
      <c r="BI4" s="23">
        <f>Drivers!BJ5/Drivers!BJ4</f>
        <v>1.1265740832574542E-4</v>
      </c>
      <c r="BJ4" s="23">
        <f>Drivers!BK5/Drivers!BK4</f>
        <v>1.15466335655579E-4</v>
      </c>
      <c r="BK4" s="23">
        <f>Drivers!BL5/Drivers!BL4</f>
        <v>1.1841787076711766E-4</v>
      </c>
    </row>
    <row r="5" spans="1:67" x14ac:dyDescent="0.25">
      <c r="A5" t="s">
        <v>323</v>
      </c>
      <c r="B5" t="s">
        <v>327</v>
      </c>
      <c r="C5" s="22">
        <v>668000</v>
      </c>
      <c r="D5" s="22">
        <v>714000</v>
      </c>
      <c r="E5" s="22">
        <v>741000</v>
      </c>
      <c r="F5" s="22">
        <v>718000</v>
      </c>
      <c r="G5" s="22">
        <v>663000</v>
      </c>
      <c r="H5" s="22">
        <v>587000</v>
      </c>
      <c r="I5" s="22">
        <v>591000</v>
      </c>
      <c r="J5" s="22">
        <v>573000</v>
      </c>
      <c r="K5" s="22">
        <v>560000</v>
      </c>
      <c r="L5" s="22">
        <v>559000</v>
      </c>
      <c r="M5" s="22">
        <v>671000</v>
      </c>
      <c r="N5" s="22">
        <v>554000</v>
      </c>
      <c r="O5" s="22">
        <v>602000</v>
      </c>
      <c r="P5" s="22">
        <v>643000</v>
      </c>
      <c r="Q5" s="22">
        <v>675000</v>
      </c>
      <c r="R5" s="22">
        <v>723000</v>
      </c>
      <c r="S5" s="22">
        <v>825000</v>
      </c>
      <c r="T5" s="22">
        <v>865000</v>
      </c>
      <c r="U5" s="22">
        <v>767000</v>
      </c>
      <c r="V5" s="22">
        <v>784000</v>
      </c>
      <c r="W5" s="22">
        <v>880000</v>
      </c>
      <c r="X5" s="22">
        <v>879000</v>
      </c>
      <c r="Y5" s="22">
        <v>865000</v>
      </c>
      <c r="Z5" s="22">
        <v>910000</v>
      </c>
      <c r="AA5" s="22">
        <v>981000</v>
      </c>
      <c r="AB5" s="22">
        <v>1023000</v>
      </c>
      <c r="AC5" s="22">
        <v>1072000</v>
      </c>
      <c r="AD5" s="22">
        <v>1025000</v>
      </c>
      <c r="AE5" s="23">
        <f>(TREND($C$6:$AD$6,$C$4:$AD$4,AE$4,TRUE))*Drivers!AF4</f>
        <v>986265.82429146802</v>
      </c>
      <c r="AF5" s="23">
        <f>(TREND($C$6:$AD$6,$C$4:$AD$4,AF$4,TRUE))*Drivers!AG4</f>
        <v>995508.42395568837</v>
      </c>
      <c r="AG5" s="23">
        <f>(TREND($C$6:$AD$6,$C$4:$AD$4,AG$4,TRUE))*Drivers!AH4</f>
        <v>991327.03710624401</v>
      </c>
      <c r="AH5" s="23">
        <f>(TREND($C$6:$AD$6,$C$4:$AD$4,AH$4,TRUE))*Drivers!AI4</f>
        <v>1002677.530916818</v>
      </c>
      <c r="AI5" s="23">
        <f>(TREND($C$6:$AD$6,$C$4:$AD$4,AI$4,TRUE))*Drivers!AJ4</f>
        <v>1013891.5664365389</v>
      </c>
      <c r="AJ5" s="23">
        <f>(TREND($C$6:$AD$6,$C$4:$AD$4,AJ$4,TRUE))*Drivers!AK4</f>
        <v>1025136.2330759405</v>
      </c>
      <c r="AK5" s="23">
        <f>(TREND($C$6:$AD$6,$C$4:$AD$4,AK$4,TRUE))*Drivers!AL4</f>
        <v>1036263.4282762795</v>
      </c>
      <c r="AL5" s="23">
        <f>(TREND($C$6:$AD$6,$C$4:$AD$4,AL$4,TRUE))*Drivers!AM4</f>
        <v>1047526.8783943582</v>
      </c>
      <c r="AM5" s="23">
        <f>(TREND($C$6:$AD$6,$C$4:$AD$4,AM$4,TRUE))*Drivers!AN4</f>
        <v>1060075.3691908945</v>
      </c>
      <c r="AN5" s="23">
        <f>(TREND($C$6:$AD$6,$C$4:$AD$4,AN$4,TRUE))*Drivers!AO4</f>
        <v>1072587.7325789947</v>
      </c>
      <c r="AO5" s="23">
        <f>(TREND($C$6:$AD$6,$C$4:$AD$4,AO$4,TRUE))*Drivers!AP4</f>
        <v>1085284.5293073878</v>
      </c>
      <c r="AP5" s="23">
        <f>(TREND($C$6:$AD$6,$C$4:$AD$4,AP$4,TRUE))*Drivers!AQ4</f>
        <v>1098118.2743614642</v>
      </c>
      <c r="AQ5" s="23">
        <f>(TREND($C$6:$AD$6,$C$4:$AD$4,AQ$4,TRUE))*Drivers!AR4</f>
        <v>1111101.4673656495</v>
      </c>
      <c r="AR5" s="23">
        <f>(TREND($C$6:$AD$6,$C$4:$AD$4,AR$4,TRUE))*Drivers!AS4</f>
        <v>1124670.3242096407</v>
      </c>
      <c r="AS5" s="23">
        <f>(TREND($C$6:$AD$6,$C$4:$AD$4,AS$4,TRUE))*Drivers!AT4</f>
        <v>1137993.4853274571</v>
      </c>
      <c r="AT5" s="23">
        <f>(TREND($C$6:$AD$6,$C$4:$AD$4,AT$4,TRUE))*Drivers!AU4</f>
        <v>1151870.8122520768</v>
      </c>
      <c r="AU5" s="23">
        <f>(TREND($C$6:$AD$6,$C$4:$AD$4,AU$4,TRUE))*Drivers!AV4</f>
        <v>1166135.5491669397</v>
      </c>
      <c r="AV5" s="23">
        <f>(TREND($C$6:$AD$6,$C$4:$AD$4,AV$4,TRUE))*Drivers!AW4</f>
        <v>1180808.6645080165</v>
      </c>
      <c r="AW5" s="23">
        <f>(TREND($C$6:$AD$6,$C$4:$AD$4,AW$4,TRUE))*Drivers!AX4</f>
        <v>1195996.0712786582</v>
      </c>
      <c r="AX5" s="23">
        <f>(TREND($C$6:$AD$6,$C$4:$AD$4,AX$4,TRUE))*Drivers!AY4</f>
        <v>1211464.3728216423</v>
      </c>
      <c r="AY5" s="23">
        <f>(TREND($C$6:$AD$6,$C$4:$AD$4,AY$4,TRUE))*Drivers!AZ4</f>
        <v>1227037.0254840134</v>
      </c>
      <c r="AZ5" s="23">
        <f>(TREND($C$6:$AD$6,$C$4:$AD$4,AZ$4,TRUE))*Drivers!BA4</f>
        <v>1242893.222130415</v>
      </c>
      <c r="BA5" s="23">
        <f>(TREND($C$6:$AD$6,$C$4:$AD$4,BA$4,TRUE))*Drivers!BB4</f>
        <v>1259191.6301455724</v>
      </c>
      <c r="BB5" s="23">
        <f>(TREND($C$6:$AD$6,$C$4:$AD$4,BB$4,TRUE))*Drivers!BC4</f>
        <v>1277028.4277879107</v>
      </c>
      <c r="BC5" s="23">
        <f>(TREND($C$6:$AD$6,$C$4:$AD$4,BC$4,TRUE))*Drivers!BD4</f>
        <v>1295204.6967273986</v>
      </c>
      <c r="BD5" s="23">
        <f>(TREND($C$6:$AD$6,$C$4:$AD$4,BD$4,TRUE))*Drivers!BE4</f>
        <v>1313701.0855231408</v>
      </c>
      <c r="BE5" s="23">
        <f>(TREND($C$6:$AD$6,$C$4:$AD$4,BE$4,TRUE))*Drivers!BF4</f>
        <v>1332565.3606367686</v>
      </c>
      <c r="BF5" s="23">
        <f>(TREND($C$6:$AD$6,$C$4:$AD$4,BF$4,TRUE))*Drivers!BG4</f>
        <v>1351986.9041543312</v>
      </c>
      <c r="BG5" s="23">
        <f>(TREND($C$6:$AD$6,$C$4:$AD$4,BG$4,TRUE))*Drivers!BH4</f>
        <v>1371533.1224423854</v>
      </c>
      <c r="BH5" s="23">
        <f>(TREND($C$6:$AD$6,$C$4:$AD$4,BH$4,TRUE))*Drivers!BI4</f>
        <v>1391559.8331767537</v>
      </c>
      <c r="BI5" s="23">
        <f>(TREND($C$6:$AD$6,$C$4:$AD$4,BI$4,TRUE))*Drivers!BJ4</f>
        <v>1411707.0348052334</v>
      </c>
      <c r="BJ5" s="23">
        <f>(TREND($C$6:$AD$6,$C$4:$AD$4,BJ$4,TRUE))*Drivers!BK4</f>
        <v>1432378.2766532307</v>
      </c>
      <c r="BK5" s="23">
        <f>(TREND($C$6:$AD$6,$C$4:$AD$4,BK$4,TRUE))*Drivers!BL4</f>
        <v>1453617.2893013228</v>
      </c>
    </row>
    <row r="6" spans="1:67" x14ac:dyDescent="0.25">
      <c r="A6" t="s">
        <v>323</v>
      </c>
      <c r="B6" t="s">
        <v>328</v>
      </c>
      <c r="C6" s="23">
        <f>C5/Drivers!D4</f>
        <v>1.8151922844328049E-2</v>
      </c>
      <c r="D6" s="23">
        <f>D5/Drivers!E4</f>
        <v>1.8929477093079208E-2</v>
      </c>
      <c r="E6" s="23">
        <f>E5/Drivers!F4</f>
        <v>1.9160849435363898E-2</v>
      </c>
      <c r="F6" s="23">
        <f>F5/Drivers!G4</f>
        <v>1.8115873466426971E-2</v>
      </c>
      <c r="G6" s="23">
        <f>G5/Drivers!H4</f>
        <v>1.6344518185421236E-2</v>
      </c>
      <c r="H6" s="23">
        <f>H5/Drivers!I4</f>
        <v>1.4166508067741876E-2</v>
      </c>
      <c r="I6" s="23">
        <f>I5/Drivers!J4</f>
        <v>1.3991142399503649E-2</v>
      </c>
      <c r="J6" s="23">
        <f>J5/Drivers!K4</f>
        <v>1.3329468330311484E-2</v>
      </c>
      <c r="K6" s="23">
        <f>K5/Drivers!L4</f>
        <v>1.2819849522437712E-2</v>
      </c>
      <c r="L6" s="23">
        <f>L5/Drivers!M4</f>
        <v>1.2607541028129859E-2</v>
      </c>
      <c r="M6" s="23">
        <f>M5/Drivers!N4</f>
        <v>1.4921819008431562E-2</v>
      </c>
      <c r="N6" s="23">
        <f>N5/Drivers!O4</f>
        <v>1.21567810458843E-2</v>
      </c>
      <c r="O6" s="23">
        <f>O5/Drivers!P4</f>
        <v>1.3044162311588505E-2</v>
      </c>
      <c r="P6" s="23">
        <f>P5/Drivers!Q4</f>
        <v>1.3763079313265579E-2</v>
      </c>
      <c r="Q6" s="23">
        <f>Q5/Drivers!R4</f>
        <v>1.4273144855926876E-2</v>
      </c>
      <c r="R6" s="23">
        <f>R5/Drivers!S4</f>
        <v>1.5100061087370227E-2</v>
      </c>
      <c r="S6" s="23">
        <f>S5/Drivers!T4</f>
        <v>1.701400710616301E-2</v>
      </c>
      <c r="T6" s="23">
        <f>T5/Drivers!U4</f>
        <v>1.7610021254379524E-2</v>
      </c>
      <c r="U6" s="23">
        <f>U5/Drivers!V4</f>
        <v>1.5407958031534726E-2</v>
      </c>
      <c r="V6" s="23">
        <f>V5/Drivers!W4</f>
        <v>1.553182299165852E-2</v>
      </c>
      <c r="W6" s="23">
        <f>W5/Drivers!X4</f>
        <v>1.7181807184041598E-2</v>
      </c>
      <c r="X6" s="23">
        <f>X5/Drivers!Y4</f>
        <v>1.6902490054067201E-2</v>
      </c>
      <c r="Y6" s="23">
        <f>Y5/Drivers!Z4</f>
        <v>1.6310786969267743E-2</v>
      </c>
      <c r="Z6" s="23">
        <f>Z5/Drivers!AA4</f>
        <v>1.7004893504801423E-2</v>
      </c>
      <c r="AA6" s="23">
        <f>AA5/Drivers!AB4</f>
        <v>1.8166666666666668E-2</v>
      </c>
      <c r="AB6" s="23">
        <f>AB5/Drivers!AC4</f>
        <v>1.8773947105477615E-2</v>
      </c>
      <c r="AC6" s="23">
        <f>AC5/Drivers!AD4</f>
        <v>1.9482092183173511E-2</v>
      </c>
      <c r="AD6" s="23">
        <f>AD5/Drivers!AE4</f>
        <v>1.8448731277798228E-2</v>
      </c>
      <c r="AE6" s="74"/>
      <c r="AF6" s="74"/>
      <c r="AG6" s="74"/>
      <c r="AH6" s="74"/>
      <c r="AI6" s="74"/>
      <c r="AJ6" s="74"/>
      <c r="AK6" s="74"/>
      <c r="AL6" s="74"/>
      <c r="AM6" s="74"/>
      <c r="AN6" s="74"/>
      <c r="AO6" s="74"/>
      <c r="AP6" s="74"/>
      <c r="AQ6" s="74"/>
      <c r="AR6" s="74"/>
      <c r="AS6" s="74"/>
      <c r="AT6" s="74"/>
      <c r="AU6" s="74"/>
      <c r="AV6" s="74"/>
      <c r="AW6" s="74"/>
      <c r="AX6" s="74"/>
      <c r="AY6" s="74"/>
      <c r="AZ6" s="74"/>
      <c r="BA6" s="74"/>
      <c r="BB6" s="74"/>
      <c r="BC6" s="74"/>
      <c r="BD6" s="74"/>
      <c r="BE6" s="74"/>
      <c r="BF6" s="74"/>
      <c r="BG6" s="74"/>
      <c r="BH6" s="74"/>
      <c r="BI6" s="74"/>
      <c r="BJ6" s="74"/>
      <c r="BK6" s="74"/>
    </row>
    <row r="7" spans="1:67" x14ac:dyDescent="0.25">
      <c r="A7" t="s">
        <v>323</v>
      </c>
      <c r="B7" t="s">
        <v>747</v>
      </c>
      <c r="C7" s="54">
        <f>C5*ttokg/Drivers!D4</f>
        <v>18.151922844328048</v>
      </c>
      <c r="D7" s="54">
        <f>D5*ttokg/Drivers!E4</f>
        <v>18.929477093079207</v>
      </c>
      <c r="E7" s="54">
        <f>E5*ttokg/Drivers!F4</f>
        <v>19.1608494353639</v>
      </c>
      <c r="F7" s="54">
        <f>F5*ttokg/Drivers!G4</f>
        <v>18.115873466426972</v>
      </c>
      <c r="G7" s="54">
        <f>G5*ttokg/Drivers!H4</f>
        <v>16.344518185421236</v>
      </c>
      <c r="H7" s="54">
        <f>H5*ttokg/Drivers!I4</f>
        <v>14.166508067741876</v>
      </c>
      <c r="I7" s="54">
        <f>I5*ttokg/Drivers!J4</f>
        <v>13.991142399503648</v>
      </c>
      <c r="J7" s="54">
        <f>J5*ttokg/Drivers!K4</f>
        <v>13.329468330311483</v>
      </c>
      <c r="K7" s="54">
        <f>K5*ttokg/Drivers!L4</f>
        <v>12.819849522437712</v>
      </c>
      <c r="L7" s="54">
        <f>L5*ttokg/Drivers!M4</f>
        <v>12.607541028129861</v>
      </c>
      <c r="M7" s="54">
        <f>M5*ttokg/Drivers!N4</f>
        <v>14.921819008431562</v>
      </c>
      <c r="N7" s="54">
        <f>N5*ttokg/Drivers!O4</f>
        <v>12.1567810458843</v>
      </c>
      <c r="O7" s="54">
        <f>O5*ttokg/Drivers!P4</f>
        <v>13.044162311588506</v>
      </c>
      <c r="P7" s="54">
        <f>P5*ttokg/Drivers!Q4</f>
        <v>13.76307931326558</v>
      </c>
      <c r="Q7" s="54">
        <f>Q5*ttokg/Drivers!R4</f>
        <v>14.273144855926876</v>
      </c>
      <c r="R7" s="54">
        <f>R5*ttokg/Drivers!S4</f>
        <v>15.100061087370227</v>
      </c>
      <c r="S7" s="54">
        <f>S5*ttokg/Drivers!T4</f>
        <v>17.01400710616301</v>
      </c>
      <c r="T7" s="54">
        <f>T5*ttokg/Drivers!U4</f>
        <v>17.610021254379525</v>
      </c>
      <c r="U7" s="54">
        <f>U5*ttokg/Drivers!V4</f>
        <v>15.407958031534726</v>
      </c>
      <c r="V7" s="54">
        <f>V5*ttokg/Drivers!W4</f>
        <v>15.531822991658519</v>
      </c>
      <c r="W7" s="54">
        <f>W5*ttokg/Drivers!X4</f>
        <v>17.181807184041599</v>
      </c>
      <c r="X7" s="54">
        <f>X5*ttokg/Drivers!Y4</f>
        <v>16.902490054067201</v>
      </c>
      <c r="Y7" s="54">
        <f>Y5*ttokg/Drivers!Z4</f>
        <v>16.310786969267742</v>
      </c>
      <c r="Z7" s="54">
        <f>Z5*ttokg/Drivers!AA4</f>
        <v>17.004893504801423</v>
      </c>
      <c r="AA7" s="54">
        <f>AA5*ttokg/Drivers!AB4</f>
        <v>18.166666666666668</v>
      </c>
      <c r="AB7" s="54">
        <f>AB5*ttokg/Drivers!AC4</f>
        <v>18.773947105477614</v>
      </c>
      <c r="AC7" s="54">
        <f>AC5*ttokg/Drivers!AD4</f>
        <v>19.48209218317351</v>
      </c>
      <c r="AD7" s="54">
        <f>AD5*ttokg/Drivers!AE4</f>
        <v>18.448731277798231</v>
      </c>
      <c r="AE7" s="54">
        <f>AE5*ttokg/Drivers!AF4</f>
        <v>17.582419957268272</v>
      </c>
      <c r="AF7" s="54">
        <f>AF5*ttokg/Drivers!AG4</f>
        <v>17.579683851909859</v>
      </c>
      <c r="AG7" s="54">
        <f>AG5*ttokg/Drivers!AH4</f>
        <v>17.342161235919118</v>
      </c>
      <c r="AH7" s="54">
        <f>AH5*ttokg/Drivers!AI4</f>
        <v>17.376044751635124</v>
      </c>
      <c r="AI7" s="54">
        <f>AI5*ttokg/Drivers!AJ4</f>
        <v>17.406955180221466</v>
      </c>
      <c r="AJ7" s="54">
        <f>AJ5*ttokg/Drivers!AK4</f>
        <v>17.437816945206613</v>
      </c>
      <c r="AK7" s="54">
        <f>AK5*ttokg/Drivers!AL4</f>
        <v>17.466135123190014</v>
      </c>
      <c r="AL7" s="54">
        <f>AL5*ttokg/Drivers!AM4</f>
        <v>17.496216599441603</v>
      </c>
      <c r="AM7" s="54">
        <f>AM5*ttokg/Drivers!AN4</f>
        <v>17.533917041740732</v>
      </c>
      <c r="AN7" s="54">
        <f>AN5*ttokg/Drivers!AO4</f>
        <v>17.570300712457335</v>
      </c>
      <c r="AO7" s="54">
        <f>AO5*ttokg/Drivers!AP4</f>
        <v>17.608983878572133</v>
      </c>
      <c r="AP7" s="54">
        <f>AP5*ttokg/Drivers!AQ4</f>
        <v>17.649138277267003</v>
      </c>
      <c r="AQ7" s="54">
        <f>AQ5*ttokg/Drivers!AR4</f>
        <v>17.690921680307842</v>
      </c>
      <c r="AR7" s="54">
        <f>AR5*ttokg/Drivers!AS4</f>
        <v>17.746748339487535</v>
      </c>
      <c r="AS7" s="54">
        <f>AS5*ttokg/Drivers!AT4</f>
        <v>17.797742303137181</v>
      </c>
      <c r="AT7" s="54">
        <f>AT5*ttokg/Drivers!AU4</f>
        <v>17.856430545086159</v>
      </c>
      <c r="AU7" s="54">
        <f>AU5*ttokg/Drivers!AV4</f>
        <v>17.920049400855916</v>
      </c>
      <c r="AV7" s="54">
        <f>AV5*ttokg/Drivers!AW4</f>
        <v>17.988790535131795</v>
      </c>
      <c r="AW7" s="54">
        <f>AW5*ttokg/Drivers!AX4</f>
        <v>18.058042036509839</v>
      </c>
      <c r="AX7" s="54">
        <f>AX5*ttokg/Drivers!AY4</f>
        <v>18.130275800004842</v>
      </c>
      <c r="AY7" s="54">
        <f>AY5*ttokg/Drivers!AZ4</f>
        <v>18.202794632150205</v>
      </c>
      <c r="AZ7" s="54">
        <f>AZ5*ttokg/Drivers!BA4</f>
        <v>18.278226360725789</v>
      </c>
      <c r="BA7" s="54">
        <f>BA5*ttokg/Drivers!BB4</f>
        <v>18.358809250838153</v>
      </c>
      <c r="BB7" s="54">
        <f>BB5*ttokg/Drivers!BC4</f>
        <v>18.43802793350638</v>
      </c>
      <c r="BC7" s="54">
        <f>BC5*ttokg/Drivers!BD4</f>
        <v>18.520576788066407</v>
      </c>
      <c r="BD7" s="54">
        <f>BD5*ttokg/Drivers!BE4</f>
        <v>18.606086547214058</v>
      </c>
      <c r="BE7" s="54">
        <f>BE5*ttokg/Drivers!BF4</f>
        <v>18.695143517989809</v>
      </c>
      <c r="BF7" s="54">
        <f>BF5*ttokg/Drivers!BG4</f>
        <v>18.790280290620654</v>
      </c>
      <c r="BG7" s="54">
        <f>BG5*ttokg/Drivers!BH4</f>
        <v>18.891547403723969</v>
      </c>
      <c r="BH7" s="54">
        <f>BH5*ttokg/Drivers!BI4</f>
        <v>18.997579821089523</v>
      </c>
      <c r="BI7" s="54">
        <f>BI5*ttokg/Drivers!BJ4</f>
        <v>19.10338041375346</v>
      </c>
      <c r="BJ7" s="54">
        <f>BJ5*ttokg/Drivers!BK4</f>
        <v>19.214368577607711</v>
      </c>
      <c r="BK7" s="54">
        <f>BK5*ttokg/Drivers!BL4</f>
        <v>19.330991552898581</v>
      </c>
    </row>
    <row r="8" spans="1:67" x14ac:dyDescent="0.25">
      <c r="A8" t="s">
        <v>326</v>
      </c>
      <c r="B8" t="s">
        <v>327</v>
      </c>
      <c r="C8" s="22">
        <v>610300</v>
      </c>
      <c r="D8" s="22">
        <v>664900</v>
      </c>
      <c r="E8" s="22">
        <v>703500</v>
      </c>
      <c r="F8" s="22">
        <v>694000</v>
      </c>
      <c r="G8" s="22">
        <v>611200</v>
      </c>
      <c r="H8" s="22">
        <v>507500</v>
      </c>
      <c r="I8" s="22">
        <v>507000</v>
      </c>
      <c r="J8" s="22">
        <v>502400</v>
      </c>
      <c r="K8" s="22">
        <v>496300</v>
      </c>
      <c r="L8" s="22">
        <v>511700</v>
      </c>
      <c r="M8" s="22">
        <v>624600</v>
      </c>
      <c r="N8" s="22">
        <v>524300</v>
      </c>
      <c r="O8" s="22">
        <v>573400</v>
      </c>
      <c r="P8" s="22">
        <v>609700</v>
      </c>
      <c r="Q8" s="22">
        <v>631700</v>
      </c>
      <c r="R8" s="22">
        <v>672300</v>
      </c>
      <c r="S8" s="22">
        <v>808100</v>
      </c>
      <c r="T8" s="22">
        <v>861400</v>
      </c>
      <c r="U8" s="22">
        <v>770200</v>
      </c>
      <c r="V8" s="22">
        <v>796700</v>
      </c>
      <c r="W8" s="22">
        <v>885800</v>
      </c>
      <c r="X8" s="22">
        <v>869500</v>
      </c>
      <c r="Y8" s="22">
        <v>852100</v>
      </c>
      <c r="Z8" s="22">
        <v>904500</v>
      </c>
      <c r="AA8" s="22">
        <v>982600</v>
      </c>
      <c r="AB8" s="22">
        <v>1037900</v>
      </c>
      <c r="AC8" s="22">
        <v>1090900</v>
      </c>
      <c r="AD8" s="22">
        <v>1046300</v>
      </c>
      <c r="AE8" s="23">
        <f t="shared" ref="AE8:BK8" si="0">(TREND($C$8:$AD$8,$C$5:$AD$5,AE$5,TRUE))</f>
        <v>997604.11615216429</v>
      </c>
      <c r="AF8" s="23">
        <f t="shared" si="0"/>
        <v>1008389.6597914149</v>
      </c>
      <c r="AG8" s="23">
        <f t="shared" si="0"/>
        <v>1003510.2392846656</v>
      </c>
      <c r="AH8" s="23">
        <f t="shared" si="0"/>
        <v>1016755.5653583352</v>
      </c>
      <c r="AI8" s="23">
        <f t="shared" si="0"/>
        <v>1029841.6530245868</v>
      </c>
      <c r="AJ8" s="23">
        <f t="shared" si="0"/>
        <v>1042963.4853178954</v>
      </c>
      <c r="AK8" s="23">
        <f t="shared" si="0"/>
        <v>1055948.2356885411</v>
      </c>
      <c r="AL8" s="23">
        <f t="shared" si="0"/>
        <v>1069091.9871427277</v>
      </c>
      <c r="AM8" s="23">
        <f t="shared" si="0"/>
        <v>1083735.3017954987</v>
      </c>
      <c r="AN8" s="23">
        <f t="shared" si="0"/>
        <v>1098336.4579912971</v>
      </c>
      <c r="AO8" s="23">
        <f t="shared" si="0"/>
        <v>1113152.8365176658</v>
      </c>
      <c r="AP8" s="23">
        <f t="shared" si="0"/>
        <v>1128129.0252918696</v>
      </c>
      <c r="AQ8" s="23">
        <f t="shared" si="0"/>
        <v>1143279.6106045209</v>
      </c>
      <c r="AR8" s="23">
        <f t="shared" si="0"/>
        <v>1159113.6294890719</v>
      </c>
      <c r="AS8" s="23">
        <f t="shared" si="0"/>
        <v>1174660.9366179581</v>
      </c>
      <c r="AT8" s="23">
        <f t="shared" si="0"/>
        <v>1190854.9210573195</v>
      </c>
      <c r="AU8" s="23">
        <f t="shared" si="0"/>
        <v>1207500.9890562692</v>
      </c>
      <c r="AV8" s="23">
        <f t="shared" si="0"/>
        <v>1224623.6094860584</v>
      </c>
      <c r="AW8" s="23">
        <f t="shared" si="0"/>
        <v>1242346.376287905</v>
      </c>
      <c r="AX8" s="23">
        <f t="shared" si="0"/>
        <v>1260396.9299608921</v>
      </c>
      <c r="AY8" s="23">
        <f t="shared" si="0"/>
        <v>1278569.2549528629</v>
      </c>
      <c r="AZ8" s="23">
        <f t="shared" si="0"/>
        <v>1297072.4582825864</v>
      </c>
      <c r="BA8" s="23">
        <f t="shared" si="0"/>
        <v>1316091.694999967</v>
      </c>
      <c r="BB8" s="23">
        <f t="shared" si="0"/>
        <v>1336906.13751019</v>
      </c>
      <c r="BC8" s="23">
        <f t="shared" si="0"/>
        <v>1358116.7220824622</v>
      </c>
      <c r="BD8" s="23">
        <f t="shared" si="0"/>
        <v>1379700.8667790345</v>
      </c>
      <c r="BE8" s="23">
        <f t="shared" si="0"/>
        <v>1401714.312113954</v>
      </c>
      <c r="BF8" s="23">
        <f t="shared" si="0"/>
        <v>1424378.0552988043</v>
      </c>
      <c r="BG8" s="23">
        <f t="shared" si="0"/>
        <v>1447187.2862497272</v>
      </c>
      <c r="BH8" s="23">
        <f t="shared" si="0"/>
        <v>1470557.2222442876</v>
      </c>
      <c r="BI8" s="23">
        <f t="shared" si="0"/>
        <v>1494067.7636792851</v>
      </c>
      <c r="BJ8" s="23">
        <f t="shared" si="0"/>
        <v>1518189.82772282</v>
      </c>
      <c r="BK8" s="23">
        <f t="shared" si="0"/>
        <v>1542974.4452647194</v>
      </c>
    </row>
    <row r="9" spans="1:67" x14ac:dyDescent="0.25">
      <c r="A9" t="s">
        <v>336</v>
      </c>
      <c r="B9" t="s">
        <v>327</v>
      </c>
      <c r="C9" s="22">
        <v>1167000</v>
      </c>
      <c r="D9" s="22">
        <v>1153000</v>
      </c>
      <c r="E9" s="22">
        <v>1174000</v>
      </c>
      <c r="F9" s="22">
        <v>1092000</v>
      </c>
      <c r="G9" s="22">
        <v>1088000</v>
      </c>
      <c r="H9" s="22">
        <v>1397000</v>
      </c>
      <c r="I9" s="22">
        <v>1487000</v>
      </c>
      <c r="J9" s="22">
        <v>1571000</v>
      </c>
      <c r="K9" s="22">
        <v>1608000</v>
      </c>
      <c r="L9" s="22">
        <v>1606000</v>
      </c>
      <c r="M9" s="22">
        <v>1284000</v>
      </c>
      <c r="N9" s="22">
        <v>1575000</v>
      </c>
      <c r="O9" s="22">
        <v>1611000</v>
      </c>
      <c r="P9" s="22">
        <v>1528000</v>
      </c>
      <c r="Q9" s="22">
        <v>1626000</v>
      </c>
      <c r="R9" s="22">
        <v>1835000</v>
      </c>
      <c r="S9" s="22">
        <v>1697000</v>
      </c>
      <c r="T9" s="22">
        <v>1799000</v>
      </c>
      <c r="U9" s="22">
        <v>1819000</v>
      </c>
      <c r="V9" s="22">
        <v>1788000</v>
      </c>
      <c r="W9" s="22">
        <v>1868000</v>
      </c>
      <c r="X9" s="22">
        <v>1852000</v>
      </c>
      <c r="Y9" s="22">
        <v>1916000</v>
      </c>
      <c r="Z9" s="22">
        <v>1931000</v>
      </c>
      <c r="AA9" s="22">
        <v>1976000</v>
      </c>
      <c r="AB9" s="22">
        <v>2121000</v>
      </c>
      <c r="AC9" s="22">
        <v>2126000</v>
      </c>
      <c r="AD9" s="22">
        <v>2207000</v>
      </c>
      <c r="AE9" s="23">
        <f>((TREND($C$11:$AD$11,$C$4:$AD$4,AE$4,TRUE))*Drivers!AF4)</f>
        <v>2148818.3419976272</v>
      </c>
      <c r="AF9" s="23">
        <f>((TREND($C$11:$AD$11,$C$4:$AD$4,AF$4,TRUE))*Drivers!AG4)</f>
        <v>2168930.9705631626</v>
      </c>
      <c r="AG9" s="23">
        <f>((TREND($C$11:$AD$11,$C$4:$AD$4,AG$4,TRUE))*Drivers!AH4)</f>
        <v>2157664.2294141417</v>
      </c>
      <c r="AH9" s="23">
        <f>((TREND($C$11:$AD$11,$C$4:$AD$4,AH$4,TRUE))*Drivers!AI4)</f>
        <v>2182683.876570561</v>
      </c>
      <c r="AI9" s="23">
        <f>((TREND($C$11:$AD$11,$C$4:$AD$4,AI$4,TRUE))*Drivers!AJ4)</f>
        <v>2207384.5443552351</v>
      </c>
      <c r="AJ9" s="23">
        <f>((TREND($C$11:$AD$11,$C$4:$AD$4,AJ$4,TRUE))*Drivers!AK4)</f>
        <v>2232156.8142104466</v>
      </c>
      <c r="AK9" s="23">
        <f>((TREND($C$11:$AD$11,$C$4:$AD$4,AK$4,TRUE))*Drivers!AL4)</f>
        <v>2256654.4875653186</v>
      </c>
      <c r="AL9" s="23">
        <f>((TREND($C$11:$AD$11,$C$4:$AD$4,AL$4,TRUE))*Drivers!AM4)</f>
        <v>2281470.6648951443</v>
      </c>
      <c r="AM9" s="23">
        <f>((TREND($C$11:$AD$11,$C$4:$AD$4,AM$4,TRUE))*Drivers!AN4)</f>
        <v>2309164.5442218035</v>
      </c>
      <c r="AN9" s="23">
        <f>((TREND($C$11:$AD$11,$C$4:$AD$4,AN$4,TRUE))*Drivers!AO4)</f>
        <v>2336773.9735749047</v>
      </c>
      <c r="AO9" s="23">
        <f>((TREND($C$11:$AD$11,$C$4:$AD$4,AO$4,TRUE))*Drivers!AP4)</f>
        <v>2364814.5268692314</v>
      </c>
      <c r="AP9" s="23">
        <f>((TREND($C$11:$AD$11,$C$4:$AD$4,AP$4,TRUE))*Drivers!AQ4)</f>
        <v>2393175.2050488922</v>
      </c>
      <c r="AQ9" s="23">
        <f>((TREND($C$11:$AD$11,$C$4:$AD$4,AQ$4,TRUE))*Drivers!AR4)</f>
        <v>2421885.2267320473</v>
      </c>
      <c r="AR9" s="23">
        <f>((TREND($C$11:$AD$11,$C$4:$AD$4,AR$4,TRUE))*Drivers!AS4)</f>
        <v>2452019.9157463796</v>
      </c>
      <c r="AS9" s="23">
        <f>((TREND($C$11:$AD$11,$C$4:$AD$4,AS$4,TRUE))*Drivers!AT4)</f>
        <v>2481580.2763638361</v>
      </c>
      <c r="AT9" s="23">
        <f>((TREND($C$11:$AD$11,$C$4:$AD$4,AT$4,TRUE))*Drivers!AU4)</f>
        <v>2512436.0326033239</v>
      </c>
      <c r="AU9" s="23">
        <f>((TREND($C$11:$AD$11,$C$4:$AD$4,AU$4,TRUE))*Drivers!AV4)</f>
        <v>2544197.3828463079</v>
      </c>
      <c r="AV9" s="23">
        <f>((TREND($C$11:$AD$11,$C$4:$AD$4,AV$4,TRUE))*Drivers!AW4)</f>
        <v>2576913.3420354929</v>
      </c>
      <c r="AW9" s="23">
        <f>((TREND($C$11:$AD$11,$C$4:$AD$4,AW$4,TRUE))*Drivers!AX4)</f>
        <v>2610769.2402481828</v>
      </c>
      <c r="AX9" s="23">
        <f>((TREND($C$11:$AD$11,$C$4:$AD$4,AX$4,TRUE))*Drivers!AY4)</f>
        <v>2645281.7467570179</v>
      </c>
      <c r="AY9" s="23">
        <f>((TREND($C$11:$AD$11,$C$4:$AD$4,AY$4,TRUE))*Drivers!AZ4)</f>
        <v>2680038.1802637605</v>
      </c>
      <c r="AZ9" s="23">
        <f>((TREND($C$11:$AD$11,$C$4:$AD$4,AZ$4,TRUE))*Drivers!BA4)</f>
        <v>2715457.4147291696</v>
      </c>
      <c r="BA9" s="23">
        <f>((TREND($C$11:$AD$11,$C$4:$AD$4,BA$4,TRUE))*Drivers!BB4)</f>
        <v>2751910.3446633611</v>
      </c>
      <c r="BB9" s="23">
        <f>((TREND($C$11:$AD$11,$C$4:$AD$4,BB$4,TRUE))*Drivers!BC4)</f>
        <v>2791726.4571373183</v>
      </c>
      <c r="BC9" s="23">
        <f>((TREND($C$11:$AD$11,$C$4:$AD$4,BC$4,TRUE))*Drivers!BD4)</f>
        <v>2832336.1040583467</v>
      </c>
      <c r="BD9" s="23">
        <f>((TREND($C$11:$AD$11,$C$4:$AD$4,BD$4,TRUE))*Drivers!BE4)</f>
        <v>2873694.0502224723</v>
      </c>
      <c r="BE9" s="23">
        <f>((TREND($C$11:$AD$11,$C$4:$AD$4,BE$4,TRUE))*Drivers!BF4)</f>
        <v>2915911.9526127237</v>
      </c>
      <c r="BF9" s="23">
        <f>((TREND($C$11:$AD$11,$C$4:$AD$4,BF$4,TRUE))*Drivers!BG4)</f>
        <v>2959432.5031589093</v>
      </c>
      <c r="BG9" s="23">
        <f>((TREND($C$11:$AD$11,$C$4:$AD$4,BG$4,TRUE))*Drivers!BH4)</f>
        <v>3003310.7873129207</v>
      </c>
      <c r="BH9" s="23">
        <f>((TREND($C$11:$AD$11,$C$4:$AD$4,BH$4,TRUE))*Drivers!BI4)</f>
        <v>3048312.2512393934</v>
      </c>
      <c r="BI9" s="23">
        <f>((TREND($C$11:$AD$11,$C$4:$AD$4,BI$4,TRUE))*Drivers!BJ4)</f>
        <v>3093595.3697946803</v>
      </c>
      <c r="BJ9" s="23">
        <f>((TREND($C$11:$AD$11,$C$4:$AD$4,BJ$4,TRUE))*Drivers!BK4)</f>
        <v>3140103.4636694561</v>
      </c>
      <c r="BK9" s="23">
        <f>((TREND($C$11:$AD$11,$C$4:$AD$4,BK$4,TRUE))*Drivers!BL4)</f>
        <v>3187938.7556780474</v>
      </c>
    </row>
    <row r="10" spans="1:67" x14ac:dyDescent="0.25">
      <c r="A10" t="s">
        <v>336</v>
      </c>
      <c r="B10" t="s">
        <v>747</v>
      </c>
      <c r="C10" s="54">
        <f>C9*ttokg/Drivers!D4</f>
        <v>31.711517903189872</v>
      </c>
      <c r="D10" s="54">
        <f>D9*ttokg/Drivers!E4</f>
        <v>30.568189199328188</v>
      </c>
      <c r="E10" s="54">
        <f>E9*ttokg/Drivers!F4</f>
        <v>30.357405178295842</v>
      </c>
      <c r="F10" s="54">
        <f>F9*ttokg/Drivers!G4</f>
        <v>27.552275522755227</v>
      </c>
      <c r="G10" s="54">
        <f>G9*ttokg/Drivers!H4</f>
        <v>26.821773432486133</v>
      </c>
      <c r="H10" s="54">
        <f>H9*ttokg/Drivers!I4</f>
        <v>33.714841176550941</v>
      </c>
      <c r="I10" s="54">
        <f>I9*ttokg/Drivers!J4</f>
        <v>35.202755918886503</v>
      </c>
      <c r="J10" s="54">
        <f>J9*ttokg/Drivers!K4</f>
        <v>36.545540570539863</v>
      </c>
      <c r="K10" s="54">
        <f>K9*ttokg/Drivers!L4</f>
        <v>36.811282200142578</v>
      </c>
      <c r="L10" s="54">
        <f>L9*ttokg/Drivers!M4</f>
        <v>36.22130749763248</v>
      </c>
      <c r="M10" s="54">
        <f>M9*ttokg/Drivers!N4</f>
        <v>28.553823557117923</v>
      </c>
      <c r="N10" s="54">
        <f>N9*ttokg/Drivers!O4</f>
        <v>34.561245753190924</v>
      </c>
      <c r="O10" s="54">
        <f>O9*ttokg/Drivers!P4</f>
        <v>34.907218411908772</v>
      </c>
      <c r="P10" s="54">
        <f>P9*ttokg/Drivers!Q4</f>
        <v>32.706042287200319</v>
      </c>
      <c r="Q10" s="54">
        <f>Q9*ttokg/Drivers!R4</f>
        <v>34.38242005294385</v>
      </c>
      <c r="R10" s="54">
        <f>R9*ttokg/Drivers!S4</f>
        <v>38.324498057156802</v>
      </c>
      <c r="S10" s="54">
        <f>S9*ttokg/Drivers!T4</f>
        <v>34.997297041404401</v>
      </c>
      <c r="T10" s="54">
        <f>T9*ttokg/Drivers!U4</f>
        <v>36.624772527894528</v>
      </c>
      <c r="U10" s="54">
        <f>U9*ttokg/Drivers!V4</f>
        <v>36.541167743626687</v>
      </c>
      <c r="V10" s="54">
        <f>V9*ttokg/Drivers!W4</f>
        <v>35.422065700364072</v>
      </c>
      <c r="W10" s="54">
        <f>W9*ttokg/Drivers!X4</f>
        <v>36.472290704306488</v>
      </c>
      <c r="X10" s="54">
        <f>X9*ttokg/Drivers!Y4</f>
        <v>35.612527394917471</v>
      </c>
      <c r="Y10" s="54">
        <f>Y9*ttokg/Drivers!Z4</f>
        <v>36.128864546956059</v>
      </c>
      <c r="Z10" s="54">
        <f>Z9*ttokg/Drivers!AA4</f>
        <v>36.084010283265435</v>
      </c>
      <c r="AA10" s="54">
        <f>AA9*ttokg/Drivers!AB4</f>
        <v>36.592592592592595</v>
      </c>
      <c r="AB10" s="54">
        <f>AB9*ttokg/Drivers!AC4</f>
        <v>38.924283294934526</v>
      </c>
      <c r="AC10" s="54">
        <f>AC9*ttokg/Drivers!AD4</f>
        <v>38.637059684166864</v>
      </c>
      <c r="AD10" s="54">
        <f>AD9*ttokg/Drivers!AE4</f>
        <v>39.723268224488478</v>
      </c>
      <c r="AE10" s="54">
        <f>AE9*ttokg/Drivers!AF4</f>
        <v>38.307549111341586</v>
      </c>
      <c r="AF10" s="54">
        <f>AF9*ttokg/Drivers!AG4</f>
        <v>38.301153301756081</v>
      </c>
      <c r="AG10" s="54">
        <f>AG9*ttokg/Drivers!AH4</f>
        <v>37.745930009840883</v>
      </c>
      <c r="AH10" s="54">
        <f>AH9*ttokg/Drivers!AI4</f>
        <v>37.825134750235947</v>
      </c>
      <c r="AI10" s="54">
        <f>AI9*ttokg/Drivers!AJ4</f>
        <v>37.897389722010445</v>
      </c>
      <c r="AJ10" s="54">
        <f>AJ9*ttokg/Drivers!AK4</f>
        <v>37.969530939712577</v>
      </c>
      <c r="AK10" s="54">
        <f>AK9*ttokg/Drivers!AL4</f>
        <v>38.035726370978793</v>
      </c>
      <c r="AL10" s="54">
        <f>AL9*ttokg/Drivers!AM4</f>
        <v>38.106043617193059</v>
      </c>
      <c r="AM10" s="54">
        <f>AM9*ttokg/Drivers!AN4</f>
        <v>38.194170651297433</v>
      </c>
      <c r="AN10" s="54">
        <f>AN9*ttokg/Drivers!AO4</f>
        <v>38.279219653233397</v>
      </c>
      <c r="AO10" s="54">
        <f>AO9*ttokg/Drivers!AP4</f>
        <v>38.369643862912859</v>
      </c>
      <c r="AP10" s="54">
        <f>AP9*ttokg/Drivers!AQ4</f>
        <v>38.463507166561847</v>
      </c>
      <c r="AQ10" s="54">
        <f>AQ9*ttokg/Drivers!AR4</f>
        <v>38.561178365100091</v>
      </c>
      <c r="AR10" s="54">
        <f>AR9*ttokg/Drivers!AS4</f>
        <v>38.691676513064181</v>
      </c>
      <c r="AS10" s="54">
        <f>AS9*ttokg/Drivers!AT4</f>
        <v>38.810877946777183</v>
      </c>
      <c r="AT10" s="54">
        <f>AT9*ttokg/Drivers!AU4</f>
        <v>38.948065215264059</v>
      </c>
      <c r="AU10" s="54">
        <f>AU9*ttokg/Drivers!AV4</f>
        <v>39.09677808785105</v>
      </c>
      <c r="AV10" s="54">
        <f>AV9*ttokg/Drivers!AW4</f>
        <v>39.257464592180085</v>
      </c>
      <c r="AW10" s="54">
        <f>AW9*ttokg/Drivers!AX4</f>
        <v>39.419344110072764</v>
      </c>
      <c r="AX10" s="54">
        <f>AX9*ttokg/Drivers!AY4</f>
        <v>39.588194843666408</v>
      </c>
      <c r="AY10" s="54">
        <f>AY9*ttokg/Drivers!AZ4</f>
        <v>39.757711942245201</v>
      </c>
      <c r="AZ10" s="54">
        <f>AZ9*ttokg/Drivers!BA4</f>
        <v>39.934038110091983</v>
      </c>
      <c r="BA10" s="54">
        <f>BA9*ttokg/Drivers!BB4</f>
        <v>40.122405425488893</v>
      </c>
      <c r="BB10" s="54">
        <f>BB9*ttokg/Drivers!BC4</f>
        <v>40.307583824559529</v>
      </c>
      <c r="BC10" s="54">
        <f>BC9*ttokg/Drivers!BD4</f>
        <v>40.500546699195581</v>
      </c>
      <c r="BD10" s="54">
        <f>BD9*ttokg/Drivers!BE4</f>
        <v>40.70043086503302</v>
      </c>
      <c r="BE10" s="54">
        <f>BE9*ttokg/Drivers!BF4</f>
        <v>40.908606849773925</v>
      </c>
      <c r="BF10" s="54">
        <f>BF9*ttokg/Drivers!BG4</f>
        <v>41.130994734236864</v>
      </c>
      <c r="BG10" s="54">
        <f>BG9*ttokg/Drivers!BH4</f>
        <v>41.367712655456465</v>
      </c>
      <c r="BH10" s="54">
        <f>BH9*ttokg/Drivers!BI4</f>
        <v>41.61556975981626</v>
      </c>
      <c r="BI10" s="54">
        <f>BI9*ttokg/Drivers!BJ4</f>
        <v>41.862884960099095</v>
      </c>
      <c r="BJ10" s="54">
        <f>BJ9*ttokg/Drivers!BK4</f>
        <v>42.122326417670365</v>
      </c>
      <c r="BK10" s="54">
        <f>BK9*ttokg/Drivers!BL4</f>
        <v>42.394939583300314</v>
      </c>
    </row>
    <row r="11" spans="1:67" x14ac:dyDescent="0.25">
      <c r="A11" t="s">
        <v>336</v>
      </c>
      <c r="B11" t="s">
        <v>328</v>
      </c>
      <c r="C11" s="54">
        <f>C9/Drivers!D4</f>
        <v>3.1711517903189872E-2</v>
      </c>
      <c r="D11" s="54">
        <f>D9/Drivers!E4</f>
        <v>3.0568189199328188E-2</v>
      </c>
      <c r="E11" s="54">
        <f>E9/Drivers!F4</f>
        <v>3.035740517829584E-2</v>
      </c>
      <c r="F11" s="54">
        <f>F9/Drivers!G4</f>
        <v>2.7552275522755229E-2</v>
      </c>
      <c r="G11" s="54">
        <f>G9/Drivers!H4</f>
        <v>2.6821773432486134E-2</v>
      </c>
      <c r="H11" s="54">
        <f>H9/Drivers!I4</f>
        <v>3.3714841176550943E-2</v>
      </c>
      <c r="I11" s="54">
        <f>I9/Drivers!J4</f>
        <v>3.5202755918886504E-2</v>
      </c>
      <c r="J11" s="54">
        <f>J9/Drivers!K4</f>
        <v>3.654554057053986E-2</v>
      </c>
      <c r="K11" s="54">
        <f>K9/Drivers!L4</f>
        <v>3.6811282200142577E-2</v>
      </c>
      <c r="L11" s="54">
        <f>L9/Drivers!M4</f>
        <v>3.6221307497632478E-2</v>
      </c>
      <c r="M11" s="54">
        <f>M9/Drivers!N4</f>
        <v>2.855382355711792E-2</v>
      </c>
      <c r="N11" s="54">
        <f>N9/Drivers!O4</f>
        <v>3.4561245753190924E-2</v>
      </c>
      <c r="O11" s="54">
        <f>O9/Drivers!P4</f>
        <v>3.4907218411908775E-2</v>
      </c>
      <c r="P11" s="54">
        <f>P9/Drivers!Q4</f>
        <v>3.2706042287200317E-2</v>
      </c>
      <c r="Q11" s="54">
        <f>Q9/Drivers!R4</f>
        <v>3.4382420052943855E-2</v>
      </c>
      <c r="R11" s="54">
        <f>R9/Drivers!S4</f>
        <v>3.8324498057156799E-2</v>
      </c>
      <c r="S11" s="54">
        <f>S9/Drivers!T4</f>
        <v>3.4997297041404404E-2</v>
      </c>
      <c r="T11" s="54">
        <f>T9/Drivers!U4</f>
        <v>3.6624772527894527E-2</v>
      </c>
      <c r="U11" s="54">
        <f>U9/Drivers!V4</f>
        <v>3.6541167743626687E-2</v>
      </c>
      <c r="V11" s="54">
        <f>V9/Drivers!W4</f>
        <v>3.5422065700364075E-2</v>
      </c>
      <c r="W11" s="54">
        <f>W9/Drivers!X4</f>
        <v>3.6472290704306486E-2</v>
      </c>
      <c r="X11" s="54">
        <f>X9/Drivers!Y4</f>
        <v>3.5612527394917472E-2</v>
      </c>
      <c r="Y11" s="54">
        <f>Y9/Drivers!Z4</f>
        <v>3.612886454695606E-2</v>
      </c>
      <c r="Z11" s="54">
        <f>Z9/Drivers!AA4</f>
        <v>3.6084010283265432E-2</v>
      </c>
      <c r="AA11" s="54">
        <f>AA9/Drivers!AB4</f>
        <v>3.6592592592592593E-2</v>
      </c>
      <c r="AB11" s="54">
        <f>AB9/Drivers!AC4</f>
        <v>3.8924283294934525E-2</v>
      </c>
      <c r="AC11" s="54">
        <f>AC9/Drivers!AD4</f>
        <v>3.863705968416687E-2</v>
      </c>
      <c r="AD11" s="54">
        <f>AD9/Drivers!AE4</f>
        <v>3.9723268224488482E-2</v>
      </c>
      <c r="AE11" s="74"/>
      <c r="AF11" s="74"/>
      <c r="AG11" s="74"/>
      <c r="AH11" s="74"/>
      <c r="AI11" s="74"/>
      <c r="AJ11" s="74"/>
      <c r="AK11" s="74"/>
      <c r="AL11" s="74"/>
      <c r="AM11" s="74"/>
      <c r="AN11" s="74"/>
      <c r="AO11" s="74"/>
      <c r="AP11" s="74"/>
      <c r="AQ11" s="74"/>
      <c r="AR11" s="74"/>
      <c r="AS11" s="74"/>
      <c r="AT11" s="74"/>
      <c r="AU11" s="74"/>
      <c r="AV11" s="74"/>
      <c r="AW11" s="74"/>
      <c r="AX11" s="74"/>
      <c r="AY11" s="74"/>
      <c r="AZ11" s="74"/>
      <c r="BA11" s="74"/>
      <c r="BB11" s="74"/>
      <c r="BC11" s="74"/>
      <c r="BD11" s="74"/>
      <c r="BE11" s="74"/>
      <c r="BF11" s="74"/>
      <c r="BG11" s="74"/>
      <c r="BH11" s="74"/>
      <c r="BI11" s="74"/>
      <c r="BJ11" s="74"/>
      <c r="BK11" s="74"/>
    </row>
    <row r="12" spans="1:67" x14ac:dyDescent="0.25">
      <c r="A12" t="s">
        <v>346</v>
      </c>
      <c r="B12" t="s">
        <v>327</v>
      </c>
      <c r="C12" s="22">
        <v>2119000</v>
      </c>
      <c r="D12" s="22">
        <v>2163000</v>
      </c>
      <c r="E12" s="22">
        <v>2107000</v>
      </c>
      <c r="F12" s="22">
        <v>2002000</v>
      </c>
      <c r="G12" s="22">
        <v>2006000</v>
      </c>
      <c r="H12" s="22">
        <v>2297000</v>
      </c>
      <c r="I12" s="22">
        <v>2450000</v>
      </c>
      <c r="J12" s="22">
        <v>2437000</v>
      </c>
      <c r="K12" s="22">
        <v>2501000</v>
      </c>
      <c r="L12" s="22">
        <v>2543000</v>
      </c>
      <c r="M12" s="22">
        <v>2370000</v>
      </c>
      <c r="N12" s="22">
        <v>2358000</v>
      </c>
      <c r="O12" s="22">
        <v>2457000</v>
      </c>
      <c r="P12" s="22">
        <v>2354000</v>
      </c>
      <c r="Q12" s="22">
        <v>2505000</v>
      </c>
      <c r="R12" s="22">
        <v>2657000</v>
      </c>
      <c r="S12" s="22">
        <v>2513000</v>
      </c>
      <c r="T12" s="22">
        <v>2559000</v>
      </c>
      <c r="U12" s="22">
        <v>2625000</v>
      </c>
      <c r="V12" s="22">
        <v>2587000</v>
      </c>
      <c r="W12" s="22">
        <v>2711000</v>
      </c>
      <c r="X12" s="22">
        <v>2720000</v>
      </c>
      <c r="Y12" s="22">
        <v>2843000</v>
      </c>
      <c r="Z12" s="22">
        <v>2906000</v>
      </c>
      <c r="AA12" s="22">
        <v>2983000</v>
      </c>
      <c r="AB12" s="22">
        <v>3173000</v>
      </c>
      <c r="AC12" s="22">
        <v>3158000</v>
      </c>
      <c r="AD12" s="22">
        <f>(0.9778*AD9)+939982</f>
        <v>3097986.6</v>
      </c>
      <c r="AE12" s="23">
        <f>TREND($C$12:$AD$12,$C$9:$AD$9,AE$9,TRUE)</f>
        <v>3041076.1441055695</v>
      </c>
      <c r="AF12" s="23">
        <f t="shared" ref="AF12:BK12" si="1">TREND($C$12:$AD$12,$C$9:$AD$9,AF$9,TRUE)</f>
        <v>3060742.1495684152</v>
      </c>
      <c r="AG12" s="23">
        <f t="shared" si="1"/>
        <v>3049725.5988344755</v>
      </c>
      <c r="AH12" s="23">
        <f t="shared" si="1"/>
        <v>3074189.65712767</v>
      </c>
      <c r="AI12" s="23">
        <f t="shared" si="1"/>
        <v>3098341.8193379212</v>
      </c>
      <c r="AJ12" s="23">
        <f t="shared" si="1"/>
        <v>3122563.9936157521</v>
      </c>
      <c r="AK12" s="23">
        <f t="shared" si="1"/>
        <v>3146517.6691114297</v>
      </c>
      <c r="AL12" s="23">
        <f t="shared" si="1"/>
        <v>3170782.7758499691</v>
      </c>
      <c r="AM12" s="23">
        <f t="shared" si="1"/>
        <v>3197861.6820382308</v>
      </c>
      <c r="AN12" s="23">
        <f t="shared" si="1"/>
        <v>3224858.0135577507</v>
      </c>
      <c r="AO12" s="23">
        <f t="shared" si="1"/>
        <v>3252275.8954358259</v>
      </c>
      <c r="AP12" s="23">
        <f t="shared" si="1"/>
        <v>3280006.7934730407</v>
      </c>
      <c r="AQ12" s="23">
        <f t="shared" si="1"/>
        <v>3308079.2774559082</v>
      </c>
      <c r="AR12" s="23">
        <f t="shared" si="1"/>
        <v>3337544.7924603736</v>
      </c>
      <c r="AS12" s="23">
        <f t="shared" si="1"/>
        <v>3366448.7326635337</v>
      </c>
      <c r="AT12" s="23">
        <f t="shared" si="1"/>
        <v>3396619.3028000416</v>
      </c>
      <c r="AU12" s="23">
        <f t="shared" si="1"/>
        <v>3427675.3572262758</v>
      </c>
      <c r="AV12" s="23">
        <f t="shared" si="1"/>
        <v>3459664.8224540707</v>
      </c>
      <c r="AW12" s="23">
        <f t="shared" si="1"/>
        <v>3492768.9131019358</v>
      </c>
      <c r="AX12" s="23">
        <f t="shared" si="1"/>
        <v>3526515.0313344533</v>
      </c>
      <c r="AY12" s="23">
        <f t="shared" si="1"/>
        <v>3560499.6598968245</v>
      </c>
      <c r="AZ12" s="23">
        <f t="shared" si="1"/>
        <v>3595132.3711914662</v>
      </c>
      <c r="BA12" s="23">
        <f t="shared" si="1"/>
        <v>3630775.8236067807</v>
      </c>
      <c r="BB12" s="23">
        <f t="shared" si="1"/>
        <v>3669707.7753837807</v>
      </c>
      <c r="BC12" s="23">
        <f t="shared" si="1"/>
        <v>3709415.6403001407</v>
      </c>
      <c r="BD12" s="23">
        <f t="shared" si="1"/>
        <v>3749855.1876494875</v>
      </c>
      <c r="BE12" s="23">
        <f t="shared" si="1"/>
        <v>3791135.5949483775</v>
      </c>
      <c r="BF12" s="23">
        <f t="shared" si="1"/>
        <v>3833689.7236640025</v>
      </c>
      <c r="BG12" s="23">
        <f t="shared" si="1"/>
        <v>3876593.6421180908</v>
      </c>
      <c r="BH12" s="23">
        <f t="shared" si="1"/>
        <v>3920595.7988988617</v>
      </c>
      <c r="BI12" s="23">
        <f t="shared" si="1"/>
        <v>3964873.3558567315</v>
      </c>
      <c r="BJ12" s="23">
        <f t="shared" si="1"/>
        <v>4010348.6862059031</v>
      </c>
      <c r="BK12" s="23">
        <f t="shared" si="1"/>
        <v>4057121.7427903526</v>
      </c>
    </row>
    <row r="13" spans="1:67" x14ac:dyDescent="0.25">
      <c r="A13" t="s">
        <v>5</v>
      </c>
      <c r="B13" t="s">
        <v>142</v>
      </c>
      <c r="C13" s="22">
        <v>887480</v>
      </c>
      <c r="D13" s="22">
        <v>1021720.0000000001</v>
      </c>
      <c r="E13" s="22">
        <v>883920</v>
      </c>
      <c r="F13" s="22">
        <v>937480</v>
      </c>
      <c r="G13" s="22">
        <v>869680</v>
      </c>
      <c r="H13" s="22">
        <v>930360</v>
      </c>
      <c r="I13" s="22">
        <v>933920</v>
      </c>
      <c r="J13" s="22">
        <v>900360</v>
      </c>
      <c r="K13" s="22">
        <v>889680.00000000012</v>
      </c>
      <c r="L13" s="22">
        <v>873920</v>
      </c>
      <c r="M13" s="22">
        <v>1125280</v>
      </c>
      <c r="N13" s="22">
        <v>1121720</v>
      </c>
      <c r="O13" s="22">
        <v>978160.00000000012</v>
      </c>
      <c r="P13" s="22">
        <v>889680.00000000012</v>
      </c>
      <c r="Q13" s="22">
        <v>859000</v>
      </c>
      <c r="R13" s="22">
        <v>919680</v>
      </c>
      <c r="S13" s="22">
        <v>899680</v>
      </c>
      <c r="T13" s="22">
        <v>893240.00000000012</v>
      </c>
      <c r="U13" s="22">
        <v>1093920</v>
      </c>
      <c r="V13" s="22">
        <v>1121040</v>
      </c>
      <c r="W13" s="22">
        <v>1121040</v>
      </c>
      <c r="X13" s="22">
        <v>1080360</v>
      </c>
      <c r="Y13" s="22">
        <v>1040360.0000000001</v>
      </c>
      <c r="Z13" s="22">
        <v>1121720</v>
      </c>
      <c r="AA13" s="22">
        <v>1060360.0000000002</v>
      </c>
      <c r="AB13" s="22">
        <v>1073240</v>
      </c>
      <c r="AC13" s="22">
        <v>1113240.0000000002</v>
      </c>
      <c r="AD13" s="22">
        <v>1197480.0000000002</v>
      </c>
      <c r="AE13" s="23">
        <f>TREND($C$13:$AD$13,$C$12:$AD$12,AE$12,TRUE)</f>
        <v>1092231.2799693884</v>
      </c>
      <c r="AF13" s="23">
        <f t="shared" ref="AF13:BK13" si="2">TREND($C$13:$AD$13,$C$12:$AD$12,AF$12,TRUE)</f>
        <v>1096101.2126122962</v>
      </c>
      <c r="AG13" s="23">
        <f t="shared" si="2"/>
        <v>1093933.3443393991</v>
      </c>
      <c r="AH13" s="23">
        <f t="shared" si="2"/>
        <v>1098747.451502427</v>
      </c>
      <c r="AI13" s="23">
        <f t="shared" si="2"/>
        <v>1103500.1828647181</v>
      </c>
      <c r="AJ13" s="23">
        <f t="shared" si="2"/>
        <v>1108266.6914013438</v>
      </c>
      <c r="AK13" s="23">
        <f t="shared" si="2"/>
        <v>1112980.3639818521</v>
      </c>
      <c r="AL13" s="23">
        <f t="shared" si="2"/>
        <v>1117755.3208905403</v>
      </c>
      <c r="AM13" s="23">
        <f t="shared" si="2"/>
        <v>1123083.9852799699</v>
      </c>
      <c r="AN13" s="23">
        <f t="shared" si="2"/>
        <v>1128396.4003905794</v>
      </c>
      <c r="AO13" s="23">
        <f t="shared" si="2"/>
        <v>1133791.7693830174</v>
      </c>
      <c r="AP13" s="23">
        <f t="shared" si="2"/>
        <v>1139248.7345879804</v>
      </c>
      <c r="AQ13" s="23">
        <f t="shared" si="2"/>
        <v>1144772.9180495408</v>
      </c>
      <c r="AR13" s="23">
        <f t="shared" si="2"/>
        <v>1150571.2261284897</v>
      </c>
      <c r="AS13" s="23">
        <f t="shared" si="2"/>
        <v>1156259.0259164125</v>
      </c>
      <c r="AT13" s="23">
        <f t="shared" si="2"/>
        <v>1162196.0767550792</v>
      </c>
      <c r="AU13" s="23">
        <f t="shared" si="2"/>
        <v>1168307.3757177009</v>
      </c>
      <c r="AV13" s="23">
        <f t="shared" si="2"/>
        <v>1174602.3539199645</v>
      </c>
      <c r="AW13" s="23">
        <f t="shared" si="2"/>
        <v>1181116.6712913283</v>
      </c>
      <c r="AX13" s="23">
        <f t="shared" si="2"/>
        <v>1187757.3286818785</v>
      </c>
      <c r="AY13" s="23">
        <f t="shared" si="2"/>
        <v>1194444.9208153745</v>
      </c>
      <c r="AZ13" s="23">
        <f t="shared" si="2"/>
        <v>1201260.0445172745</v>
      </c>
      <c r="BA13" s="23">
        <f t="shared" si="2"/>
        <v>1208274.0647395588</v>
      </c>
      <c r="BB13" s="23">
        <f t="shared" si="2"/>
        <v>1215935.2052451165</v>
      </c>
      <c r="BC13" s="23">
        <f t="shared" si="2"/>
        <v>1223749.0321511608</v>
      </c>
      <c r="BD13" s="23">
        <f t="shared" si="2"/>
        <v>1231706.8416131441</v>
      </c>
      <c r="BE13" s="23">
        <f t="shared" si="2"/>
        <v>1239830.1178941519</v>
      </c>
      <c r="BF13" s="23">
        <f t="shared" si="2"/>
        <v>1248204.0407082294</v>
      </c>
      <c r="BG13" s="23">
        <f t="shared" si="2"/>
        <v>1256646.7961446508</v>
      </c>
      <c r="BH13" s="23">
        <f t="shared" si="2"/>
        <v>1265305.6660511992</v>
      </c>
      <c r="BI13" s="23">
        <f t="shared" si="2"/>
        <v>1274018.7299900453</v>
      </c>
      <c r="BJ13" s="23">
        <f t="shared" si="2"/>
        <v>1282967.4951929105</v>
      </c>
      <c r="BK13" s="23">
        <f t="shared" si="2"/>
        <v>1292171.6306655011</v>
      </c>
    </row>
    <row r="14" spans="1:67" x14ac:dyDescent="0.25">
      <c r="A14" t="s">
        <v>384</v>
      </c>
      <c r="B14" t="s">
        <v>327</v>
      </c>
      <c r="C14" s="22">
        <v>184000</v>
      </c>
      <c r="D14" s="22">
        <v>206000</v>
      </c>
      <c r="E14" s="22">
        <v>199000</v>
      </c>
      <c r="F14" s="22">
        <v>189000</v>
      </c>
      <c r="G14" s="22">
        <v>156000</v>
      </c>
      <c r="H14" s="22">
        <v>118000</v>
      </c>
      <c r="I14" s="22">
        <v>143000</v>
      </c>
      <c r="J14" s="22">
        <v>142000</v>
      </c>
      <c r="K14" s="22">
        <v>145000</v>
      </c>
      <c r="L14" s="22">
        <v>154000</v>
      </c>
      <c r="M14" s="22">
        <v>163000</v>
      </c>
      <c r="N14" s="22">
        <v>159000</v>
      </c>
      <c r="O14" s="22">
        <v>146000</v>
      </c>
      <c r="P14" s="22">
        <v>146000</v>
      </c>
      <c r="Q14" s="22">
        <v>153000</v>
      </c>
      <c r="R14" s="22">
        <v>168000</v>
      </c>
      <c r="S14" s="22">
        <v>176000</v>
      </c>
      <c r="T14" s="22">
        <v>203000</v>
      </c>
      <c r="U14" s="22">
        <v>189000</v>
      </c>
      <c r="V14" s="22">
        <v>180000</v>
      </c>
      <c r="W14" s="22">
        <v>174000</v>
      </c>
      <c r="X14" s="22">
        <v>155000</v>
      </c>
      <c r="Y14" s="22">
        <v>157000</v>
      </c>
      <c r="Z14" s="22">
        <v>171000</v>
      </c>
      <c r="AA14" s="22">
        <v>188000</v>
      </c>
      <c r="AB14" s="22">
        <v>193000</v>
      </c>
      <c r="AC14" s="22">
        <v>191000</v>
      </c>
      <c r="AD14" s="22">
        <v>186000</v>
      </c>
    </row>
    <row r="15" spans="1:67" x14ac:dyDescent="0.25">
      <c r="A15" t="s">
        <v>350</v>
      </c>
      <c r="B15" t="s">
        <v>327</v>
      </c>
      <c r="C15" s="23">
        <f>C14-C17</f>
        <v>172960</v>
      </c>
      <c r="D15" s="23">
        <f t="shared" ref="D15:AD15" si="3">D14-D17</f>
        <v>193640</v>
      </c>
      <c r="E15" s="23">
        <f t="shared" si="3"/>
        <v>187060</v>
      </c>
      <c r="F15" s="23">
        <f t="shared" si="3"/>
        <v>177660</v>
      </c>
      <c r="G15" s="23">
        <f t="shared" si="3"/>
        <v>146640</v>
      </c>
      <c r="H15" s="23">
        <f t="shared" si="3"/>
        <v>110920</v>
      </c>
      <c r="I15" s="23">
        <f t="shared" si="3"/>
        <v>134420</v>
      </c>
      <c r="J15" s="23">
        <f t="shared" si="3"/>
        <v>133480</v>
      </c>
      <c r="K15" s="23">
        <f t="shared" si="3"/>
        <v>136300</v>
      </c>
      <c r="L15" s="23">
        <f t="shared" si="3"/>
        <v>144760</v>
      </c>
      <c r="M15" s="23">
        <f t="shared" si="3"/>
        <v>153220</v>
      </c>
      <c r="N15" s="23">
        <f t="shared" si="3"/>
        <v>149460</v>
      </c>
      <c r="O15" s="23">
        <f t="shared" si="3"/>
        <v>137240</v>
      </c>
      <c r="P15" s="23">
        <f t="shared" si="3"/>
        <v>137240</v>
      </c>
      <c r="Q15" s="23">
        <f t="shared" si="3"/>
        <v>143820</v>
      </c>
      <c r="R15" s="23">
        <f t="shared" si="3"/>
        <v>157920</v>
      </c>
      <c r="S15" s="23">
        <f t="shared" si="3"/>
        <v>165440</v>
      </c>
      <c r="T15" s="23">
        <f t="shared" si="3"/>
        <v>190820</v>
      </c>
      <c r="U15" s="23">
        <f t="shared" si="3"/>
        <v>177660</v>
      </c>
      <c r="V15" s="23">
        <f t="shared" si="3"/>
        <v>169200</v>
      </c>
      <c r="W15" s="23">
        <f t="shared" si="3"/>
        <v>163560</v>
      </c>
      <c r="X15" s="23">
        <f t="shared" si="3"/>
        <v>145700</v>
      </c>
      <c r="Y15" s="23">
        <f t="shared" si="3"/>
        <v>147580</v>
      </c>
      <c r="Z15" s="23">
        <f t="shared" si="3"/>
        <v>160740</v>
      </c>
      <c r="AA15" s="23">
        <f t="shared" si="3"/>
        <v>176720</v>
      </c>
      <c r="AB15" s="23">
        <f t="shared" si="3"/>
        <v>181420</v>
      </c>
      <c r="AC15" s="23">
        <f t="shared" si="3"/>
        <v>179540</v>
      </c>
      <c r="AD15" s="23">
        <f t="shared" si="3"/>
        <v>174840</v>
      </c>
      <c r="AE15" s="23">
        <f>(TREND($C$16:$AD$16,$C$4:$AD$4,AE$4,TRUE))*Drivers!AF4</f>
        <v>167664.05201024021</v>
      </c>
      <c r="AF15" s="23">
        <f>(TREND($C$16:$AD$16,$C$4:$AD$4,AF$4,TRUE))*Drivers!AG4</f>
        <v>169305.60246142239</v>
      </c>
      <c r="AG15" s="23">
        <f>(TREND($C$16:$AD$16,$C$4:$AD$4,AG$4,TRUE))*Drivers!AH4</f>
        <v>174757.49297661404</v>
      </c>
      <c r="AH15" s="23">
        <f>(TREND($C$16:$AD$16,$C$4:$AD$4,AH$4,TRUE))*Drivers!AI4</f>
        <v>175858.76486151951</v>
      </c>
      <c r="AI15" s="23">
        <f>(TREND($C$16:$AD$16,$C$4:$AD$4,AI$4,TRUE))*Drivers!AJ4</f>
        <v>176998.76975773895</v>
      </c>
      <c r="AJ15" s="23">
        <f>(TREND($C$16:$AD$16,$C$4:$AD$4,AJ$4,TRUE))*Drivers!AK4</f>
        <v>178130.08014414139</v>
      </c>
      <c r="AK15" s="23">
        <f>(TREND($C$16:$AD$16,$C$4:$AD$4,AK$4,TRUE))*Drivers!AL4</f>
        <v>179294.73428652738</v>
      </c>
      <c r="AL15" s="23">
        <f>(TREND($C$16:$AD$16,$C$4:$AD$4,AL$4,TRUE))*Drivers!AM4</f>
        <v>180420.7131441712</v>
      </c>
      <c r="AM15" s="23">
        <f>(TREND($C$16:$AD$16,$C$4:$AD$4,AM$4,TRUE))*Drivers!AN4</f>
        <v>181542.4504927441</v>
      </c>
      <c r="AN15" s="23">
        <f>(TREND($C$16:$AD$16,$C$4:$AD$4,AN$4,TRUE))*Drivers!AO4</f>
        <v>182674.44244874161</v>
      </c>
      <c r="AO15" s="23">
        <f>(TREND($C$16:$AD$16,$C$4:$AD$4,AO$4,TRUE))*Drivers!AP4</f>
        <v>183754.08380494214</v>
      </c>
      <c r="AP15" s="23">
        <f>(TREND($C$16:$AD$16,$C$4:$AD$4,AP$4,TRUE))*Drivers!AQ4</f>
        <v>184794.85297578113</v>
      </c>
      <c r="AQ15" s="23">
        <f>(TREND($C$16:$AD$16,$C$4:$AD$4,AQ$4,TRUE))*Drivers!AR4</f>
        <v>185793.2019973445</v>
      </c>
      <c r="AR15" s="23">
        <f>(TREND($C$16:$AD$16,$C$4:$AD$4,AR$4,TRUE))*Drivers!AS4</f>
        <v>186466.3049916848</v>
      </c>
      <c r="AS15" s="23">
        <f>(TREND($C$16:$AD$16,$C$4:$AD$4,AS$4,TRUE))*Drivers!AT4</f>
        <v>187209.1475672482</v>
      </c>
      <c r="AT15" s="23">
        <f>(TREND($C$16:$AD$16,$C$4:$AD$4,AT$4,TRUE))*Drivers!AU4</f>
        <v>187794.69267365627</v>
      </c>
      <c r="AU15" s="23">
        <f>(TREND($C$16:$AD$16,$C$4:$AD$4,AU$4,TRUE))*Drivers!AV4</f>
        <v>188270.27306304761</v>
      </c>
      <c r="AV15" s="23">
        <f>(TREND($C$16:$AD$16,$C$4:$AD$4,AV$4,TRUE))*Drivers!AW4</f>
        <v>188629.93701605857</v>
      </c>
      <c r="AW15" s="23">
        <f>(TREND($C$16:$AD$16,$C$4:$AD$4,AW$4,TRUE))*Drivers!AX4</f>
        <v>189021.50343566155</v>
      </c>
      <c r="AX15" s="23">
        <f>(TREND($C$16:$AD$16,$C$4:$AD$4,AX$4,TRUE))*Drivers!AY4</f>
        <v>189333.3390984034</v>
      </c>
      <c r="AY15" s="23">
        <f>(TREND($C$16:$AD$16,$C$4:$AD$4,AY$4,TRUE))*Drivers!AZ4</f>
        <v>189615.5550709205</v>
      </c>
      <c r="AZ15" s="23">
        <f>(TREND($C$16:$AD$16,$C$4:$AD$4,AZ$4,TRUE))*Drivers!BA4</f>
        <v>189817.28839918217</v>
      </c>
      <c r="BA15" s="23">
        <f>(TREND($C$16:$AD$16,$C$4:$AD$4,BA$4,TRUE))*Drivers!BB4</f>
        <v>189893.50195778249</v>
      </c>
      <c r="BB15" s="23">
        <f>(TREND($C$16:$AD$16,$C$4:$AD$4,BB$4,TRUE))*Drivers!BC4</f>
        <v>190198.57970232001</v>
      </c>
      <c r="BC15" s="23">
        <f>(TREND($C$16:$AD$16,$C$4:$AD$4,BC$4,TRUE))*Drivers!BD4</f>
        <v>190407.29991893633</v>
      </c>
      <c r="BD15" s="23">
        <f>(TREND($C$16:$AD$16,$C$4:$AD$4,BD$4,TRUE))*Drivers!BE4</f>
        <v>190525.15558938103</v>
      </c>
      <c r="BE15" s="23">
        <f>(TREND($C$16:$AD$16,$C$4:$AD$4,BE$4,TRUE))*Drivers!BF4</f>
        <v>190538.58833191128</v>
      </c>
      <c r="BF15" s="23">
        <f>(TREND($C$16:$AD$16,$C$4:$AD$4,BF$4,TRUE))*Drivers!BG4</f>
        <v>190393.84286681595</v>
      </c>
      <c r="BG15" s="23">
        <f>(TREND($C$16:$AD$16,$C$4:$AD$4,BG$4,TRUE))*Drivers!BH4</f>
        <v>190024.25087643336</v>
      </c>
      <c r="BH15" s="23">
        <f>(TREND($C$16:$AD$16,$C$4:$AD$4,BH$4,TRUE))*Drivers!BI4</f>
        <v>189518.27319937077</v>
      </c>
      <c r="BI15" s="23">
        <f>(TREND($C$16:$AD$16,$C$4:$AD$4,BI$4,TRUE))*Drivers!BJ4</f>
        <v>188978.09478696637</v>
      </c>
      <c r="BJ15" s="23">
        <f>(TREND($C$16:$AD$16,$C$4:$AD$4,BJ$4,TRUE))*Drivers!BK4</f>
        <v>188289.16976246255</v>
      </c>
      <c r="BK15" s="23">
        <f>(TREND($C$16:$AD$16,$C$4:$AD$4,BK$4,TRUE))*Drivers!BL4</f>
        <v>187439.08547095777</v>
      </c>
    </row>
    <row r="16" spans="1:67" x14ac:dyDescent="0.25">
      <c r="A16" t="s">
        <v>350</v>
      </c>
      <c r="B16" t="s">
        <v>328</v>
      </c>
      <c r="C16" s="23">
        <f>C15/Drivers!D4</f>
        <v>4.6999349927469751E-3</v>
      </c>
      <c r="D16" s="23">
        <f>D15/Drivers!E4</f>
        <v>5.1337590256356549E-3</v>
      </c>
      <c r="E16" s="23">
        <f>E15/Drivers!F4</f>
        <v>4.8370155133322145E-3</v>
      </c>
      <c r="F16" s="23">
        <f>F15/Drivers!G4</f>
        <v>4.4825432869713315E-3</v>
      </c>
      <c r="G16" s="23">
        <f>G15/Drivers!H4</f>
        <v>3.615022845716697E-3</v>
      </c>
      <c r="H16" s="23">
        <f>H15/Drivers!I4</f>
        <v>2.6769149486779026E-3</v>
      </c>
      <c r="I16" s="23">
        <f>I15/Drivers!J4</f>
        <v>3.1822155014234865E-3</v>
      </c>
      <c r="J16" s="23">
        <f>J15/Drivers!K4</f>
        <v>3.1050915056369576E-3</v>
      </c>
      <c r="K16" s="23">
        <f>K15/Drivers!L4</f>
        <v>3.1202598034076076E-3</v>
      </c>
      <c r="L16" s="23">
        <f>L15/Drivers!M4</f>
        <v>3.2648794977318042E-3</v>
      </c>
      <c r="M16" s="23">
        <f>M15/Drivers!N4</f>
        <v>3.4073339917613768E-3</v>
      </c>
      <c r="N16" s="23">
        <f>N15/Drivers!O4</f>
        <v>3.2796976446170891E-3</v>
      </c>
      <c r="O16" s="23">
        <f>O15/Drivers!P4</f>
        <v>2.9737223183428679E-3</v>
      </c>
      <c r="P16" s="23">
        <f>P15/Drivers!Q4</f>
        <v>2.9375505520257668E-3</v>
      </c>
      <c r="Q16" s="23">
        <f>Q15/Drivers!R4</f>
        <v>3.0411313973028199E-3</v>
      </c>
      <c r="R16" s="23">
        <f>R15/Drivers!S4</f>
        <v>3.2982042142704099E-3</v>
      </c>
      <c r="S16" s="23">
        <f>S15/Drivers!T4</f>
        <v>3.4118755583558893E-3</v>
      </c>
      <c r="T16" s="23">
        <f>T15/Drivers!U4</f>
        <v>3.8847910471221979E-3</v>
      </c>
      <c r="U16" s="23">
        <f>U15/Drivers!V4</f>
        <v>3.5689411002378874E-3</v>
      </c>
      <c r="V16" s="23">
        <f>V15/Drivers!W4</f>
        <v>3.3520209823834457E-3</v>
      </c>
      <c r="W16" s="23">
        <f>W15/Drivers!X4</f>
        <v>3.1934731625248227E-3</v>
      </c>
      <c r="X16" s="23">
        <f>X15/Drivers!Y4</f>
        <v>2.8016982945137554E-3</v>
      </c>
      <c r="Y16" s="23">
        <f>Y15/Drivers!Z4</f>
        <v>2.7828276773694026E-3</v>
      </c>
      <c r="Z16" s="23">
        <f>Z15/Drivers!AA4</f>
        <v>3.0036995406173411E-3</v>
      </c>
      <c r="AA16" s="23">
        <f>AA15/Drivers!AB4</f>
        <v>3.2725925925925926E-3</v>
      </c>
      <c r="AB16" s="23">
        <f>AB15/Drivers!AC4</f>
        <v>3.3293934348736548E-3</v>
      </c>
      <c r="AC16" s="23">
        <f>AC15/Drivers!AD4</f>
        <v>3.2628869688124738E-3</v>
      </c>
      <c r="AD16" s="23">
        <f>AD15/Drivers!AE4</f>
        <v>3.146903586936822E-3</v>
      </c>
      <c r="AE16" s="74"/>
      <c r="AF16" s="74"/>
      <c r="AG16" s="74"/>
      <c r="AH16" s="74"/>
      <c r="AI16" s="74"/>
      <c r="AJ16" s="74"/>
      <c r="AK16" s="74"/>
      <c r="AL16" s="74"/>
      <c r="AM16" s="74"/>
      <c r="AN16" s="74"/>
      <c r="AO16" s="74"/>
      <c r="AP16" s="74"/>
      <c r="AQ16" s="74"/>
      <c r="AR16" s="74"/>
      <c r="AS16" s="74"/>
      <c r="AT16" s="74"/>
      <c r="AU16" s="74"/>
      <c r="AV16" s="74"/>
      <c r="AW16" s="74"/>
      <c r="AX16" s="74"/>
      <c r="AY16" s="74"/>
      <c r="AZ16" s="74"/>
      <c r="BA16" s="74"/>
      <c r="BB16" s="74"/>
      <c r="BC16" s="74"/>
      <c r="BD16" s="74"/>
      <c r="BE16" s="74"/>
      <c r="BF16" s="74"/>
      <c r="BG16" s="74"/>
      <c r="BH16" s="74"/>
      <c r="BI16" s="74"/>
      <c r="BJ16" s="74"/>
      <c r="BK16" s="74"/>
    </row>
    <row r="17" spans="1:63" x14ac:dyDescent="0.25">
      <c r="A17" t="s">
        <v>378</v>
      </c>
      <c r="B17" t="s">
        <v>327</v>
      </c>
      <c r="C17" s="23">
        <f>C14*Constants!$H$24</f>
        <v>11040</v>
      </c>
      <c r="D17" s="23">
        <f>D14*Constants!$H$24</f>
        <v>12360</v>
      </c>
      <c r="E17" s="23">
        <f>E14*Constants!$H$24</f>
        <v>11940</v>
      </c>
      <c r="F17" s="23">
        <f>F14*Constants!$H$24</f>
        <v>11340</v>
      </c>
      <c r="G17" s="23">
        <f>G14*Constants!$H$24</f>
        <v>9360</v>
      </c>
      <c r="H17" s="23">
        <f>H14*Constants!$H$24</f>
        <v>7080</v>
      </c>
      <c r="I17" s="23">
        <f>I14*Constants!$H$24</f>
        <v>8580</v>
      </c>
      <c r="J17" s="23">
        <f>J14*Constants!$H$24</f>
        <v>8520</v>
      </c>
      <c r="K17" s="23">
        <f>K14*Constants!$H$24</f>
        <v>8700</v>
      </c>
      <c r="L17" s="23">
        <f>L14*Constants!$H$24</f>
        <v>9240</v>
      </c>
      <c r="M17" s="23">
        <f>M14*Constants!$H$24</f>
        <v>9780</v>
      </c>
      <c r="N17" s="23">
        <f>N14*Constants!$H$24</f>
        <v>9540</v>
      </c>
      <c r="O17" s="23">
        <f>O14*Constants!$H$24</f>
        <v>8760</v>
      </c>
      <c r="P17" s="23">
        <f>P14*Constants!$H$24</f>
        <v>8760</v>
      </c>
      <c r="Q17" s="23">
        <f>Q14*Constants!$H$24</f>
        <v>9180</v>
      </c>
      <c r="R17" s="23">
        <f>R14*Constants!$H$24</f>
        <v>10080</v>
      </c>
      <c r="S17" s="23">
        <f>S14*Constants!$H$24</f>
        <v>10560</v>
      </c>
      <c r="T17" s="23">
        <f>T14*Constants!$H$24</f>
        <v>12180</v>
      </c>
      <c r="U17" s="23">
        <f>U14*Constants!$H$24</f>
        <v>11340</v>
      </c>
      <c r="V17" s="23">
        <f>V14*Constants!$H$24</f>
        <v>10800</v>
      </c>
      <c r="W17" s="23">
        <f>W14*Constants!$H$24</f>
        <v>10440</v>
      </c>
      <c r="X17" s="23">
        <f>X14*Constants!$H$24</f>
        <v>9300</v>
      </c>
      <c r="Y17" s="23">
        <f>Y14*Constants!$H$24</f>
        <v>9420</v>
      </c>
      <c r="Z17" s="23">
        <f>Z14*Constants!$H$24</f>
        <v>10260</v>
      </c>
      <c r="AA17" s="23">
        <f>AA14*Constants!$H$24</f>
        <v>11280</v>
      </c>
      <c r="AB17" s="23">
        <f>AB14*Constants!$H$24</f>
        <v>11580</v>
      </c>
      <c r="AC17" s="23">
        <f>AC14*Constants!$H$24</f>
        <v>11460</v>
      </c>
      <c r="AD17" s="23">
        <f>AD14*Constants!$H$24</f>
        <v>11160</v>
      </c>
      <c r="AE17" s="23">
        <f>((TREND($H$18:$AD$18,$H$4:$AD$4,AE$4,TRUE))*Drivers!AF4)</f>
        <v>11431.140542715428</v>
      </c>
      <c r="AF17" s="23">
        <f>((TREND($H$18:$AD$18,$H$4:$AD$4,AF$4,TRUE))*Drivers!AG4)</f>
        <v>11540.018417973781</v>
      </c>
      <c r="AG17" s="23">
        <f>((TREND($H$18:$AD$18,$H$4:$AD$4,AG$4,TRUE))*Drivers!AH4)</f>
        <v>11645.199559888499</v>
      </c>
      <c r="AH17" s="23">
        <f>((TREND($H$18:$AD$18,$H$4:$AD$4,AH$4,TRUE))*Drivers!AI4)</f>
        <v>11756.104876535781</v>
      </c>
      <c r="AI17" s="23">
        <f>((TREND($H$18:$AD$18,$H$4:$AD$4,AI$4,TRUE))*Drivers!AJ4)</f>
        <v>11866.972612944173</v>
      </c>
      <c r="AJ17" s="23">
        <f>((TREND($H$18:$AD$18,$H$4:$AD$4,AJ$4,TRUE))*Drivers!AK4)</f>
        <v>11977.848784632306</v>
      </c>
      <c r="AK17" s="23">
        <f>((TREND($H$18:$AD$18,$H$4:$AD$4,AK$4,TRUE))*Drivers!AL4)</f>
        <v>12088.692606721066</v>
      </c>
      <c r="AL17" s="23">
        <f>((TREND($H$18:$AD$18,$H$4:$AD$4,AL$4,TRUE))*Drivers!AM4)</f>
        <v>12199.573953043282</v>
      </c>
      <c r="AM17" s="23">
        <f>((TREND($H$18:$AD$18,$H$4:$AD$4,AM$4,TRUE))*Drivers!AN4)</f>
        <v>12319.797208947659</v>
      </c>
      <c r="AN17" s="23">
        <f>((TREND($H$18:$AD$18,$H$4:$AD$4,AN$4,TRUE))*Drivers!AO4)</f>
        <v>12440.010515989585</v>
      </c>
      <c r="AO17" s="23">
        <f>((TREND($H$18:$AD$18,$H$4:$AD$4,AO$4,TRUE))*Drivers!AP4)</f>
        <v>12560.274612778507</v>
      </c>
      <c r="AP17" s="23">
        <f>((TREND($H$18:$AD$18,$H$4:$AD$4,AP$4,TRUE))*Drivers!AQ4)</f>
        <v>12680.576422763981</v>
      </c>
      <c r="AQ17" s="23">
        <f>((TREND($H$18:$AD$18,$H$4:$AD$4,AQ$4,TRUE))*Drivers!AR4)</f>
        <v>12800.919388126049</v>
      </c>
      <c r="AR17" s="23">
        <f>((TREND($H$18:$AD$18,$H$4:$AD$4,AR$4,TRUE))*Drivers!AS4)</f>
        <v>12917.459358612674</v>
      </c>
      <c r="AS17" s="23">
        <f>((TREND($H$18:$AD$18,$H$4:$AD$4,AS$4,TRUE))*Drivers!AT4)</f>
        <v>13033.93166676303</v>
      </c>
      <c r="AT17" s="23">
        <f>((TREND($H$18:$AD$18,$H$4:$AD$4,AT$4,TRUE))*Drivers!AU4)</f>
        <v>13150.55658456627</v>
      </c>
      <c r="AU17" s="23">
        <f>((TREND($H$18:$AD$18,$H$4:$AD$4,AU$4,TRUE))*Drivers!AV4)</f>
        <v>13267.288186380321</v>
      </c>
      <c r="AV17" s="23">
        <f>((TREND($H$18:$AD$18,$H$4:$AD$4,AV$4,TRUE))*Drivers!AW4)</f>
        <v>13384.132248538659</v>
      </c>
      <c r="AW17" s="23">
        <f>((TREND($H$18:$AD$18,$H$4:$AD$4,AW$4,TRUE))*Drivers!AX4)</f>
        <v>13505.552766617542</v>
      </c>
      <c r="AX17" s="23">
        <f>((TREND($H$18:$AD$18,$H$4:$AD$4,AX$4,TRUE))*Drivers!AY4)</f>
        <v>13627.050638250819</v>
      </c>
      <c r="AY17" s="23">
        <f>((TREND($H$18:$AD$18,$H$4:$AD$4,AY$4,TRUE))*Drivers!AZ4)</f>
        <v>13748.577244385273</v>
      </c>
      <c r="AZ17" s="23">
        <f>((TREND($H$18:$AD$18,$H$4:$AD$4,AZ$4,TRUE))*Drivers!BA4)</f>
        <v>13870.181935610566</v>
      </c>
      <c r="BA17" s="23">
        <f>((TREND($H$18:$AD$18,$H$4:$AD$4,BA$4,TRUE))*Drivers!BB4)</f>
        <v>13991.908404186435</v>
      </c>
      <c r="BB17" s="23">
        <f>((TREND($H$18:$AD$18,$H$4:$AD$4,BB$4,TRUE))*Drivers!BC4)</f>
        <v>14130.651043393431</v>
      </c>
      <c r="BC17" s="23">
        <f>((TREND($H$18:$AD$18,$H$4:$AD$4,BC$4,TRUE))*Drivers!BD4)</f>
        <v>14269.487165125594</v>
      </c>
      <c r="BD17" s="23">
        <f>((TREND($H$18:$AD$18,$H$4:$AD$4,BD$4,TRUE))*Drivers!BE4)</f>
        <v>14408.411444310212</v>
      </c>
      <c r="BE17" s="23">
        <f>((TREND($H$18:$AD$18,$H$4:$AD$4,BE$4,TRUE))*Drivers!BF4)</f>
        <v>14547.437033013919</v>
      </c>
      <c r="BF17" s="23">
        <f>((TREND($H$18:$AD$18,$H$4:$AD$4,BF$4,TRUE))*Drivers!BG4)</f>
        <v>14686.61608378257</v>
      </c>
      <c r="BG17" s="23">
        <f>((TREND($H$18:$AD$18,$H$4:$AD$4,BG$4,TRUE))*Drivers!BH4)</f>
        <v>14821.106026738726</v>
      </c>
      <c r="BH17" s="23">
        <f>((TREND($H$18:$AD$18,$H$4:$AD$4,BH$4,TRUE))*Drivers!BI4)</f>
        <v>14955.728288991073</v>
      </c>
      <c r="BI17" s="23">
        <f>((TREND($H$18:$AD$18,$H$4:$AD$4,BI$4,TRUE))*Drivers!BJ4)</f>
        <v>15090.383734337853</v>
      </c>
      <c r="BJ17" s="23">
        <f>((TREND($H$18:$AD$18,$H$4:$AD$4,BJ$4,TRUE))*Drivers!BK4)</f>
        <v>15225.183489293751</v>
      </c>
      <c r="BK17" s="23">
        <f>((TREND($H$18:$AD$18,$H$4:$AD$4,BK$4,TRUE))*Drivers!BL4)</f>
        <v>15360.139598492569</v>
      </c>
    </row>
    <row r="18" spans="1:63" x14ac:dyDescent="0.25">
      <c r="A18" t="s">
        <v>378</v>
      </c>
      <c r="B18" t="s">
        <v>328</v>
      </c>
      <c r="C18" s="23">
        <f>C17/Drivers!D4</f>
        <v>2.9999585060087078E-4</v>
      </c>
      <c r="D18" s="23">
        <f>D17/Drivers!E4</f>
        <v>3.2768674631716946E-4</v>
      </c>
      <c r="E18" s="23">
        <f>E17/Drivers!F4</f>
        <v>3.0874567106375841E-4</v>
      </c>
      <c r="F18" s="23">
        <f>F17/Drivers!G4</f>
        <v>2.8611978427476583E-4</v>
      </c>
      <c r="G18" s="23">
        <f>G17/Drivers!H4</f>
        <v>2.3074613908829981E-4</v>
      </c>
      <c r="H18" s="23">
        <f>H17/Drivers!I4</f>
        <v>1.7086691161773848E-4</v>
      </c>
      <c r="I18" s="23">
        <f>I17/Drivers!J4</f>
        <v>2.0312013838873316E-4</v>
      </c>
      <c r="J18" s="23">
        <f>J17/Drivers!K4</f>
        <v>1.9819733014703986E-4</v>
      </c>
      <c r="K18" s="23">
        <f>K17/Drivers!L4</f>
        <v>1.9916551936644304E-4</v>
      </c>
      <c r="L18" s="23">
        <f>L17/Drivers!M4</f>
        <v>2.0839656368500879E-4</v>
      </c>
      <c r="M18" s="23">
        <f>M17/Drivers!N4</f>
        <v>2.1748940372944957E-4</v>
      </c>
      <c r="N18" s="23">
        <f>N17/Drivers!O4</f>
        <v>2.093424028478993E-4</v>
      </c>
      <c r="O18" s="23">
        <f>O17/Drivers!P4</f>
        <v>1.8981206287294901E-4</v>
      </c>
      <c r="P18" s="23">
        <f>P17/Drivers!Q4</f>
        <v>1.8750322672504894E-4</v>
      </c>
      <c r="Q18" s="23">
        <f>Q17/Drivers!R4</f>
        <v>1.941147700406055E-4</v>
      </c>
      <c r="R18" s="23">
        <f>R17/Drivers!S4</f>
        <v>2.1052367325130275E-4</v>
      </c>
      <c r="S18" s="23">
        <f>S17/Drivers!T4</f>
        <v>2.1777929095888654E-4</v>
      </c>
      <c r="T18" s="23">
        <f>T17/Drivers!U4</f>
        <v>2.4796538598652329E-4</v>
      </c>
      <c r="U18" s="23">
        <f>U17/Drivers!V4</f>
        <v>2.2780475107901408E-4</v>
      </c>
      <c r="V18" s="23">
        <f>V17/Drivers!W4</f>
        <v>2.1395878610958166E-4</v>
      </c>
      <c r="W18" s="23">
        <f>W17/Drivers!X4</f>
        <v>2.0383871250158445E-4</v>
      </c>
      <c r="X18" s="23">
        <f>X17/Drivers!Y4</f>
        <v>1.788318060327929E-4</v>
      </c>
      <c r="Y18" s="23">
        <f>Y17/Drivers!Z4</f>
        <v>1.776272985554938E-4</v>
      </c>
      <c r="Z18" s="23">
        <f>Z17/Drivers!AA4</f>
        <v>1.9172550259259624E-4</v>
      </c>
      <c r="AA18" s="23">
        <f>AA17/Drivers!AB4</f>
        <v>2.0888888888888888E-4</v>
      </c>
      <c r="AB18" s="23">
        <f>AB17/Drivers!AC4</f>
        <v>2.125144745664035E-4</v>
      </c>
      <c r="AC18" s="23">
        <f>AC17/Drivers!AD4</f>
        <v>2.0826938098803024E-4</v>
      </c>
      <c r="AD18" s="23">
        <f>AD17/Drivers!AE4</f>
        <v>2.0086618640022269E-4</v>
      </c>
      <c r="AE18" s="74"/>
      <c r="AF18" s="74"/>
      <c r="AG18" s="74"/>
      <c r="AH18" s="74"/>
      <c r="AI18" s="74"/>
      <c r="AJ18" s="74"/>
      <c r="AK18" s="74"/>
      <c r="AL18" s="74"/>
      <c r="AM18" s="74"/>
      <c r="AN18" s="74"/>
      <c r="AO18" s="74"/>
      <c r="AP18" s="74"/>
      <c r="AQ18" s="74"/>
      <c r="AR18" s="74"/>
      <c r="AS18" s="74"/>
      <c r="AT18" s="74"/>
      <c r="AU18" s="74"/>
      <c r="AV18" s="74"/>
      <c r="AW18" s="74"/>
      <c r="AX18" s="74"/>
      <c r="AY18" s="74"/>
      <c r="AZ18" s="74"/>
      <c r="BA18" s="74"/>
      <c r="BB18" s="74"/>
      <c r="BC18" s="74"/>
      <c r="BD18" s="74"/>
      <c r="BE18" s="74"/>
      <c r="BF18" s="74"/>
      <c r="BG18" s="74"/>
      <c r="BH18" s="74"/>
      <c r="BI18" s="74"/>
      <c r="BJ18" s="74"/>
      <c r="BK18" s="74"/>
    </row>
    <row r="19" spans="1:63" x14ac:dyDescent="0.25">
      <c r="A19" t="s">
        <v>748</v>
      </c>
      <c r="B19" t="s">
        <v>747</v>
      </c>
      <c r="C19" s="54">
        <f>(C15+C17)*ttokg/Drivers!D4</f>
        <v>4.9999308433478458</v>
      </c>
      <c r="D19" s="54">
        <f>(D15+D17)*ttokg/Drivers!E4</f>
        <v>5.4614457719528247</v>
      </c>
      <c r="E19" s="54">
        <f>(E15+E17)*ttokg/Drivers!F4</f>
        <v>5.1457611843959734</v>
      </c>
      <c r="F19" s="54">
        <f>(F15+F17)*ttokg/Drivers!G4</f>
        <v>4.7686630712460971</v>
      </c>
      <c r="G19" s="54">
        <f>(G15+G17)*ttokg/Drivers!H4</f>
        <v>3.8457689848049967</v>
      </c>
      <c r="H19" s="54">
        <f>(H15+H17)*ttokg/Drivers!I4</f>
        <v>2.8477818602956413</v>
      </c>
      <c r="I19" s="54">
        <f>(I15+I17)*ttokg/Drivers!J4</f>
        <v>3.3853356398122196</v>
      </c>
      <c r="J19" s="54">
        <f>(J15+J17)*ttokg/Drivers!K4</f>
        <v>3.3032888357839978</v>
      </c>
      <c r="K19" s="54">
        <f>(K15+K17)*ttokg/Drivers!L4</f>
        <v>3.3194253227740504</v>
      </c>
      <c r="L19" s="54">
        <f>(L15+L17)*ttokg/Drivers!M4</f>
        <v>3.4732760614168128</v>
      </c>
      <c r="M19" s="54">
        <f>(M15+M17)*ttokg/Drivers!N4</f>
        <v>3.6248233954908264</v>
      </c>
      <c r="N19" s="54">
        <f>(N15+N17)*ttokg/Drivers!O4</f>
        <v>3.4890400474649885</v>
      </c>
      <c r="O19" s="54">
        <f>(O15+O17)*ttokg/Drivers!P4</f>
        <v>3.163534381215817</v>
      </c>
      <c r="P19" s="54">
        <f>(P15+P17)*ttokg/Drivers!Q4</f>
        <v>3.1250537787508157</v>
      </c>
      <c r="Q19" s="54">
        <f>(Q15+Q17)*ttokg/Drivers!R4</f>
        <v>3.2352461673434254</v>
      </c>
      <c r="R19" s="54">
        <f>(R15+R17)*ttokg/Drivers!S4</f>
        <v>3.5087278875217125</v>
      </c>
      <c r="S19" s="54">
        <f>(S15+S17)*ttokg/Drivers!T4</f>
        <v>3.6296548493147758</v>
      </c>
      <c r="T19" s="54">
        <f>(T15+T17)*ttokg/Drivers!U4</f>
        <v>4.132756433108721</v>
      </c>
      <c r="U19" s="54">
        <f>(U15+U17)*ttokg/Drivers!V4</f>
        <v>3.7967458513169015</v>
      </c>
      <c r="V19" s="54">
        <f>(V15+V17)*ttokg/Drivers!W4</f>
        <v>3.5659797684930274</v>
      </c>
      <c r="W19" s="54">
        <f>(W15+W17)*ttokg/Drivers!X4</f>
        <v>3.3973118750264071</v>
      </c>
      <c r="X19" s="54">
        <f>(X15+X17)*ttokg/Drivers!Y4</f>
        <v>2.9805301005465483</v>
      </c>
      <c r="Y19" s="54">
        <f>(Y15+Y17)*ttokg/Drivers!Z4</f>
        <v>2.9604549759248964</v>
      </c>
      <c r="Z19" s="54">
        <f>(Z15+Z17)*ttokg/Drivers!AA4</f>
        <v>3.1954250432099376</v>
      </c>
      <c r="AA19" s="54">
        <f>(AA15+AA17)*ttokg/Drivers!AB4</f>
        <v>3.4814814814814814</v>
      </c>
      <c r="AB19" s="54">
        <f>(AB15+AB17)*ttokg/Drivers!AC4</f>
        <v>3.5419079094400581</v>
      </c>
      <c r="AC19" s="54">
        <f>(AC15+AC17)*ttokg/Drivers!AD4</f>
        <v>3.4711563498005042</v>
      </c>
      <c r="AD19" s="54">
        <f>(AD15+AD17)*ttokg/Drivers!AE4</f>
        <v>3.3477697733370446</v>
      </c>
      <c r="AE19" s="54">
        <f>(AE15+AE17)*ttokg/Drivers!AF4</f>
        <v>3.1927770487800045</v>
      </c>
      <c r="AF19" s="54">
        <f>(AF15+AF17)*ttokg/Drivers!AG4</f>
        <v>3.1935529268847702</v>
      </c>
      <c r="AG19" s="54">
        <f>(AG15+AG17)*ttokg/Drivers!AH4</f>
        <v>3.2609072765873051</v>
      </c>
      <c r="AH19" s="54">
        <f>(AH15+AH17)*ttokg/Drivers!AI4</f>
        <v>3.2512989192644959</v>
      </c>
      <c r="AI19" s="54">
        <f>(AI15+AI17)*ttokg/Drivers!AJ4</f>
        <v>3.2425336410286727</v>
      </c>
      <c r="AJ19" s="54">
        <f>(AJ15+AJ17)*ttokg/Drivers!AK4</f>
        <v>3.2337821623428358</v>
      </c>
      <c r="AK19" s="54">
        <f>(AK15+AK17)*ttokg/Drivers!AL4</f>
        <v>3.2257519692815273</v>
      </c>
      <c r="AL19" s="54">
        <f>(AL15+AL17)*ttokg/Drivers!AM4</f>
        <v>3.2172217572738537</v>
      </c>
      <c r="AM19" s="54">
        <f>(AM15+AM17)*ttokg/Drivers!AN4</f>
        <v>3.2065310330918058</v>
      </c>
      <c r="AN19" s="54">
        <f>(AN15+AN17)*ttokg/Drivers!AO4</f>
        <v>3.1962137061682787</v>
      </c>
      <c r="AO19" s="54">
        <f>(AO15+AO17)*ttokg/Drivers!AP4</f>
        <v>3.1852443107394275</v>
      </c>
      <c r="AP19" s="54">
        <f>(AP15+AP17)*ttokg/Drivers!AQ4</f>
        <v>3.1738577175069977</v>
      </c>
      <c r="AQ19" s="54">
        <f>(AQ15+AQ17)*ttokg/Drivers!AR4</f>
        <v>3.1620091870904905</v>
      </c>
      <c r="AR19" s="54">
        <f>(AR15+AR17)*ttokg/Drivers!AS4</f>
        <v>3.146178406895396</v>
      </c>
      <c r="AS19" s="54">
        <f>(AS15+AS17)*ttokg/Drivers!AT4</f>
        <v>3.1317180354227676</v>
      </c>
      <c r="AT19" s="54">
        <f>(AT15+AT17)*ttokg/Drivers!AU4</f>
        <v>3.1150757954610264</v>
      </c>
      <c r="AU19" s="54">
        <f>(AU15+AU17)*ttokg/Drivers!AV4</f>
        <v>3.0970353800617696</v>
      </c>
      <c r="AV19" s="54">
        <f>(AV15+AV17)*ttokg/Drivers!AW4</f>
        <v>3.0775424388205566</v>
      </c>
      <c r="AW19" s="54">
        <f>(AW15+AW17)*ttokg/Drivers!AX4</f>
        <v>3.057904772648067</v>
      </c>
      <c r="AX19" s="54">
        <f>(AX15+AX17)*ttokg/Drivers!AY4</f>
        <v>3.0374214256350736</v>
      </c>
      <c r="AY19" s="54">
        <f>(AY15+AY17)*ttokg/Drivers!AZ4</f>
        <v>3.0168572416311012</v>
      </c>
      <c r="AZ19" s="54">
        <f>(AZ15+AZ17)*ttokg/Drivers!BA4</f>
        <v>2.9954670468323683</v>
      </c>
      <c r="BA19" s="54">
        <f>(BA15+BA17)*ttokg/Drivers!BB4</f>
        <v>2.9726161358232002</v>
      </c>
      <c r="BB19" s="54">
        <f>(BB15+BB17)*ttokg/Drivers!BC4</f>
        <v>2.9501520734721116</v>
      </c>
      <c r="BC19" s="54">
        <f>(BC15+BC17)*ttokg/Drivers!BD4</f>
        <v>2.926743673415602</v>
      </c>
      <c r="BD19" s="54">
        <f>(BD15+BD17)*ttokg/Drivers!BE4</f>
        <v>2.902495648878709</v>
      </c>
      <c r="BE19" s="54">
        <f>(BE15+BE17)*ttokg/Drivers!BF4</f>
        <v>2.8772417406221913</v>
      </c>
      <c r="BF19" s="54">
        <f>(BF15+BF17)*ttokg/Drivers!BG4</f>
        <v>2.8502637813797818</v>
      </c>
      <c r="BG19" s="54">
        <f>(BG15+BG17)*ttokg/Drivers!BH4</f>
        <v>2.8215474399026719</v>
      </c>
      <c r="BH19" s="54">
        <f>(BH15+BH17)*ttokg/Drivers!BI4</f>
        <v>2.7914797998623517</v>
      </c>
      <c r="BI19" s="54">
        <f>(BI15+BI17)*ttokg/Drivers!BJ4</f>
        <v>2.7614778984126795</v>
      </c>
      <c r="BJ19" s="54">
        <f>(BJ15+BJ17)*ttokg/Drivers!BK4</f>
        <v>2.7300049560576967</v>
      </c>
      <c r="BK19" s="54">
        <f>(BK15+BK17)*ttokg/Drivers!BL4</f>
        <v>2.6969341487649809</v>
      </c>
    </row>
    <row r="20" spans="1:63" x14ac:dyDescent="0.25">
      <c r="A20" t="s">
        <v>352</v>
      </c>
      <c r="B20" t="s">
        <v>327</v>
      </c>
      <c r="C20" s="22">
        <v>157160</v>
      </c>
      <c r="D20" s="22">
        <v>178840</v>
      </c>
      <c r="E20" s="22">
        <v>164160</v>
      </c>
      <c r="F20" s="22">
        <v>156060</v>
      </c>
      <c r="G20" s="22">
        <v>125940</v>
      </c>
      <c r="H20" s="22">
        <v>87720</v>
      </c>
      <c r="I20" s="22">
        <v>97720</v>
      </c>
      <c r="J20" s="22">
        <v>94080</v>
      </c>
      <c r="K20" s="22">
        <v>88200</v>
      </c>
      <c r="L20" s="22">
        <v>95660</v>
      </c>
      <c r="M20" s="22">
        <v>98520</v>
      </c>
      <c r="N20" s="22">
        <v>95860</v>
      </c>
      <c r="O20" s="22">
        <v>96340</v>
      </c>
      <c r="P20" s="22">
        <v>105640</v>
      </c>
      <c r="Q20" s="22">
        <v>111120</v>
      </c>
      <c r="R20" s="22">
        <v>124520</v>
      </c>
      <c r="S20" s="22">
        <v>124740</v>
      </c>
      <c r="T20" s="22">
        <v>148520</v>
      </c>
      <c r="U20" s="22">
        <v>149260</v>
      </c>
      <c r="V20" s="22">
        <v>151300</v>
      </c>
      <c r="W20" s="22">
        <v>153460</v>
      </c>
      <c r="X20" s="22">
        <v>139500</v>
      </c>
      <c r="Y20" s="22">
        <v>139480</v>
      </c>
      <c r="Z20" s="22">
        <v>156040</v>
      </c>
      <c r="AA20" s="22">
        <v>171520</v>
      </c>
      <c r="AB20" s="22">
        <v>173020</v>
      </c>
      <c r="AC20" s="22">
        <v>166240</v>
      </c>
      <c r="AD20" s="22">
        <f>(0.9278*AD15)+3907.6</f>
        <v>166124.152</v>
      </c>
      <c r="AE20" s="23">
        <f>TREND($W$20:$AD$20,$W$15:$AD$15,AE$15,TRUE)</f>
        <v>159473.37372484044</v>
      </c>
      <c r="AF20" s="23">
        <f t="shared" ref="AF20:BK20" si="4">TREND($W$20:$AD$20,$W$15:$AD$15,AF$15,TRUE)</f>
        <v>160996.39810756949</v>
      </c>
      <c r="AG20" s="23">
        <f t="shared" si="4"/>
        <v>166054.64178239915</v>
      </c>
      <c r="AH20" s="23">
        <f t="shared" si="4"/>
        <v>167076.39772752838</v>
      </c>
      <c r="AI20" s="23">
        <f t="shared" si="4"/>
        <v>168134.09001601231</v>
      </c>
      <c r="AJ20" s="23">
        <f t="shared" si="4"/>
        <v>169183.71557073388</v>
      </c>
      <c r="AK20" s="23">
        <f t="shared" si="4"/>
        <v>170264.27733782597</v>
      </c>
      <c r="AL20" s="23">
        <f t="shared" si="4"/>
        <v>171308.95632006129</v>
      </c>
      <c r="AM20" s="23">
        <f t="shared" si="4"/>
        <v>172349.70004600892</v>
      </c>
      <c r="AN20" s="23">
        <f t="shared" si="4"/>
        <v>173399.95795845732</v>
      </c>
      <c r="AO20" s="23">
        <f t="shared" si="4"/>
        <v>174401.64517977415</v>
      </c>
      <c r="AP20" s="23">
        <f t="shared" si="4"/>
        <v>175367.26693257433</v>
      </c>
      <c r="AQ20" s="23">
        <f t="shared" si="4"/>
        <v>176293.53142917855</v>
      </c>
      <c r="AR20" s="23">
        <f t="shared" si="4"/>
        <v>176918.03387546638</v>
      </c>
      <c r="AS20" s="23">
        <f t="shared" si="4"/>
        <v>177607.24044496141</v>
      </c>
      <c r="AT20" s="23">
        <f t="shared" si="4"/>
        <v>178150.50700957107</v>
      </c>
      <c r="AU20" s="23">
        <f t="shared" si="4"/>
        <v>178591.74872009488</v>
      </c>
      <c r="AV20" s="23">
        <f t="shared" si="4"/>
        <v>178925.4435935177</v>
      </c>
      <c r="AW20" s="23">
        <f t="shared" si="4"/>
        <v>179288.73745639215</v>
      </c>
      <c r="AX20" s="23">
        <f t="shared" si="4"/>
        <v>179578.05742058714</v>
      </c>
      <c r="AY20" s="23">
        <f t="shared" si="4"/>
        <v>179839.89634672529</v>
      </c>
      <c r="AZ20" s="23">
        <f t="shared" si="4"/>
        <v>180027.06377586542</v>
      </c>
      <c r="BA20" s="23">
        <f t="shared" si="4"/>
        <v>180097.77443112383</v>
      </c>
      <c r="BB20" s="23">
        <f t="shared" si="4"/>
        <v>180380.82442402781</v>
      </c>
      <c r="BC20" s="23">
        <f t="shared" si="4"/>
        <v>180574.47426210999</v>
      </c>
      <c r="BD20" s="23">
        <f t="shared" si="4"/>
        <v>180683.82031333909</v>
      </c>
      <c r="BE20" s="23">
        <f t="shared" si="4"/>
        <v>180696.28316173085</v>
      </c>
      <c r="BF20" s="23">
        <f t="shared" si="4"/>
        <v>180561.98885937122</v>
      </c>
      <c r="BG20" s="23">
        <f t="shared" si="4"/>
        <v>180219.08278992408</v>
      </c>
      <c r="BH20" s="23">
        <f t="shared" si="4"/>
        <v>179749.63858933435</v>
      </c>
      <c r="BI20" s="23">
        <f t="shared" si="4"/>
        <v>179248.46307412355</v>
      </c>
      <c r="BJ20" s="23">
        <f t="shared" si="4"/>
        <v>178609.28100729408</v>
      </c>
      <c r="BK20" s="23">
        <f t="shared" si="4"/>
        <v>177820.57597394931</v>
      </c>
    </row>
    <row r="21" spans="1:63" x14ac:dyDescent="0.25">
      <c r="A21" t="s">
        <v>843</v>
      </c>
      <c r="B21" t="s">
        <v>779</v>
      </c>
      <c r="C21" s="23">
        <f>Drivers!D4*(1-(Drivers!D6/100))</f>
        <v>17590643.302000001</v>
      </c>
      <c r="D21" s="23">
        <f>Drivers!E4*(1-(Drivers!E6/100))</f>
        <v>17841063.349999998</v>
      </c>
      <c r="E21" s="23">
        <f>Drivers!F4*(1-(Drivers!F6/100))</f>
        <v>18098780.075999998</v>
      </c>
      <c r="F21" s="23">
        <f>Drivers!G4*(1-(Drivers!G6/100))</f>
        <v>18350426.25</v>
      </c>
      <c r="G21" s="23">
        <f>Drivers!H4*(1-(Drivers!H6/100))</f>
        <v>18578339.022</v>
      </c>
      <c r="H21" s="23">
        <f>Drivers!I4*(1-(Drivers!I6/100))</f>
        <v>18770398.373999998</v>
      </c>
      <c r="I21" s="23">
        <f>Drivers!J4*(1-(Drivers!J6/100))</f>
        <v>18923972.927999999</v>
      </c>
      <c r="J21" s="23">
        <f>Drivers!K4*(1-(Drivers!K6/100))</f>
        <v>19043445.222999997</v>
      </c>
      <c r="K21" s="23">
        <f>Drivers!L4*(1-(Drivers!L6/100))</f>
        <v>19132829.879999999</v>
      </c>
      <c r="L21" s="23">
        <f>Drivers!M4*(1-(Drivers!M6/100))</f>
        <v>19198589.118999999</v>
      </c>
      <c r="M21" s="23">
        <f>Drivers!N4*(1-(Drivers!N6/100))</f>
        <v>19246179.023999996</v>
      </c>
      <c r="N21" s="23">
        <f>Drivers!O4*(1-(Drivers!O6/100))</f>
        <v>19276648.901999995</v>
      </c>
      <c r="O21" s="23">
        <f>Drivers!P4*(1-(Drivers!P6/100))</f>
        <v>19291081.633999996</v>
      </c>
      <c r="P21" s="23">
        <f>Drivers!Q4*(1-(Drivers!Q6/100))</f>
        <v>19295027.947999995</v>
      </c>
      <c r="Q21" s="23">
        <f>Drivers!R4*(1-(Drivers!R6/100))</f>
        <v>19294976.879999995</v>
      </c>
      <c r="R21" s="23">
        <f>Drivers!S4*(1-(Drivers!S6/100))</f>
        <v>19295882.203000002</v>
      </c>
      <c r="S21" s="23">
        <f>Drivers!T4*(1-(Drivers!T6/100))</f>
        <v>19298804.682</v>
      </c>
      <c r="T21" s="23">
        <f>Drivers!U4*(1-(Drivers!U6/100))</f>
        <v>19304065.287</v>
      </c>
      <c r="U21" s="23">
        <f>Drivers!V4*(1-(Drivers!V6/100))</f>
        <v>19314434.748</v>
      </c>
      <c r="V21" s="23">
        <f>Drivers!W4*(1-(Drivers!W6/100))</f>
        <v>19332695.213</v>
      </c>
      <c r="W21" s="23">
        <f>Drivers!X4*(1-(Drivers!X6/100))</f>
        <v>19360012.392000001</v>
      </c>
      <c r="X21" s="23">
        <f>Drivers!Y4*(1-(Drivers!Y6/100))</f>
        <v>19345551.984000001</v>
      </c>
      <c r="Y21" s="23">
        <f>Drivers!Z4*(1-(Drivers!Z6/100))</f>
        <v>19462886.77536764</v>
      </c>
      <c r="Z21" s="23">
        <f>Drivers!AA4*(1-(Drivers!AA6/100))</f>
        <v>19372070.745811287</v>
      </c>
      <c r="AA21" s="23">
        <f>Drivers!AB4*(1-(Drivers!AB6/100))</f>
        <v>19278000</v>
      </c>
      <c r="AB21" s="23">
        <f>Drivers!AC4*(1-(Drivers!AC6/100))</f>
        <v>19180622.912</v>
      </c>
      <c r="AC21" s="23">
        <f>Drivers!AD4*(1-(Drivers!AD6/100))</f>
        <v>19093637.19782</v>
      </c>
      <c r="AD21" s="23">
        <f>Drivers!AE4*(1-(Drivers!AE6/100))</f>
        <v>18945747.256919999</v>
      </c>
      <c r="AE21" s="23">
        <f>Drivers!AF4*(1-(Drivers!AF6/100))</f>
        <v>18847537.356479999</v>
      </c>
      <c r="AF21" s="23">
        <f>Drivers!AG4*(1-(Drivers!AG6/100))</f>
        <v>18923641.776180048</v>
      </c>
      <c r="AG21" s="23">
        <f>Drivers!AH4*(1-(Drivers!AH6/100))</f>
        <v>18853499.27446257</v>
      </c>
      <c r="AH21" s="23">
        <f>Drivers!AI4*(1-(Drivers!AI6/100))</f>
        <v>18777655.111977015</v>
      </c>
      <c r="AI21" s="23">
        <f>Drivers!AJ4*(1-(Drivers!AJ6/100))</f>
        <v>18697031.701281946</v>
      </c>
      <c r="AJ21" s="23">
        <f>Drivers!AK4*(1-(Drivers!AK6/100))</f>
        <v>18611629.041021522</v>
      </c>
      <c r="AK21" s="23">
        <f>Drivers!AL4*(1-(Drivers!AL6/100))</f>
        <v>18521447.131195728</v>
      </c>
      <c r="AL21" s="23">
        <f>Drivers!AM4*(1-(Drivers!AM6/100))</f>
        <v>18426485.970007628</v>
      </c>
      <c r="AM21" s="23">
        <f>Drivers!AN4*(1-(Drivers!AN6/100))</f>
        <v>18318212.040560961</v>
      </c>
      <c r="AN21" s="23">
        <f>Drivers!AO4*(1-(Drivers!AO6/100))</f>
        <v>18204328.515671551</v>
      </c>
      <c r="AO21" s="23">
        <f>Drivers!AP4*(1-(Drivers!AP6/100))</f>
        <v>18084835.395339403</v>
      </c>
      <c r="AP21" s="23">
        <f>Drivers!AQ4*(1-(Drivers!AQ6/100))</f>
        <v>17959732.679564502</v>
      </c>
      <c r="AQ21" s="23">
        <f>Drivers!AR4*(1-(Drivers!AR6/100))</f>
        <v>17829020.368346851</v>
      </c>
      <c r="AR21" s="23">
        <f>Drivers!AS4*(1-(Drivers!AS6/100))</f>
        <v>17697418.599389359</v>
      </c>
      <c r="AS21" s="23">
        <f>Drivers!AT4*(1-(Drivers!AT6/100))</f>
        <v>17560581.664820261</v>
      </c>
      <c r="AT21" s="23">
        <f>Drivers!AU4*(1-(Drivers!AU6/100))</f>
        <v>17418509.559812948</v>
      </c>
      <c r="AU21" s="23">
        <f>Drivers!AV4*(1-(Drivers!AV6/100))</f>
        <v>17271202.289378691</v>
      </c>
      <c r="AV21" s="23">
        <f>Drivers!AW4*(1-(Drivers!AW6/100))</f>
        <v>17118659.85105801</v>
      </c>
      <c r="AW21" s="23">
        <f>Drivers!AX4*(1-(Drivers!AX6/100))</f>
        <v>16954572.310946099</v>
      </c>
      <c r="AX21" s="23">
        <f>Drivers!AY4*(1-(Drivers!AY6/100))</f>
        <v>16784829.873173334</v>
      </c>
      <c r="AY21" s="23">
        <f>Drivers!AZ4*(1-(Drivers!AZ6/100))</f>
        <v>16609432.540764056</v>
      </c>
      <c r="AZ21" s="23">
        <f>Drivers!BA4*(1-(Drivers!BA6/100))</f>
        <v>16428380.307765551</v>
      </c>
      <c r="BA21" s="23">
        <f>Drivers!BB4*(1-(Drivers!BB6/100))</f>
        <v>16241673.1771062</v>
      </c>
      <c r="BB21" s="23">
        <f>Drivers!BC4*(1-(Drivers!BC6/100))</f>
        <v>16021629.669384452</v>
      </c>
      <c r="BC21" s="23">
        <f>Drivers!BD4*(1-(Drivers!BD6/100))</f>
        <v>15794217.341605255</v>
      </c>
      <c r="BD21" s="23">
        <f>Drivers!BE4*(1-(Drivers!BE6/100))</f>
        <v>15559436.187007535</v>
      </c>
      <c r="BE21" s="23">
        <f>Drivers!BF4*(1-(Drivers!BF6/100))</f>
        <v>15317286.208917055</v>
      </c>
      <c r="BF21" s="23">
        <f>Drivers!BG4*(1-(Drivers!BG6/100))</f>
        <v>15067767.407333812</v>
      </c>
      <c r="BG21" s="23">
        <f>Drivers!BH4*(1-(Drivers!BH6/100))</f>
        <v>14820071.862180462</v>
      </c>
      <c r="BH21" s="23">
        <f>Drivers!BI4*(1-(Drivers!BI6/100))</f>
        <v>14565518.46713583</v>
      </c>
      <c r="BI21" s="23">
        <f>Drivers!BJ4*(1-(Drivers!BJ6/100))</f>
        <v>14304107.218118925</v>
      </c>
      <c r="BJ21" s="23">
        <f>Drivers!BK4*(1-(Drivers!BK6/100))</f>
        <v>14035838.123186035</v>
      </c>
      <c r="BK21" s="23">
        <f>Drivers!BL4*(1-(Drivers!BL6/100))</f>
        <v>13760711.178361854</v>
      </c>
    </row>
    <row r="22" spans="1:63" x14ac:dyDescent="0.25">
      <c r="A22" t="s">
        <v>358</v>
      </c>
      <c r="B22" t="s">
        <v>327</v>
      </c>
      <c r="C22" s="22">
        <v>125000</v>
      </c>
      <c r="D22" s="22">
        <v>130000</v>
      </c>
      <c r="E22" s="22">
        <v>112000</v>
      </c>
      <c r="F22" s="22">
        <v>129000</v>
      </c>
      <c r="G22" s="22">
        <v>122000</v>
      </c>
      <c r="H22" s="22">
        <v>124000</v>
      </c>
      <c r="I22" s="22">
        <v>131000</v>
      </c>
      <c r="J22" s="22">
        <v>133000</v>
      </c>
      <c r="K22" s="22">
        <v>130000</v>
      </c>
      <c r="L22" s="22">
        <v>126000</v>
      </c>
      <c r="M22" s="22">
        <v>131000</v>
      </c>
      <c r="N22" s="22">
        <v>115000</v>
      </c>
      <c r="O22" s="22">
        <v>123000</v>
      </c>
      <c r="P22" s="22">
        <v>146000</v>
      </c>
      <c r="Q22" s="22">
        <v>174000</v>
      </c>
      <c r="R22" s="22">
        <v>182000</v>
      </c>
      <c r="S22" s="22">
        <v>193000</v>
      </c>
      <c r="T22" s="22">
        <v>206000</v>
      </c>
      <c r="U22" s="22">
        <v>198000</v>
      </c>
      <c r="V22" s="22">
        <v>199000</v>
      </c>
      <c r="W22" s="22">
        <v>215000</v>
      </c>
      <c r="X22" s="22">
        <v>231000</v>
      </c>
      <c r="Y22" s="22">
        <v>237000</v>
      </c>
      <c r="Z22" s="22">
        <v>245000</v>
      </c>
      <c r="AA22" s="22">
        <v>236000</v>
      </c>
      <c r="AB22" s="22">
        <v>254000</v>
      </c>
      <c r="AC22" s="22">
        <v>263000</v>
      </c>
      <c r="AD22" s="22">
        <v>254000</v>
      </c>
      <c r="AE22" s="23">
        <f>((TREND($C$24:$AD$24,$C$4:$AD$4,AE$4,TRUE))*Drivers!AF4)</f>
        <v>261447.9299354908</v>
      </c>
      <c r="AF22" s="23">
        <f>((TREND($C$24:$AD$24,$C$4:$AD$4,AF$4,TRUE))*Drivers!AG4)</f>
        <v>263837.37351228931</v>
      </c>
      <c r="AG22" s="23">
        <f>((TREND($C$24:$AD$24,$C$4:$AD$4,AG$4,TRUE))*Drivers!AH4)</f>
        <v>257412.28117380198</v>
      </c>
      <c r="AH22" s="23">
        <f>((TREND($C$24:$AD$24,$C$4:$AD$4,AH$4,TRUE))*Drivers!AI4)</f>
        <v>261135.75235513409</v>
      </c>
      <c r="AI22" s="23">
        <f>((TREND($C$24:$AD$24,$C$4:$AD$4,AI$4,TRUE))*Drivers!AJ4)</f>
        <v>264769.6215705889</v>
      </c>
      <c r="AJ22" s="23">
        <f>((TREND($C$24:$AD$24,$C$4:$AD$4,AJ$4,TRUE))*Drivers!AK4)</f>
        <v>268423.60396958125</v>
      </c>
      <c r="AK22" s="23">
        <f>((TREND($C$24:$AD$24,$C$4:$AD$4,AK$4,TRUE))*Drivers!AL4)</f>
        <v>272000.45159064565</v>
      </c>
      <c r="AL22" s="23">
        <f>((TREND($C$24:$AD$24,$C$4:$AD$4,AL$4,TRUE))*Drivers!AM4)</f>
        <v>275666.76763755357</v>
      </c>
      <c r="AM22" s="23">
        <f>((TREND($C$24:$AD$24,$C$4:$AD$4,AM$4,TRUE))*Drivers!AN4)</f>
        <v>279865.85678320617</v>
      </c>
      <c r="AN22" s="23">
        <f>((TREND($C$24:$AD$24,$C$4:$AD$4,AN$4,TRUE))*Drivers!AO4)</f>
        <v>284041.22374030791</v>
      </c>
      <c r="AO22" s="23">
        <f>((TREND($C$24:$AD$24,$C$4:$AD$4,AO$4,TRUE))*Drivers!AP4)</f>
        <v>288337.69438745955</v>
      </c>
      <c r="AP22" s="23">
        <f>((TREND($C$24:$AD$24,$C$4:$AD$4,AP$4,TRUE))*Drivers!AQ4)</f>
        <v>292724.08883884369</v>
      </c>
      <c r="AQ22" s="23">
        <f>((TREND($C$24:$AD$24,$C$4:$AD$4,AQ$4,TRUE))*Drivers!AR4)</f>
        <v>297208.61467037781</v>
      </c>
      <c r="AR22" s="23">
        <f>((TREND($C$24:$AD$24,$C$4:$AD$4,AR$4,TRUE))*Drivers!AS4)</f>
        <v>302214.88051730144</v>
      </c>
      <c r="AS22" s="23">
        <f>((TREND($C$24:$AD$24,$C$4:$AD$4,AS$4,TRUE))*Drivers!AT4)</f>
        <v>307059.81627973309</v>
      </c>
      <c r="AT22" s="23">
        <f>((TREND($C$24:$AD$24,$C$4:$AD$4,AT$4,TRUE))*Drivers!AU4)</f>
        <v>312268.63154085074</v>
      </c>
      <c r="AU22" s="23">
        <f>((TREND($C$24:$AD$24,$C$4:$AD$4,AU$4,TRUE))*Drivers!AV4)</f>
        <v>317731.83026649232</v>
      </c>
      <c r="AV22" s="23">
        <f>((TREND($C$24:$AD$24,$C$4:$AD$4,AV$4,TRUE))*Drivers!AW4)</f>
        <v>323463.18080390972</v>
      </c>
      <c r="AW22" s="23">
        <f>((TREND($C$24:$AD$24,$C$4:$AD$4,AW$4,TRUE))*Drivers!AX4)</f>
        <v>329378.76755490684</v>
      </c>
      <c r="AX22" s="23">
        <f>((TREND($C$24:$AD$24,$C$4:$AD$4,AX$4,TRUE))*Drivers!AY4)</f>
        <v>335478.79706116964</v>
      </c>
      <c r="AY22" s="23">
        <f>((TREND($C$24:$AD$24,$C$4:$AD$4,AY$4,TRUE))*Drivers!AZ4)</f>
        <v>341647.34627376788</v>
      </c>
      <c r="AZ22" s="23">
        <f>((TREND($C$24:$AD$24,$C$4:$AD$4,AZ$4,TRUE))*Drivers!BA4)</f>
        <v>348002.07771354029</v>
      </c>
      <c r="BA22" s="23">
        <f>((TREND($C$24:$AD$24,$C$4:$AD$4,BA$4,TRUE))*Drivers!BB4)</f>
        <v>354647.17654813093</v>
      </c>
      <c r="BB22" s="23">
        <f>((TREND($C$24:$AD$24,$C$4:$AD$4,BB$4,TRUE))*Drivers!BC4)</f>
        <v>361728.26150884735</v>
      </c>
      <c r="BC22" s="23">
        <f>((TREND($C$24:$AD$24,$C$4:$AD$4,BC$4,TRUE))*Drivers!BD4)</f>
        <v>369032.25215127179</v>
      </c>
      <c r="BD22" s="23">
        <f>((TREND($C$24:$AD$24,$C$4:$AD$4,BD$4,TRUE))*Drivers!BE4)</f>
        <v>376546.44168231607</v>
      </c>
      <c r="BE22" s="23">
        <f>((TREND($C$24:$AD$24,$C$4:$AD$4,BE$4,TRUE))*Drivers!BF4)</f>
        <v>384302.19486201595</v>
      </c>
      <c r="BF22" s="23">
        <f>((TREND($C$24:$AD$24,$C$4:$AD$4,BF$4,TRUE))*Drivers!BG4)</f>
        <v>392423.86485457461</v>
      </c>
      <c r="BG22" s="23">
        <f>((TREND($C$24:$AD$24,$C$4:$AD$4,BG$4,TRUE))*Drivers!BH4)</f>
        <v>400790.84732997604</v>
      </c>
      <c r="BH22" s="23">
        <f>((TREND($C$24:$AD$24,$C$4:$AD$4,BH$4,TRUE))*Drivers!BI4)</f>
        <v>409473.33354346227</v>
      </c>
      <c r="BI22" s="23">
        <f>((TREND($C$24:$AD$24,$C$4:$AD$4,BI$4,TRUE))*Drivers!BJ4)</f>
        <v>418234.93711812858</v>
      </c>
      <c r="BJ22" s="23">
        <f>((TREND($C$24:$AD$24,$C$4:$AD$4,BJ$4,TRUE))*Drivers!BK4)</f>
        <v>427340.63909124193</v>
      </c>
      <c r="BK22" s="23">
        <f>((TREND($C$24:$AD$24,$C$4:$AD$4,BK$4,TRUE))*Drivers!BL4)</f>
        <v>436819.15402151871</v>
      </c>
    </row>
    <row r="23" spans="1:63" x14ac:dyDescent="0.25">
      <c r="A23" t="s">
        <v>358</v>
      </c>
      <c r="B23" t="s">
        <v>747</v>
      </c>
      <c r="C23" s="54">
        <f>C22*ttokg/Drivers!D4</f>
        <v>3.3966921490134823</v>
      </c>
      <c r="D23" s="54">
        <f>D22*ttokg/Drivers!E4</f>
        <v>3.4465434483197437</v>
      </c>
      <c r="E23" s="54">
        <f>E22*ttokg/Drivers!F4</f>
        <v>2.896106797247985</v>
      </c>
      <c r="F23" s="54">
        <f>F22*ttokg/Drivers!G4</f>
        <v>3.2548017787870185</v>
      </c>
      <c r="G23" s="54">
        <f>G22*ttokg/Drivers!H4</f>
        <v>3.0075885650398053</v>
      </c>
      <c r="H23" s="54">
        <f>H22*ttokg/Drivers!I4</f>
        <v>2.9925843277683009</v>
      </c>
      <c r="I23" s="54">
        <f>I22*ttokg/Drivers!J4</f>
        <v>3.1012515301776276</v>
      </c>
      <c r="J23" s="54">
        <f>J22*ttokg/Drivers!K4</f>
        <v>3.0939254588681102</v>
      </c>
      <c r="K23" s="54">
        <f>K22*ttokg/Drivers!L4</f>
        <v>2.9760364962801833</v>
      </c>
      <c r="L23" s="54">
        <f>L22*ttokg/Drivers!M4</f>
        <v>2.8417713229773924</v>
      </c>
      <c r="M23" s="54">
        <f>M22*ttokg/Drivers!N4</f>
        <v>2.9132016245969217</v>
      </c>
      <c r="N23" s="54">
        <f>N22*ttokg/Drivers!O4</f>
        <v>2.5235195311853693</v>
      </c>
      <c r="O23" s="54">
        <f>O22*ttokg/Drivers!P4</f>
        <v>2.6651693759557911</v>
      </c>
      <c r="P23" s="54">
        <f>P22*ttokg/Drivers!Q4</f>
        <v>3.1250537787508157</v>
      </c>
      <c r="Q23" s="54">
        <f>Q22*ttokg/Drivers!R4</f>
        <v>3.67929956286115</v>
      </c>
      <c r="R23" s="54">
        <f>R22*ttokg/Drivers!S4</f>
        <v>3.8011218781485221</v>
      </c>
      <c r="S23" s="54">
        <f>S22*ttokg/Drivers!T4</f>
        <v>3.9802465108963165</v>
      </c>
      <c r="T23" s="54">
        <f>T22*ttokg/Drivers!U4</f>
        <v>4.1938316513320029</v>
      </c>
      <c r="U23" s="54">
        <f>U22*ttokg/Drivers!V4</f>
        <v>3.9775432728081821</v>
      </c>
      <c r="V23" s="54">
        <f>V22*ttokg/Drivers!W4</f>
        <v>3.9423887440561804</v>
      </c>
      <c r="W23" s="54">
        <f>W22*ttokg/Drivers!X4</f>
        <v>4.197827891555618</v>
      </c>
      <c r="X23" s="54">
        <f>X22*ttokg/Drivers!Y4</f>
        <v>4.4419513111371138</v>
      </c>
      <c r="Y23" s="54">
        <f>Y22*ttokg/Drivers!Z4</f>
        <v>4.4689670655681564</v>
      </c>
      <c r="Z23" s="54">
        <f>Z22*ttokg/Drivers!AA4</f>
        <v>4.5782405589849979</v>
      </c>
      <c r="AA23" s="54">
        <f>AA22*ttokg/Drivers!AB4</f>
        <v>4.3703703703703702</v>
      </c>
      <c r="AB23" s="54">
        <f>AB22*ttokg/Drivers!AC4</f>
        <v>4.6613710310765528</v>
      </c>
      <c r="AC23" s="54">
        <f>AC22*ttokg/Drivers!AD4</f>
        <v>4.7796550785211132</v>
      </c>
      <c r="AD23" s="54">
        <f>AD22*ttokg/Drivers!AE4</f>
        <v>4.5716856044495122</v>
      </c>
      <c r="AE23" s="54">
        <f>AE22*ttokg/Drivers!AF4</f>
        <v>4.6609009334645126</v>
      </c>
      <c r="AF23" s="54">
        <f>AF22*ttokg/Drivers!AG4</f>
        <v>4.6591043360882249</v>
      </c>
      <c r="AG23" s="54">
        <f>AG22*ttokg/Drivers!AH4</f>
        <v>4.5031408577867627</v>
      </c>
      <c r="AH23" s="54">
        <f>AH22*ttokg/Drivers!AI4</f>
        <v>4.5253896484802638</v>
      </c>
      <c r="AI23" s="54">
        <f>AI22*ttokg/Drivers!AJ4</f>
        <v>4.545686233451784</v>
      </c>
      <c r="AJ23" s="54">
        <f>AJ22*ttokg/Drivers!AK4</f>
        <v>4.5659508646471307</v>
      </c>
      <c r="AK23" s="54">
        <f>AK22*ttokg/Drivers!AL4</f>
        <v>4.5845453109866057</v>
      </c>
      <c r="AL23" s="54">
        <f>AL22*ttokg/Drivers!AM4</f>
        <v>4.604297584466214</v>
      </c>
      <c r="AM23" s="54">
        <f>AM22*ttokg/Drivers!AN4</f>
        <v>4.6290526676398693</v>
      </c>
      <c r="AN23" s="54">
        <f>AN22*ttokg/Drivers!AO4</f>
        <v>4.6529431246166402</v>
      </c>
      <c r="AO23" s="54">
        <f>AO22*ttokg/Drivers!AP4</f>
        <v>4.6783434896042531</v>
      </c>
      <c r="AP23" s="54">
        <f>AP22*ttokg/Drivers!AQ4</f>
        <v>4.7047099038651989</v>
      </c>
      <c r="AQ23" s="54">
        <f>AQ22*ttokg/Drivers!AR4</f>
        <v>4.7321459644118526</v>
      </c>
      <c r="AR23" s="54">
        <f>AR22*ttokg/Drivers!AS4</f>
        <v>4.7688031892883025</v>
      </c>
      <c r="AS23" s="54">
        <f>AS22*ttokg/Drivers!AT4</f>
        <v>4.8022871415848156</v>
      </c>
      <c r="AT23" s="54">
        <f>AT22*ttokg/Drivers!AU4</f>
        <v>4.840823355543141</v>
      </c>
      <c r="AU23" s="54">
        <f>AU22*ttokg/Drivers!AV4</f>
        <v>4.8825971377576183</v>
      </c>
      <c r="AV23" s="54">
        <f>AV22*ttokg/Drivers!AW4</f>
        <v>4.9277343402060483</v>
      </c>
      <c r="AW23" s="54">
        <f>AW22*ttokg/Drivers!AX4</f>
        <v>4.9732066628624283</v>
      </c>
      <c r="AX23" s="54">
        <f>AX22*ttokg/Drivers!AY4</f>
        <v>5.0206372157741761</v>
      </c>
      <c r="AY23" s="54">
        <f>AY22*ttokg/Drivers!AZ4</f>
        <v>5.0682549521171953</v>
      </c>
      <c r="AZ23" s="54">
        <f>AZ22*ttokg/Drivers!BA4</f>
        <v>5.1177853714158736</v>
      </c>
      <c r="BA23" s="54">
        <f>BA22*ttokg/Drivers!BB4</f>
        <v>5.1706981762916788</v>
      </c>
      <c r="BB23" s="54">
        <f>BB22*ttokg/Drivers!BC4</f>
        <v>5.2227152073599026</v>
      </c>
      <c r="BC23" s="54">
        <f>BC22*ttokg/Drivers!BD4</f>
        <v>5.2769189152185492</v>
      </c>
      <c r="BD23" s="54">
        <f>BD22*ttokg/Drivers!BE4</f>
        <v>5.3330668294277297</v>
      </c>
      <c r="BE23" s="54">
        <f>BE22*ttokg/Drivers!BF4</f>
        <v>5.39154393431832</v>
      </c>
      <c r="BF23" s="54">
        <f>BF22*ttokg/Drivers!BG4</f>
        <v>5.4540131939801482</v>
      </c>
      <c r="BG23" s="54">
        <f>BG22*ttokg/Drivers!BH4</f>
        <v>5.5205077933733966</v>
      </c>
      <c r="BH23" s="54">
        <f>BH22*ttokg/Drivers!BI4</f>
        <v>5.5901314145012853</v>
      </c>
      <c r="BI23" s="54">
        <f>BI22*ttokg/Drivers!BJ4</f>
        <v>5.6596028135484717</v>
      </c>
      <c r="BJ23" s="54">
        <f>BJ22*ttokg/Drivers!BK4</f>
        <v>5.7324805056907495</v>
      </c>
      <c r="BK23" s="54">
        <f>BK22*ttokg/Drivers!BL4</f>
        <v>5.8090581604136942</v>
      </c>
    </row>
    <row r="24" spans="1:63" x14ac:dyDescent="0.25">
      <c r="A24" t="s">
        <v>358</v>
      </c>
      <c r="B24" t="s">
        <v>328</v>
      </c>
      <c r="C24" s="76">
        <f>C22/Drivers!D4</f>
        <v>3.3966921490134823E-3</v>
      </c>
      <c r="D24" s="76">
        <f>D22/Drivers!E4</f>
        <v>3.446543448319744E-3</v>
      </c>
      <c r="E24" s="76">
        <f>E22/Drivers!F4</f>
        <v>2.8961067972479849E-3</v>
      </c>
      <c r="F24" s="76">
        <f>F22/Drivers!G4</f>
        <v>3.2548017787870187E-3</v>
      </c>
      <c r="G24" s="76">
        <f>G22/Drivers!H4</f>
        <v>3.0075885650398052E-3</v>
      </c>
      <c r="H24" s="76">
        <f>H22/Drivers!I4</f>
        <v>2.9925843277683012E-3</v>
      </c>
      <c r="I24" s="76">
        <f>I22/Drivers!J4</f>
        <v>3.1012515301776277E-3</v>
      </c>
      <c r="J24" s="76">
        <f>J22/Drivers!K4</f>
        <v>3.0939254588681106E-3</v>
      </c>
      <c r="K24" s="76">
        <f>K22/Drivers!L4</f>
        <v>2.9760364962801832E-3</v>
      </c>
      <c r="L24" s="76">
        <f>L22/Drivers!M4</f>
        <v>2.8417713229773925E-3</v>
      </c>
      <c r="M24" s="76">
        <f>M22/Drivers!N4</f>
        <v>2.9132016245969217E-3</v>
      </c>
      <c r="N24" s="76">
        <f>N22/Drivers!O4</f>
        <v>2.5235195311853692E-3</v>
      </c>
      <c r="O24" s="76">
        <f>O22/Drivers!P4</f>
        <v>2.665169375955791E-3</v>
      </c>
      <c r="P24" s="76">
        <f>P22/Drivers!Q4</f>
        <v>3.125053778750816E-3</v>
      </c>
      <c r="Q24" s="76">
        <f>Q22/Drivers!R4</f>
        <v>3.6792995628611501E-3</v>
      </c>
      <c r="R24" s="76">
        <f>R22/Drivers!S4</f>
        <v>3.801121878148522E-3</v>
      </c>
      <c r="S24" s="76">
        <f>S22/Drivers!T4</f>
        <v>3.9802465108963164E-3</v>
      </c>
      <c r="T24" s="76">
        <f>T22/Drivers!U4</f>
        <v>4.1938316513320025E-3</v>
      </c>
      <c r="U24" s="76">
        <f>U22/Drivers!V4</f>
        <v>3.9775432728081823E-3</v>
      </c>
      <c r="V24" s="76">
        <f>V22/Drivers!W4</f>
        <v>3.9423887440561802E-3</v>
      </c>
      <c r="W24" s="76">
        <f>W22/Drivers!X4</f>
        <v>4.1978278915556179E-3</v>
      </c>
      <c r="X24" s="76">
        <f>X22/Drivers!Y4</f>
        <v>4.4419513111371139E-3</v>
      </c>
      <c r="Y24" s="76">
        <f>Y22/Drivers!Z4</f>
        <v>4.4689670655681558E-3</v>
      </c>
      <c r="Z24" s="76">
        <f>Z22/Drivers!AA4</f>
        <v>4.578240558984998E-3</v>
      </c>
      <c r="AA24" s="76">
        <f>AA22/Drivers!AB4</f>
        <v>4.3703703703703699E-3</v>
      </c>
      <c r="AB24" s="76">
        <f>AB22/Drivers!AC4</f>
        <v>4.6613710310765529E-3</v>
      </c>
      <c r="AC24" s="76">
        <f>AC22/Drivers!AD4</f>
        <v>4.7796550785211131E-3</v>
      </c>
      <c r="AD24" s="76">
        <f>AD22/Drivers!AE4</f>
        <v>4.5716856044495128E-3</v>
      </c>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row>
    <row r="25" spans="1:63" x14ac:dyDescent="0.25">
      <c r="A25" t="s">
        <v>361</v>
      </c>
      <c r="B25" t="s">
        <v>327</v>
      </c>
      <c r="C25" s="22">
        <v>126200</v>
      </c>
      <c r="D25" s="22">
        <v>130800</v>
      </c>
      <c r="E25" s="22">
        <v>112700</v>
      </c>
      <c r="F25" s="22">
        <v>129600</v>
      </c>
      <c r="G25" s="22">
        <v>119600</v>
      </c>
      <c r="H25" s="22">
        <v>119000</v>
      </c>
      <c r="I25" s="22">
        <v>126500</v>
      </c>
      <c r="J25" s="22">
        <v>127900</v>
      </c>
      <c r="K25" s="22">
        <v>125000</v>
      </c>
      <c r="L25" s="22">
        <v>119200</v>
      </c>
      <c r="M25" s="22">
        <v>123000</v>
      </c>
      <c r="N25" s="22">
        <v>106900</v>
      </c>
      <c r="O25" s="22">
        <v>116600</v>
      </c>
      <c r="P25" s="22">
        <v>135000</v>
      </c>
      <c r="Q25" s="22">
        <v>156800</v>
      </c>
      <c r="R25" s="22">
        <v>159700</v>
      </c>
      <c r="S25" s="22">
        <v>171400</v>
      </c>
      <c r="T25" s="22">
        <v>187100</v>
      </c>
      <c r="U25" s="22">
        <v>181700</v>
      </c>
      <c r="V25" s="22">
        <v>180700</v>
      </c>
      <c r="W25" s="22">
        <v>191900</v>
      </c>
      <c r="X25" s="22">
        <v>205100</v>
      </c>
      <c r="Y25" s="22">
        <v>206000</v>
      </c>
      <c r="Z25" s="22">
        <v>213500</v>
      </c>
      <c r="AA25" s="22">
        <v>224200</v>
      </c>
      <c r="AB25" s="22">
        <v>233000</v>
      </c>
      <c r="AC25" s="22">
        <v>243100</v>
      </c>
      <c r="AD25" s="22">
        <v>231800</v>
      </c>
      <c r="AE25" s="23">
        <f>TREND($C$25:$AD$25,$C$22:$AD$22,AE$22,TRUE)</f>
        <v>234056.8642519697</v>
      </c>
      <c r="AF25" s="23">
        <f>TREND($C$25:$AD$25,$C$22:$AD$22,AF$22,TRUE)</f>
        <v>236050.47349575436</v>
      </c>
      <c r="AG25" s="23">
        <f t="shared" ref="AG25:BK25" si="5">TREND($C$25:$AD$25,$C$22:$AD$22,AG$22,TRUE)</f>
        <v>230689.75956111497</v>
      </c>
      <c r="AH25" s="23">
        <f t="shared" si="5"/>
        <v>233796.40189330821</v>
      </c>
      <c r="AI25" s="23">
        <f t="shared" si="5"/>
        <v>236828.28568792026</v>
      </c>
      <c r="AJ25" s="23">
        <f t="shared" si="5"/>
        <v>239876.95072357592</v>
      </c>
      <c r="AK25" s="23">
        <f t="shared" si="5"/>
        <v>242861.25909988728</v>
      </c>
      <c r="AL25" s="23">
        <f t="shared" si="5"/>
        <v>245920.21459593831</v>
      </c>
      <c r="AM25" s="23">
        <f t="shared" si="5"/>
        <v>249423.68419762072</v>
      </c>
      <c r="AN25" s="23">
        <f t="shared" si="5"/>
        <v>252907.36141967258</v>
      </c>
      <c r="AO25" s="23">
        <f t="shared" si="5"/>
        <v>256492.08033958424</v>
      </c>
      <c r="AP25" s="23">
        <f t="shared" si="5"/>
        <v>260151.82631981024</v>
      </c>
      <c r="AQ25" s="23">
        <f t="shared" si="5"/>
        <v>263893.44727229839</v>
      </c>
      <c r="AR25" s="23">
        <f t="shared" si="5"/>
        <v>268070.37698354223</v>
      </c>
      <c r="AS25" s="23">
        <f t="shared" si="5"/>
        <v>272112.7024920056</v>
      </c>
      <c r="AT25" s="23">
        <f t="shared" si="5"/>
        <v>276458.62735692505</v>
      </c>
      <c r="AU25" s="23">
        <f t="shared" si="5"/>
        <v>281016.79461637745</v>
      </c>
      <c r="AV25" s="23">
        <f t="shared" si="5"/>
        <v>285798.69175833662</v>
      </c>
      <c r="AW25" s="23">
        <f t="shared" si="5"/>
        <v>290734.30461135041</v>
      </c>
      <c r="AX25" s="23">
        <f t="shared" si="5"/>
        <v>295823.80550148594</v>
      </c>
      <c r="AY25" s="23">
        <f t="shared" si="5"/>
        <v>300970.47514892474</v>
      </c>
      <c r="AZ25" s="23">
        <f t="shared" si="5"/>
        <v>306272.48414512526</v>
      </c>
      <c r="BA25" s="23">
        <f t="shared" si="5"/>
        <v>311816.75838166219</v>
      </c>
      <c r="BB25" s="23">
        <f t="shared" si="5"/>
        <v>317724.7934450485</v>
      </c>
      <c r="BC25" s="23">
        <f t="shared" si="5"/>
        <v>323818.80771792959</v>
      </c>
      <c r="BD25" s="23">
        <f t="shared" si="5"/>
        <v>330088.19940982759</v>
      </c>
      <c r="BE25" s="23">
        <f t="shared" si="5"/>
        <v>336559.13740631239</v>
      </c>
      <c r="BF25" s="23">
        <f t="shared" si="5"/>
        <v>343335.37457271898</v>
      </c>
      <c r="BG25" s="23">
        <f t="shared" si="5"/>
        <v>350316.28584742418</v>
      </c>
      <c r="BH25" s="23">
        <f t="shared" si="5"/>
        <v>357560.43462846847</v>
      </c>
      <c r="BI25" s="23">
        <f t="shared" si="5"/>
        <v>364870.59421810601</v>
      </c>
      <c r="BJ25" s="23">
        <f t="shared" si="5"/>
        <v>372467.84899365902</v>
      </c>
      <c r="BK25" s="23">
        <f t="shared" si="5"/>
        <v>380376.15667074139</v>
      </c>
    </row>
    <row r="26" spans="1:63" x14ac:dyDescent="0.25">
      <c r="A26" t="s">
        <v>367</v>
      </c>
      <c r="B26" t="s">
        <v>327</v>
      </c>
      <c r="C26" s="22">
        <v>209000</v>
      </c>
      <c r="D26" s="22">
        <v>214000</v>
      </c>
      <c r="E26" s="22">
        <v>223000</v>
      </c>
      <c r="F26" s="22">
        <v>218000</v>
      </c>
      <c r="G26" s="22">
        <v>233000</v>
      </c>
      <c r="H26" s="22">
        <v>272000</v>
      </c>
      <c r="I26" s="22">
        <v>263000</v>
      </c>
      <c r="J26" s="22">
        <v>293000</v>
      </c>
      <c r="K26" s="22">
        <v>302000</v>
      </c>
      <c r="L26" s="22">
        <v>299000</v>
      </c>
      <c r="M26" s="22">
        <v>310000</v>
      </c>
      <c r="N26" s="22">
        <v>308000</v>
      </c>
      <c r="O26" s="22">
        <v>313000</v>
      </c>
      <c r="P26" s="22">
        <v>305000</v>
      </c>
      <c r="Q26" s="22">
        <v>329000</v>
      </c>
      <c r="R26" s="22">
        <v>357000</v>
      </c>
      <c r="S26" s="22">
        <v>392000</v>
      </c>
      <c r="T26" s="22">
        <v>416000</v>
      </c>
      <c r="U26" s="22">
        <v>404000</v>
      </c>
      <c r="V26" s="22">
        <v>379000</v>
      </c>
      <c r="W26" s="22">
        <v>386000</v>
      </c>
      <c r="X26" s="22">
        <v>426000</v>
      </c>
      <c r="Y26" s="22">
        <v>447000</v>
      </c>
      <c r="Z26" s="22">
        <v>433000</v>
      </c>
      <c r="AA26" s="22">
        <v>418000</v>
      </c>
      <c r="AB26" s="22">
        <v>438000</v>
      </c>
      <c r="AC26" s="22">
        <v>441000</v>
      </c>
      <c r="AD26" s="22">
        <v>412000</v>
      </c>
      <c r="AE26" s="23">
        <f>((TREND($M$28:$AD$28,$M$4:$AD$4,AE$4,TRUE))*Drivers!AF4)</f>
        <v>454848.85734851554</v>
      </c>
      <c r="AF26" s="23">
        <f>((TREND($M$28:$AD$28,$M$4:$AD$4,AF$4,TRUE))*Drivers!AG4)</f>
        <v>459110.28413462354</v>
      </c>
      <c r="AG26" s="23">
        <f>((TREND($M$28:$AD$28,$M$4:$AD$4,AG$4,TRUE))*Drivers!AH4)</f>
        <v>457085.37256366003</v>
      </c>
      <c r="AH26" s="23">
        <f>((TREND($M$28:$AD$28,$M$4:$AD$4,AH$4,TRUE))*Drivers!AI4)</f>
        <v>462332.9991356291</v>
      </c>
      <c r="AI26" s="23">
        <f>((TREND($M$28:$AD$28,$M$4:$AD$4,AI$4,TRUE))*Drivers!AJ4)</f>
        <v>467516.72345544101</v>
      </c>
      <c r="AJ26" s="23">
        <f>((TREND($M$28:$AD$28,$M$4:$AD$4,AJ$4,TRUE))*Drivers!AK4)</f>
        <v>472714.79206726875</v>
      </c>
      <c r="AK26" s="23">
        <f>((TREND($M$28:$AD$28,$M$4:$AD$4,AK$4,TRUE))*Drivers!AL4)</f>
        <v>477857.84980639577</v>
      </c>
      <c r="AL26" s="23">
        <f>((TREND($M$28:$AD$28,$M$4:$AD$4,AL$4,TRUE))*Drivers!AM4)</f>
        <v>483064.71455978614</v>
      </c>
      <c r="AM26" s="23">
        <f>((TREND($M$28:$AD$28,$M$4:$AD$4,AM$4,TRUE))*Drivers!AN4)</f>
        <v>488867.70614224015</v>
      </c>
      <c r="AN26" s="23">
        <f>((TREND($M$28:$AD$28,$M$4:$AD$4,AN$4,TRUE))*Drivers!AO4)</f>
        <v>494653.77956754604</v>
      </c>
      <c r="AO26" s="23">
        <f>((TREND($M$28:$AD$28,$M$4:$AD$4,AO$4,TRUE))*Drivers!AP4)</f>
        <v>500526.22155261075</v>
      </c>
      <c r="AP26" s="23">
        <f>((TREND($M$28:$AD$28,$M$4:$AD$4,AP$4,TRUE))*Drivers!AQ4)</f>
        <v>506462.79527021275</v>
      </c>
      <c r="AQ26" s="23">
        <f>((TREND($M$28:$AD$28,$M$4:$AD$4,AQ$4,TRUE))*Drivers!AR4)</f>
        <v>512469.35418782971</v>
      </c>
      <c r="AR26" s="23">
        <f>((TREND($M$28:$AD$28,$M$4:$AD$4,AR$4,TRUE))*Drivers!AS4)</f>
        <v>518752.66505340248</v>
      </c>
      <c r="AS26" s="23">
        <f>((TREND($M$28:$AD$28,$M$4:$AD$4,AS$4,TRUE))*Drivers!AT4)</f>
        <v>524920.91870782047</v>
      </c>
      <c r="AT26" s="23">
        <f>((TREND($M$28:$AD$28,$M$4:$AD$4,AT$4,TRUE))*Drivers!AU4)</f>
        <v>531348.6834804269</v>
      </c>
      <c r="AU26" s="23">
        <f>((TREND($M$28:$AD$28,$M$4:$AD$4,AU$4,TRUE))*Drivers!AV4)</f>
        <v>537957.8690475102</v>
      </c>
      <c r="AV26" s="23">
        <f>((TREND($M$28:$AD$28,$M$4:$AD$4,AV$4,TRUE))*Drivers!AW4)</f>
        <v>544758.29474749265</v>
      </c>
      <c r="AW26" s="23">
        <f>((TREND($M$28:$AD$28,$M$4:$AD$4,AW$4,TRUE))*Drivers!AX4)</f>
        <v>551796.7725419139</v>
      </c>
      <c r="AX26" s="23">
        <f>((TREND($M$28:$AD$28,$M$4:$AD$4,AX$4,TRUE))*Drivers!AY4)</f>
        <v>558966.79096175812</v>
      </c>
      <c r="AY26" s="23">
        <f>((TREND($M$28:$AD$28,$M$4:$AD$4,AY$4,TRUE))*Drivers!AZ4)</f>
        <v>566185.67612178542</v>
      </c>
      <c r="AZ26" s="23">
        <f>((TREND($M$28:$AD$28,$M$4:$AD$4,AZ$4,TRUE))*Drivers!BA4)</f>
        <v>573537.34250921744</v>
      </c>
      <c r="BA26" s="23">
        <f>((TREND($M$28:$AD$28,$M$4:$AD$4,BA$4,TRUE))*Drivers!BB4)</f>
        <v>581096.09270789393</v>
      </c>
      <c r="BB26" s="23">
        <f>((TREND($M$28:$AD$28,$M$4:$AD$4,BB$4,TRUE))*Drivers!BC4)</f>
        <v>589364.8333417112</v>
      </c>
      <c r="BC26" s="23">
        <f>((TREND($M$28:$AD$28,$M$4:$AD$4,BC$4,TRUE))*Drivers!BD4)</f>
        <v>597792.54548902065</v>
      </c>
      <c r="BD26" s="23">
        <f>((TREND($M$28:$AD$28,$M$4:$AD$4,BD$4,TRUE))*Drivers!BE4)</f>
        <v>606370.16703264881</v>
      </c>
      <c r="BE26" s="23">
        <f>((TREND($M$28:$AD$28,$M$4:$AD$4,BE$4,TRUE))*Drivers!BF4)</f>
        <v>615120.06660030573</v>
      </c>
      <c r="BF26" s="23">
        <f>((TREND($M$28:$AD$28,$M$4:$AD$4,BF$4,TRUE))*Drivers!BG4)</f>
        <v>624130.93020716798</v>
      </c>
      <c r="BG26" s="23">
        <f>((TREND($M$28:$AD$28,$M$4:$AD$4,BG$4,TRUE))*Drivers!BH4)</f>
        <v>633203.14546112088</v>
      </c>
      <c r="BH26" s="23">
        <f>((TREND($M$28:$AD$28,$M$4:$AD$4,BH$4,TRUE))*Drivers!BI4)</f>
        <v>642500.37122834229</v>
      </c>
      <c r="BI26" s="23">
        <f>((TREND($M$28:$AD$28,$M$4:$AD$4,BI$4,TRUE))*Drivers!BJ4)</f>
        <v>651854.02185205324</v>
      </c>
      <c r="BJ26" s="23">
        <f>((TREND($M$28:$AD$28,$M$4:$AD$4,BJ$4,TRUE))*Drivers!BK4)</f>
        <v>661453.07604094432</v>
      </c>
      <c r="BK26" s="23">
        <f>((TREND($M$28:$AD$28,$M$4:$AD$4,BK$4,TRUE))*Drivers!BL4)</f>
        <v>671318.01245156012</v>
      </c>
    </row>
    <row r="27" spans="1:63" x14ac:dyDescent="0.25">
      <c r="A27" t="s">
        <v>367</v>
      </c>
      <c r="B27" t="s">
        <v>747</v>
      </c>
      <c r="C27" s="54">
        <f>C26*ttokg/Drivers!D4</f>
        <v>5.6792692731505428</v>
      </c>
      <c r="D27" s="54">
        <f>D26*ttokg/Drivers!E4</f>
        <v>5.6735407533878863</v>
      </c>
      <c r="E27" s="54">
        <f>E26*ttokg/Drivers!F4</f>
        <v>5.7663554980919702</v>
      </c>
      <c r="F27" s="54">
        <f>F26*ttokg/Drivers!G4</f>
        <v>5.5003626959346512</v>
      </c>
      <c r="G27" s="54">
        <f>G26*ttokg/Drivers!H4</f>
        <v>5.7440011119202836</v>
      </c>
      <c r="H27" s="54">
        <f>H26*ttokg/Drivers!I4</f>
        <v>6.5643785254272409</v>
      </c>
      <c r="I27" s="54">
        <f>I26*ttokg/Drivers!J4</f>
        <v>6.2261767361581377</v>
      </c>
      <c r="J27" s="54">
        <f>J26*ttokg/Drivers!K4</f>
        <v>6.8159410484838823</v>
      </c>
      <c r="K27" s="54">
        <f>K26*ttokg/Drivers!L4</f>
        <v>6.9135617067431951</v>
      </c>
      <c r="L27" s="54">
        <f>L26*ttokg/Drivers!M4</f>
        <v>6.7435684569066696</v>
      </c>
      <c r="M27" s="54">
        <f>M26*ttokg/Drivers!N4</f>
        <v>6.8938359055347007</v>
      </c>
      <c r="N27" s="54">
        <f>N26*ttokg/Drivers!O4</f>
        <v>6.7586436139573367</v>
      </c>
      <c r="O27" s="54">
        <f>O26*ttokg/Drivers!P4</f>
        <v>6.7820976802777446</v>
      </c>
      <c r="P27" s="54">
        <f>P26*ttokg/Drivers!Q4</f>
        <v>6.5283657706780742</v>
      </c>
      <c r="Q27" s="54">
        <f>Q26*ttokg/Drivers!R4</f>
        <v>6.956836529777692</v>
      </c>
      <c r="R27" s="54">
        <f>R26*ttokg/Drivers!S4</f>
        <v>7.4560467609836394</v>
      </c>
      <c r="S27" s="54">
        <f>S26*ttokg/Drivers!T4</f>
        <v>8.0842312552919999</v>
      </c>
      <c r="T27" s="54">
        <f>T26*ttokg/Drivers!U4</f>
        <v>8.4690969269617149</v>
      </c>
      <c r="U27" s="54">
        <f>U26*ttokg/Drivers!V4</f>
        <v>8.115795364719725</v>
      </c>
      <c r="V27" s="54">
        <f>V26*ttokg/Drivers!W4</f>
        <v>7.5083685125492075</v>
      </c>
      <c r="W27" s="54">
        <f>W26*ttokg/Drivers!X4</f>
        <v>7.5365654239091562</v>
      </c>
      <c r="X27" s="54">
        <f>X26*ttokg/Drivers!Y4</f>
        <v>8.1916504698892236</v>
      </c>
      <c r="Y27" s="54">
        <f>Y26*ttokg/Drivers!Z4</f>
        <v>8.428811300881712</v>
      </c>
      <c r="Z27" s="54">
        <f>Z26*ttokg/Drivers!AA4</f>
        <v>8.091339436900018</v>
      </c>
      <c r="AA27" s="54">
        <f>AA26*ttokg/Drivers!AB4</f>
        <v>7.7407407407407405</v>
      </c>
      <c r="AB27" s="54">
        <f>AB26*ttokg/Drivers!AC4</f>
        <v>8.0381122504390952</v>
      </c>
      <c r="AC27" s="54">
        <f>AC26*ttokg/Drivers!AD4</f>
        <v>8.0145547134137303</v>
      </c>
      <c r="AD27" s="54">
        <f>AD26*ttokg/Drivers!AE4</f>
        <v>7.4154900355637761</v>
      </c>
      <c r="AE27" s="54">
        <f>AE26*ttokg/Drivers!AF4</f>
        <v>8.1087100759376813</v>
      </c>
      <c r="AF27" s="54">
        <f>AF26*ttokg/Drivers!AG4</f>
        <v>8.1074287811415253</v>
      </c>
      <c r="AG27" s="54">
        <f>AG26*ttokg/Drivers!AH4</f>
        <v>7.9961989665067561</v>
      </c>
      <c r="AH27" s="54">
        <f>AH26*ttokg/Drivers!AI4</f>
        <v>8.012066327837994</v>
      </c>
      <c r="AI27" s="54">
        <f>AI26*ttokg/Drivers!AJ4</f>
        <v>8.0265414178314192</v>
      </c>
      <c r="AJ27" s="54">
        <f>AJ26*ttokg/Drivers!AK4</f>
        <v>8.0409937190755816</v>
      </c>
      <c r="AK27" s="54">
        <f>AK26*ttokg/Drivers!AL4</f>
        <v>8.0542548802275427</v>
      </c>
      <c r="AL27" s="54">
        <f>AL26*ttokg/Drivers!AM4</f>
        <v>8.0683417789148457</v>
      </c>
      <c r="AM27" s="54">
        <f>AM26*ttokg/Drivers!AN4</f>
        <v>8.0859965744006956</v>
      </c>
      <c r="AN27" s="54">
        <f>AN26*ttokg/Drivers!AO4</f>
        <v>8.1030347369885369</v>
      </c>
      <c r="AO27" s="54">
        <f>AO26*ttokg/Drivers!AP4</f>
        <v>8.1211497336531231</v>
      </c>
      <c r="AP27" s="54">
        <f>AP26*ttokg/Drivers!AQ4</f>
        <v>8.1399536959830723</v>
      </c>
      <c r="AQ27" s="54">
        <f>AQ26*ttokg/Drivers!AR4</f>
        <v>8.1595205071503258</v>
      </c>
      <c r="AR27" s="54">
        <f>AR26*ttokg/Drivers!AS4</f>
        <v>8.1856636553567999</v>
      </c>
      <c r="AS27" s="54">
        <f>AS26*ttokg/Drivers!AT4</f>
        <v>8.2095436934768884</v>
      </c>
      <c r="AT27" s="54">
        <f>AT26*ttokg/Drivers!AU4</f>
        <v>8.2370268964805131</v>
      </c>
      <c r="AU27" s="54">
        <f>AU26*ttokg/Drivers!AV4</f>
        <v>8.2668190638706776</v>
      </c>
      <c r="AV27" s="54">
        <f>AV26*ttokg/Drivers!AW4</f>
        <v>8.2990099505843382</v>
      </c>
      <c r="AW27" s="54">
        <f>AW26*ttokg/Drivers!AX4</f>
        <v>8.3314398378577241</v>
      </c>
      <c r="AX27" s="54">
        <f>AX26*ttokg/Drivers!AY4</f>
        <v>8.3652662930371928</v>
      </c>
      <c r="AY27" s="54">
        <f>AY26*ttokg/Drivers!AZ4</f>
        <v>8.399226243433553</v>
      </c>
      <c r="AZ27" s="54">
        <f>AZ26*ttokg/Drivers!BA4</f>
        <v>8.4345502783766921</v>
      </c>
      <c r="BA27" s="54">
        <f>BA26*ttokg/Drivers!BB4</f>
        <v>8.4722865583201639</v>
      </c>
      <c r="BB27" s="54">
        <f>BB26*ttokg/Drivers!BC4</f>
        <v>8.5093839915563354</v>
      </c>
      <c r="BC27" s="54">
        <f>BC26*ttokg/Drivers!BD4</f>
        <v>8.5480409158779427</v>
      </c>
      <c r="BD27" s="54">
        <f>BD26*ttokg/Drivers!BE4</f>
        <v>8.5880844065568613</v>
      </c>
      <c r="BE27" s="54">
        <f>BE26*ttokg/Drivers!BF4</f>
        <v>8.6297890261780363</v>
      </c>
      <c r="BF27" s="54">
        <f>BF26*ttokg/Drivers!BG4</f>
        <v>8.6743407651378863</v>
      </c>
      <c r="BG27" s="54">
        <f>BG26*ttokg/Drivers!BH4</f>
        <v>8.7217632902397426</v>
      </c>
      <c r="BH27" s="54">
        <f>BH26*ttokg/Drivers!BI4</f>
        <v>8.7714173666722264</v>
      </c>
      <c r="BI27" s="54">
        <f>BI26*ttokg/Drivers!BJ4</f>
        <v>8.8209628815747632</v>
      </c>
      <c r="BJ27" s="54">
        <f>BJ26*ttokg/Drivers!BK4</f>
        <v>8.8729376918077527</v>
      </c>
      <c r="BK27" s="54">
        <f>BK26*ttokg/Drivers!BL4</f>
        <v>8.9275512361628895</v>
      </c>
    </row>
    <row r="28" spans="1:63" x14ac:dyDescent="0.25">
      <c r="A28" t="s">
        <v>367</v>
      </c>
      <c r="B28" t="s">
        <v>328</v>
      </c>
      <c r="C28" s="54">
        <f>C26/Drivers!D4</f>
        <v>5.6792692731505428E-3</v>
      </c>
      <c r="D28" s="54">
        <f>D26/Drivers!E4</f>
        <v>5.6735407533878863E-3</v>
      </c>
      <c r="E28" s="54">
        <f>E26/Drivers!F4</f>
        <v>5.7663554980919695E-3</v>
      </c>
      <c r="F28" s="54">
        <f>F26/Drivers!G4</f>
        <v>5.5003626959346519E-3</v>
      </c>
      <c r="G28" s="54">
        <f>G26/Drivers!H4</f>
        <v>5.7440011119202841E-3</v>
      </c>
      <c r="H28" s="54">
        <f>H26/Drivers!I4</f>
        <v>6.5643785254272408E-3</v>
      </c>
      <c r="I28" s="54">
        <f>I26/Drivers!J4</f>
        <v>6.2261767361581379E-3</v>
      </c>
      <c r="J28" s="54">
        <f>J26/Drivers!K4</f>
        <v>6.8159410484838825E-3</v>
      </c>
      <c r="K28" s="54">
        <f>K26/Drivers!L4</f>
        <v>6.9135617067431947E-3</v>
      </c>
      <c r="L28" s="54">
        <f>L26/Drivers!M4</f>
        <v>6.7435684569066689E-3</v>
      </c>
      <c r="M28" s="54">
        <f>M26/Drivers!N4</f>
        <v>6.8938359055347002E-3</v>
      </c>
      <c r="N28" s="54">
        <f>N26/Drivers!O4</f>
        <v>6.7586436139573363E-3</v>
      </c>
      <c r="O28" s="54">
        <f>O26/Drivers!P4</f>
        <v>6.7820976802777447E-3</v>
      </c>
      <c r="P28" s="54">
        <f>P26/Drivers!Q4</f>
        <v>6.5283657706780738E-3</v>
      </c>
      <c r="Q28" s="54">
        <f>Q26/Drivers!R4</f>
        <v>6.9568365297776923E-3</v>
      </c>
      <c r="R28" s="54">
        <f>R26/Drivers!S4</f>
        <v>7.456046760983639E-3</v>
      </c>
      <c r="S28" s="54">
        <f>S26/Drivers!T4</f>
        <v>8.0842312552920001E-3</v>
      </c>
      <c r="T28" s="54">
        <f>T26/Drivers!U4</f>
        <v>8.4690969269617146E-3</v>
      </c>
      <c r="U28" s="54">
        <f>U26/Drivers!V4</f>
        <v>8.1157953647197252E-3</v>
      </c>
      <c r="V28" s="54">
        <f>V26/Drivers!W4</f>
        <v>7.5083685125492076E-3</v>
      </c>
      <c r="W28" s="54">
        <f>W26/Drivers!X4</f>
        <v>7.5365654239091563E-3</v>
      </c>
      <c r="X28" s="54">
        <f>X26/Drivers!Y4</f>
        <v>8.191650469889223E-3</v>
      </c>
      <c r="Y28" s="54">
        <f>Y26/Drivers!Z4</f>
        <v>8.4288113008817115E-3</v>
      </c>
      <c r="Z28" s="54">
        <f>Z26/Drivers!AA4</f>
        <v>8.0913394369000174E-3</v>
      </c>
      <c r="AA28" s="54">
        <f>AA26/Drivers!AB4</f>
        <v>7.7407407407407407E-3</v>
      </c>
      <c r="AB28" s="54">
        <f>AB26/Drivers!AC4</f>
        <v>8.0381122504390948E-3</v>
      </c>
      <c r="AC28" s="54">
        <f>AC26/Drivers!AD4</f>
        <v>8.0145547134137293E-3</v>
      </c>
      <c r="AD28" s="54">
        <f>AD26/Drivers!AE4</f>
        <v>7.4154900355637762E-3</v>
      </c>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row>
    <row r="29" spans="1:63" x14ac:dyDescent="0.25">
      <c r="A29" t="s">
        <v>368</v>
      </c>
      <c r="B29" t="s">
        <v>327</v>
      </c>
      <c r="C29" s="22">
        <v>224000</v>
      </c>
      <c r="D29" s="22">
        <v>232000</v>
      </c>
      <c r="E29" s="22">
        <v>238000</v>
      </c>
      <c r="F29" s="22">
        <v>235000</v>
      </c>
      <c r="G29" s="22">
        <v>251000</v>
      </c>
      <c r="H29" s="22">
        <v>290000</v>
      </c>
      <c r="I29" s="22">
        <v>282000</v>
      </c>
      <c r="J29" s="22">
        <v>314000</v>
      </c>
      <c r="K29" s="22">
        <v>323000</v>
      </c>
      <c r="L29" s="22">
        <v>318000</v>
      </c>
      <c r="M29" s="22">
        <v>329000</v>
      </c>
      <c r="N29" s="22">
        <v>330000</v>
      </c>
      <c r="O29" s="22">
        <v>340000</v>
      </c>
      <c r="P29" s="22">
        <v>328000</v>
      </c>
      <c r="Q29" s="22">
        <v>348000</v>
      </c>
      <c r="R29" s="22">
        <v>375000</v>
      </c>
      <c r="S29" s="22">
        <v>412000</v>
      </c>
      <c r="T29" s="22">
        <v>438000</v>
      </c>
      <c r="U29" s="22">
        <v>426000</v>
      </c>
      <c r="V29" s="22">
        <v>404000</v>
      </c>
      <c r="W29" s="22">
        <v>413000</v>
      </c>
      <c r="X29" s="22">
        <v>452000</v>
      </c>
      <c r="Y29" s="22">
        <v>477000</v>
      </c>
      <c r="Z29" s="22">
        <v>468000</v>
      </c>
      <c r="AA29" s="22">
        <v>453000</v>
      </c>
      <c r="AB29" s="22">
        <v>477000</v>
      </c>
      <c r="AC29" s="22">
        <v>478000</v>
      </c>
      <c r="AD29" s="22">
        <v>445000</v>
      </c>
      <c r="AE29" s="23">
        <f>TREND($C$29:$AD$29,$C$26:$AD$26,AE$26,TRUE)</f>
        <v>486585.15767175221</v>
      </c>
      <c r="AF29" s="23">
        <f>TREND($C$29:$AD$29,$C$26:$AD$26,AF$26,TRUE)</f>
        <v>491142.18538837775</v>
      </c>
      <c r="AG29" s="23">
        <f t="shared" ref="AG29:BK29" si="6">TREND($C$29:$AD$29,$C$26:$AD$26,AG$26,TRUE)</f>
        <v>488976.81247086625</v>
      </c>
      <c r="AH29" s="23">
        <f t="shared" si="6"/>
        <v>494588.44935570506</v>
      </c>
      <c r="AI29" s="23">
        <f t="shared" si="6"/>
        <v>500131.75130277505</v>
      </c>
      <c r="AJ29" s="23">
        <f t="shared" si="6"/>
        <v>505690.39255744615</v>
      </c>
      <c r="AK29" s="23">
        <f t="shared" si="6"/>
        <v>511190.20701907453</v>
      </c>
      <c r="AL29" s="23">
        <f t="shared" si="6"/>
        <v>516758.25457424356</v>
      </c>
      <c r="AM29" s="23">
        <f t="shared" si="6"/>
        <v>522963.7802838005</v>
      </c>
      <c r="AN29" s="23">
        <f t="shared" si="6"/>
        <v>529151.21428020403</v>
      </c>
      <c r="AO29" s="23">
        <f t="shared" si="6"/>
        <v>535431.00793463318</v>
      </c>
      <c r="AP29" s="23">
        <f t="shared" si="6"/>
        <v>541779.38192549814</v>
      </c>
      <c r="AQ29" s="23">
        <f t="shared" si="6"/>
        <v>548202.59575574775</v>
      </c>
      <c r="AR29" s="23">
        <f t="shared" si="6"/>
        <v>554921.75889142149</v>
      </c>
      <c r="AS29" s="23">
        <f t="shared" si="6"/>
        <v>561517.88368183037</v>
      </c>
      <c r="AT29" s="23">
        <f t="shared" si="6"/>
        <v>568391.52100916998</v>
      </c>
      <c r="AU29" s="23">
        <f t="shared" si="6"/>
        <v>575459.16368502309</v>
      </c>
      <c r="AV29" s="23">
        <f t="shared" si="6"/>
        <v>582731.31218249281</v>
      </c>
      <c r="AW29" s="23">
        <f t="shared" si="6"/>
        <v>590258.02565240208</v>
      </c>
      <c r="AX29" s="23">
        <f t="shared" si="6"/>
        <v>597925.4042811892</v>
      </c>
      <c r="AY29" s="23">
        <f t="shared" si="6"/>
        <v>605645.03937256814</v>
      </c>
      <c r="AZ29" s="23">
        <f t="shared" si="6"/>
        <v>613506.66628121899</v>
      </c>
      <c r="BA29" s="23">
        <f t="shared" si="6"/>
        <v>621589.74171283445</v>
      </c>
      <c r="BB29" s="23">
        <f t="shared" si="6"/>
        <v>630432.05724263086</v>
      </c>
      <c r="BC29" s="23">
        <f t="shared" si="6"/>
        <v>639444.37160838046</v>
      </c>
      <c r="BD29" s="23">
        <f t="shared" si="6"/>
        <v>648616.99408413528</v>
      </c>
      <c r="BE29" s="23">
        <f t="shared" si="6"/>
        <v>657973.844934533</v>
      </c>
      <c r="BF29" s="23">
        <f t="shared" si="6"/>
        <v>667609.76202715235</v>
      </c>
      <c r="BG29" s="23">
        <f t="shared" si="6"/>
        <v>677311.2865255269</v>
      </c>
      <c r="BH29" s="23">
        <f t="shared" si="6"/>
        <v>687253.42976428196</v>
      </c>
      <c r="BI29" s="23">
        <f t="shared" si="6"/>
        <v>697255.91186319699</v>
      </c>
      <c r="BJ29" s="23">
        <f t="shared" si="6"/>
        <v>707520.82035224291</v>
      </c>
      <c r="BK29" s="23">
        <f t="shared" si="6"/>
        <v>718070.05442390987</v>
      </c>
    </row>
    <row r="30" spans="1:63" x14ac:dyDescent="0.25">
      <c r="A30" t="s">
        <v>374</v>
      </c>
      <c r="B30" t="s">
        <v>327</v>
      </c>
      <c r="C30" s="22">
        <v>605000</v>
      </c>
      <c r="D30" s="22">
        <v>593000</v>
      </c>
      <c r="E30" s="22">
        <v>571000</v>
      </c>
      <c r="F30" s="22">
        <v>580000</v>
      </c>
      <c r="G30" s="22">
        <v>609000</v>
      </c>
      <c r="H30" s="22">
        <v>662000</v>
      </c>
      <c r="I30" s="22">
        <v>738000</v>
      </c>
      <c r="J30" s="22">
        <v>826000</v>
      </c>
      <c r="K30" s="22">
        <v>854000</v>
      </c>
      <c r="L30" s="22">
        <v>874000</v>
      </c>
      <c r="M30" s="22">
        <v>927000</v>
      </c>
      <c r="N30" s="22">
        <v>938000</v>
      </c>
      <c r="O30" s="22">
        <v>965000</v>
      </c>
      <c r="P30" s="22">
        <v>1032000</v>
      </c>
      <c r="Q30" s="22">
        <v>1196000</v>
      </c>
      <c r="R30" s="22">
        <v>1455000</v>
      </c>
      <c r="S30" s="22">
        <v>1664000</v>
      </c>
      <c r="T30" s="22">
        <v>1767000</v>
      </c>
      <c r="U30" s="22">
        <v>1813000</v>
      </c>
      <c r="V30" s="22">
        <v>1841000</v>
      </c>
      <c r="W30" s="22">
        <v>1887000</v>
      </c>
      <c r="X30" s="22">
        <v>1987000</v>
      </c>
      <c r="Y30" s="22">
        <v>2048000</v>
      </c>
      <c r="Z30" s="22">
        <v>2061000</v>
      </c>
      <c r="AA30" s="22">
        <v>2015000</v>
      </c>
      <c r="AB30" s="22">
        <v>2076000</v>
      </c>
      <c r="AC30" s="22">
        <v>2200000</v>
      </c>
      <c r="AD30" s="22">
        <v>2155000</v>
      </c>
      <c r="AE30" s="23">
        <f>TREND($C$30:$AD$30,Drivers!$D$4:$AE$4,Drivers!AF$4,TRUE)</f>
        <v>2275516.5831531473</v>
      </c>
      <c r="AF30" s="23">
        <f>TREND($C$30:$AD$30,Drivers!$D$4:$AE$4,Drivers!AG$4,TRUE)</f>
        <v>2331144.5987771759</v>
      </c>
      <c r="AG30" s="23">
        <f>TREND($C$30:$AD$30,Drivers!$D$4:$AE$4,Drivers!AH$4,TRUE)</f>
        <v>2386772.6144012045</v>
      </c>
      <c r="AH30" s="23">
        <f>TREND($C$30:$AD$30,Drivers!$D$4:$AE$4,Drivers!AI$4,TRUE)</f>
        <v>2443157.6105773132</v>
      </c>
      <c r="AI30" s="23">
        <f>TREND($C$30:$AD$30,Drivers!$D$4:$AE$4,Drivers!AJ$4,TRUE)</f>
        <v>2499542.6057126448</v>
      </c>
      <c r="AJ30" s="23">
        <f>TREND($C$30:$AD$30,Drivers!$D$4:$AE$4,Drivers!AK$4,TRUE)</f>
        <v>2555927.6008479754</v>
      </c>
      <c r="AK30" s="23">
        <f>TREND($C$30:$AD$30,Drivers!$D$4:$AE$4,Drivers!AL$4,TRUE)</f>
        <v>2612312.5959833059</v>
      </c>
      <c r="AL30" s="23">
        <f>TREND($C$30:$AD$30,Drivers!$D$4:$AE$4,Drivers!AM$4,TRUE)</f>
        <v>2668697.5921594137</v>
      </c>
      <c r="AM30" s="23">
        <f>TREND($C$30:$AD$30,Drivers!$D$4:$AE$4,Drivers!AN$4,TRUE)</f>
        <v>2729784.6858519502</v>
      </c>
      <c r="AN30" s="23">
        <f>TREND($C$30:$AD$30,Drivers!$D$4:$AE$4,Drivers!AO$4,TRUE)</f>
        <v>2790871.7795444848</v>
      </c>
      <c r="AO30" s="23">
        <f>TREND($C$30:$AD$30,Drivers!$D$4:$AE$4,Drivers!AP$4,TRUE)</f>
        <v>2851958.8732370203</v>
      </c>
      <c r="AP30" s="23">
        <f>TREND($C$30:$AD$30,Drivers!$D$4:$AE$4,Drivers!AQ$4,TRUE)</f>
        <v>2913045.9669295549</v>
      </c>
      <c r="AQ30" s="23">
        <f>TREND($C$30:$AD$30,Drivers!$D$4:$AE$4,Drivers!AR$4,TRUE)</f>
        <v>2974133.0606220914</v>
      </c>
      <c r="AR30" s="23">
        <f>TREND($C$30:$AD$30,Drivers!$D$4:$AE$4,Drivers!AS$4,TRUE)</f>
        <v>3033146.2391712284</v>
      </c>
      <c r="AS30" s="23">
        <f>TREND($C$30:$AD$30,Drivers!$D$4:$AE$4,Drivers!AT$4,TRUE)</f>
        <v>3092159.4166795881</v>
      </c>
      <c r="AT30" s="23">
        <f>TREND($C$30:$AD$30,Drivers!$D$4:$AE$4,Drivers!AU$4,TRUE)</f>
        <v>3151172.595228727</v>
      </c>
      <c r="AU30" s="23">
        <f>TREND($C$30:$AD$30,Drivers!$D$4:$AE$4,Drivers!AV$4,TRUE)</f>
        <v>3210185.7727370877</v>
      </c>
      <c r="AV30" s="23">
        <f>TREND($C$30:$AD$30,Drivers!$D$4:$AE$4,Drivers!AW$4,TRUE)</f>
        <v>3269198.9502454475</v>
      </c>
      <c r="AW30" s="23">
        <f>TREND($C$30:$AD$30,Drivers!$D$4:$AE$4,Drivers!AX$4,TRUE)</f>
        <v>3330532.2128536766</v>
      </c>
      <c r="AX30" s="23">
        <f>TREND($C$30:$AD$30,Drivers!$D$4:$AE$4,Drivers!AY$4,TRUE)</f>
        <v>3391865.4754619049</v>
      </c>
      <c r="AY30" s="23">
        <f>TREND($C$30:$AD$30,Drivers!$D$4:$AE$4,Drivers!AZ$4,TRUE)</f>
        <v>3453198.737029356</v>
      </c>
      <c r="AZ30" s="23">
        <f>TREND($C$30:$AD$30,Drivers!$D$4:$AE$4,Drivers!BA$4,TRUE)</f>
        <v>3514531.9996375842</v>
      </c>
      <c r="BA30" s="23">
        <f>TREND($C$30:$AD$30,Drivers!$D$4:$AE$4,Drivers!BB$4,TRUE)</f>
        <v>3575865.2622458125</v>
      </c>
      <c r="BB30" s="23">
        <f>TREND($C$30:$AD$30,Drivers!$D$4:$AE$4,Drivers!BC$4,TRUE)</f>
        <v>3645878.9203701494</v>
      </c>
      <c r="BC30" s="23">
        <f>TREND($C$30:$AD$30,Drivers!$D$4:$AE$4,Drivers!BD$4,TRUE)</f>
        <v>3715892.5774537073</v>
      </c>
      <c r="BD30" s="23">
        <f>TREND($C$30:$AD$30,Drivers!$D$4:$AE$4,Drivers!BE$4,TRUE)</f>
        <v>3785906.2355780443</v>
      </c>
      <c r="BE30" s="23">
        <f>TREND($C$30:$AD$30,Drivers!$D$4:$AE$4,Drivers!BF$4,TRUE)</f>
        <v>3855919.8937023804</v>
      </c>
      <c r="BF30" s="23">
        <f>TREND($C$30:$AD$30,Drivers!$D$4:$AE$4,Drivers!BG$4,TRUE)</f>
        <v>3925933.5518267155</v>
      </c>
      <c r="BG30" s="23">
        <f>TREND($C$30:$AD$30,Drivers!$D$4:$AE$4,Drivers!BH$4,TRUE)</f>
        <v>3993476.1371419569</v>
      </c>
      <c r="BH30" s="23">
        <f>TREND($C$30:$AD$30,Drivers!$D$4:$AE$4,Drivers!BI$4,TRUE)</f>
        <v>4061018.7224571956</v>
      </c>
      <c r="BI30" s="23">
        <f>TREND($C$30:$AD$30,Drivers!$D$4:$AE$4,Drivers!BJ$4,TRUE)</f>
        <v>4128561.3088132134</v>
      </c>
      <c r="BJ30" s="23">
        <f>TREND($C$30:$AD$30,Drivers!$D$4:$AE$4,Drivers!BK$4,TRUE)</f>
        <v>4196103.8941284521</v>
      </c>
      <c r="BK30" s="23">
        <f>TREND($C$30:$AD$30,Drivers!$D$4:$AE$4,Drivers!BL$4,TRUE)</f>
        <v>4263646.4794436917</v>
      </c>
    </row>
    <row r="31" spans="1:63" x14ac:dyDescent="0.25">
      <c r="A31" t="s">
        <v>374</v>
      </c>
      <c r="B31" t="s">
        <v>747</v>
      </c>
      <c r="C31" s="54">
        <f>C30*ttokg/Drivers!D4</f>
        <v>16.439990001225254</v>
      </c>
      <c r="D31" s="54">
        <f>D30*ttokg/Drivers!E4</f>
        <v>15.721540498873908</v>
      </c>
      <c r="E31" s="54">
        <f>E30*ttokg/Drivers!F4</f>
        <v>14.764973046683922</v>
      </c>
      <c r="F31" s="54">
        <f>F30*ttokg/Drivers!G4</f>
        <v>14.633992493771091</v>
      </c>
      <c r="G31" s="54">
        <f>G30*ttokg/Drivers!H4</f>
        <v>15.013290459911815</v>
      </c>
      <c r="H31" s="54">
        <f>H30*ttokg/Drivers!I4</f>
        <v>15.976538911150124</v>
      </c>
      <c r="I31" s="54">
        <f>I30*ttokg/Drivers!J4</f>
        <v>17.471172742527397</v>
      </c>
      <c r="J31" s="54">
        <f>J30*ttokg/Drivers!K4</f>
        <v>19.214905481391423</v>
      </c>
      <c r="K31" s="54">
        <f>K30*ttokg/Drivers!L4</f>
        <v>19.550270521717511</v>
      </c>
      <c r="L31" s="54">
        <f>L30*ttokg/Drivers!M4</f>
        <v>19.71196933557334</v>
      </c>
      <c r="M31" s="54">
        <f>M30*ttokg/Drivers!N4</f>
        <v>20.614793175582797</v>
      </c>
      <c r="N31" s="54">
        <f>N30*ttokg/Drivers!O4</f>
        <v>20.583141915233707</v>
      </c>
      <c r="O31" s="54">
        <f>O30*ttokg/Drivers!P4</f>
        <v>20.909662177214134</v>
      </c>
      <c r="P31" s="54">
        <f>P30*ttokg/Drivers!Q4</f>
        <v>22.089421230622204</v>
      </c>
      <c r="Q31" s="54">
        <f>Q30*ttokg/Drivers!R4</f>
        <v>25.289898144723768</v>
      </c>
      <c r="R31" s="54">
        <f>R30*ttokg/Drivers!S4</f>
        <v>30.388089740143403</v>
      </c>
      <c r="S31" s="54">
        <f>S30*ttokg/Drivers!T4</f>
        <v>34.316736757157884</v>
      </c>
      <c r="T31" s="54">
        <f>T30*ttokg/Drivers!U4</f>
        <v>35.973303533512855</v>
      </c>
      <c r="U31" s="54">
        <f>U30*ttokg/Drivers!V4</f>
        <v>36.420636129299162</v>
      </c>
      <c r="V31" s="54">
        <f>V30*ttokg/Drivers!W4</f>
        <v>36.472048632198131</v>
      </c>
      <c r="W31" s="54">
        <f>W30*ttokg/Drivers!X4</f>
        <v>36.843261541234661</v>
      </c>
      <c r="X31" s="54">
        <f>X30*ttokg/Drivers!Y4</f>
        <v>38.208472966361235</v>
      </c>
      <c r="Y31" s="54">
        <f>Y30*ttokg/Drivers!Z4</f>
        <v>38.61790949486744</v>
      </c>
      <c r="Z31" s="54">
        <f>Z30*ttokg/Drivers!AA4</f>
        <v>38.513280783951352</v>
      </c>
      <c r="AA31" s="54">
        <f>AA30*ttokg/Drivers!AB4</f>
        <v>37.314814814814817</v>
      </c>
      <c r="AB31" s="54">
        <f>AB30*ttokg/Drivers!AC4</f>
        <v>38.098449844546948</v>
      </c>
      <c r="AC31" s="54">
        <f>AC30*ttokg/Drivers!AD4</f>
        <v>39.981905599796384</v>
      </c>
      <c r="AD31" s="54">
        <f>AD30*ttokg/Drivers!AE4</f>
        <v>38.787332588931889</v>
      </c>
      <c r="AE31" s="54">
        <f>AE30*ttokg/Drivers!AF4</f>
        <v>40.566231942052006</v>
      </c>
      <c r="AF31" s="54">
        <f>AF30*ttokg/Drivers!AG4</f>
        <v>41.165683859059058</v>
      </c>
      <c r="AG31" s="54">
        <f>AG30*ttokg/Drivers!AH4</f>
        <v>41.75392576121758</v>
      </c>
      <c r="AH31" s="54">
        <f>AH30*ttokg/Drivers!AI4</f>
        <v>42.339051856355191</v>
      </c>
      <c r="AI31" s="54">
        <f>AI30*ttokg/Drivers!AJ4</f>
        <v>42.913293244576266</v>
      </c>
      <c r="AJ31" s="54">
        <f>AJ30*ttokg/Drivers!AK4</f>
        <v>43.476950858575734</v>
      </c>
      <c r="AK31" s="54">
        <f>AK30*ttokg/Drivers!AL4</f>
        <v>44.03031462892757</v>
      </c>
      <c r="AL31" s="54">
        <f>AL30*ttokg/Drivers!AM4</f>
        <v>44.573664002205575</v>
      </c>
      <c r="AM31" s="54">
        <f>AM30*ttokg/Drivers!AN4</f>
        <v>45.151335098064372</v>
      </c>
      <c r="AN31" s="54">
        <f>AN30*ttokg/Drivers!AO4</f>
        <v>45.717897871721235</v>
      </c>
      <c r="AO31" s="54">
        <f>AO30*ttokg/Drivers!AP4</f>
        <v>46.273669682945865</v>
      </c>
      <c r="AP31" s="54">
        <f>AP30*ttokg/Drivers!AQ4</f>
        <v>46.818955916447393</v>
      </c>
      <c r="AQ31" s="54">
        <f>AQ30*ttokg/Drivers!AR4</f>
        <v>47.354050541420705</v>
      </c>
      <c r="AR31" s="54">
        <f>AR30*ttokg/Drivers!AS4</f>
        <v>47.861566029371936</v>
      </c>
      <c r="AS31" s="54">
        <f>AS30*ttokg/Drivers!AT4</f>
        <v>48.360080411573222</v>
      </c>
      <c r="AT31" s="54">
        <f>AT30*ttokg/Drivers!AU4</f>
        <v>48.849831060713385</v>
      </c>
      <c r="AU31" s="54">
        <f>AU30*ttokg/Drivers!AV4</f>
        <v>49.331047042060561</v>
      </c>
      <c r="AV31" s="54">
        <f>AV30*ttokg/Drivers!AW4</f>
        <v>49.803949531604111</v>
      </c>
      <c r="AW31" s="54">
        <f>AW30*ttokg/Drivers!AX4</f>
        <v>50.286863099276005</v>
      </c>
      <c r="AX31" s="54">
        <f>AX30*ttokg/Drivers!AY4</f>
        <v>50.761258792455259</v>
      </c>
      <c r="AY31" s="54">
        <f>AY30*ttokg/Drivers!AZ4</f>
        <v>51.227359997022994</v>
      </c>
      <c r="AZ31" s="54">
        <f>AZ30*ttokg/Drivers!BA4</f>
        <v>51.685382378446562</v>
      </c>
      <c r="BA31" s="54">
        <f>BA30*ttokg/Drivers!BB4</f>
        <v>52.135534167011357</v>
      </c>
      <c r="BB31" s="54">
        <f>BB30*ttokg/Drivers!BC4</f>
        <v>52.640032056617059</v>
      </c>
      <c r="BC31" s="54">
        <f>BC30*ttokg/Drivers!BD4</f>
        <v>53.134824163953759</v>
      </c>
      <c r="BD31" s="54">
        <f>BD30*ttokg/Drivers!BE4</f>
        <v>53.620187921784016</v>
      </c>
      <c r="BE31" s="54">
        <f>BE30*ttokg/Drivers!BF4</f>
        <v>54.096390268009912</v>
      </c>
      <c r="BF31" s="54">
        <f>BF30*ttokg/Drivers!BG4</f>
        <v>54.563688164804134</v>
      </c>
      <c r="BG31" s="54">
        <f>BG30*ttokg/Drivers!BH4</f>
        <v>55.006286407513954</v>
      </c>
      <c r="BH31" s="54">
        <f>BH30*ttokg/Drivers!BI4</f>
        <v>55.441042128024804</v>
      </c>
      <c r="BI31" s="54">
        <f>BI30*ttokg/Drivers!BJ4</f>
        <v>55.868161948094247</v>
      </c>
      <c r="BJ31" s="54">
        <f>BJ30*ttokg/Drivers!BK4</f>
        <v>56.287845275133265</v>
      </c>
      <c r="BK31" s="54">
        <f>BK30*ttokg/Drivers!BL4</f>
        <v>56.700284652150067</v>
      </c>
    </row>
    <row r="32" spans="1:63" x14ac:dyDescent="0.25">
      <c r="A32" t="s">
        <v>374</v>
      </c>
      <c r="B32" t="s">
        <v>328</v>
      </c>
      <c r="C32" s="54">
        <f>C30/Drivers!D4</f>
        <v>1.6439990001225254E-2</v>
      </c>
      <c r="D32" s="54">
        <f>D30/Drivers!E4</f>
        <v>1.5721540498873907E-2</v>
      </c>
      <c r="E32" s="54">
        <f>E30/Drivers!F4</f>
        <v>1.4764973046683923E-2</v>
      </c>
      <c r="F32" s="54">
        <f>F30/Drivers!G4</f>
        <v>1.4633992493771092E-2</v>
      </c>
      <c r="G32" s="54">
        <f>G30/Drivers!H4</f>
        <v>1.5013290459911816E-2</v>
      </c>
      <c r="H32" s="54">
        <f>H30/Drivers!I4</f>
        <v>1.5976538911150123E-2</v>
      </c>
      <c r="I32" s="54">
        <f>I30/Drivers!J4</f>
        <v>1.7471172742527397E-2</v>
      </c>
      <c r="J32" s="54">
        <f>J30/Drivers!K4</f>
        <v>1.9214905481391424E-2</v>
      </c>
      <c r="K32" s="54">
        <f>K30/Drivers!L4</f>
        <v>1.9550270521717511E-2</v>
      </c>
      <c r="L32" s="54">
        <f>L30/Drivers!M4</f>
        <v>1.9711969335573339E-2</v>
      </c>
      <c r="M32" s="54">
        <f>M30/Drivers!N4</f>
        <v>2.0614793175582798E-2</v>
      </c>
      <c r="N32" s="54">
        <f>N30/Drivers!O4</f>
        <v>2.0583141915233708E-2</v>
      </c>
      <c r="O32" s="54">
        <f>O30/Drivers!P4</f>
        <v>2.0909662177214131E-2</v>
      </c>
      <c r="P32" s="54">
        <f>P30/Drivers!Q4</f>
        <v>2.2089421230622203E-2</v>
      </c>
      <c r="Q32" s="54">
        <f>Q30/Drivers!R4</f>
        <v>2.5289898144723769E-2</v>
      </c>
      <c r="R32" s="54">
        <f>R30/Drivers!S4</f>
        <v>3.0388089740143405E-2</v>
      </c>
      <c r="S32" s="54">
        <f>S30/Drivers!T4</f>
        <v>3.4316736757157879E-2</v>
      </c>
      <c r="T32" s="54">
        <f>T30/Drivers!U4</f>
        <v>3.5973303533512857E-2</v>
      </c>
      <c r="U32" s="54">
        <f>U30/Drivers!V4</f>
        <v>3.6420636129299161E-2</v>
      </c>
      <c r="V32" s="54">
        <f>V30/Drivers!W4</f>
        <v>3.6472048632198134E-2</v>
      </c>
      <c r="W32" s="54">
        <f>W30/Drivers!X4</f>
        <v>3.6843261541234656E-2</v>
      </c>
      <c r="X32" s="54">
        <f>X30/Drivers!Y4</f>
        <v>3.8208472966361234E-2</v>
      </c>
      <c r="Y32" s="54">
        <f>Y30/Drivers!Z4</f>
        <v>3.8617909494867438E-2</v>
      </c>
      <c r="Z32" s="54">
        <f>Z30/Drivers!AA4</f>
        <v>3.8513280783951352E-2</v>
      </c>
      <c r="AA32" s="54">
        <f>AA30/Drivers!AB4</f>
        <v>3.7314814814814815E-2</v>
      </c>
      <c r="AB32" s="54">
        <f>AB30/Drivers!AC4</f>
        <v>3.8098449844546946E-2</v>
      </c>
      <c r="AC32" s="54">
        <f>AC30/Drivers!AD4</f>
        <v>3.9981905599796384E-2</v>
      </c>
      <c r="AD32" s="54">
        <f>AD30/Drivers!AE4</f>
        <v>3.878733258893189E-2</v>
      </c>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row>
    <row r="33" spans="1:63" x14ac:dyDescent="0.25">
      <c r="A33" t="s">
        <v>375</v>
      </c>
      <c r="B33" t="s">
        <v>327</v>
      </c>
      <c r="C33" s="22">
        <v>609000</v>
      </c>
      <c r="D33" s="22">
        <v>593000</v>
      </c>
      <c r="E33" s="22">
        <v>564000</v>
      </c>
      <c r="F33" s="22">
        <v>577000</v>
      </c>
      <c r="G33" s="22">
        <v>607000</v>
      </c>
      <c r="H33" s="22">
        <v>647000</v>
      </c>
      <c r="I33" s="22">
        <v>699000</v>
      </c>
      <c r="J33" s="22">
        <v>753000</v>
      </c>
      <c r="K33" s="22">
        <v>777000</v>
      </c>
      <c r="L33" s="22">
        <v>803000</v>
      </c>
      <c r="M33" s="22">
        <v>850000</v>
      </c>
      <c r="N33" s="22">
        <v>869000</v>
      </c>
      <c r="O33" s="22">
        <v>896000</v>
      </c>
      <c r="P33" s="22">
        <v>925000</v>
      </c>
      <c r="Q33" s="22">
        <v>1043000</v>
      </c>
      <c r="R33" s="22">
        <v>1273000</v>
      </c>
      <c r="S33" s="22">
        <v>1427000</v>
      </c>
      <c r="T33" s="22">
        <v>1499000</v>
      </c>
      <c r="U33" s="22">
        <v>1584000</v>
      </c>
      <c r="V33" s="22">
        <v>1644000</v>
      </c>
      <c r="W33" s="22">
        <v>1681000</v>
      </c>
      <c r="X33" s="22">
        <v>1721000</v>
      </c>
      <c r="Y33" s="22">
        <v>1681000</v>
      </c>
      <c r="Z33" s="22">
        <v>1691000</v>
      </c>
      <c r="AA33" s="22">
        <v>1668000</v>
      </c>
      <c r="AB33" s="22">
        <v>1709000</v>
      </c>
      <c r="AC33" s="22">
        <v>1704000</v>
      </c>
      <c r="AD33" s="22">
        <v>1663000</v>
      </c>
      <c r="AE33" s="23">
        <f>TREND($C$33:$AD$33,$C$30:$AD$30,AE$30,TRUE)</f>
        <v>1873913.0791943548</v>
      </c>
      <c r="AF33" s="23">
        <f t="shared" ref="AF33:BK33" si="7">TREND($C$33:$AD$33,$C$30:$AD$30,AF$30,TRUE)</f>
        <v>1916113.9440254527</v>
      </c>
      <c r="AG33" s="23">
        <f t="shared" si="7"/>
        <v>1958314.8088565508</v>
      </c>
      <c r="AH33" s="23">
        <f t="shared" si="7"/>
        <v>2001089.9388955617</v>
      </c>
      <c r="AI33" s="23">
        <f t="shared" si="7"/>
        <v>2043865.0681450118</v>
      </c>
      <c r="AJ33" s="23">
        <f t="shared" si="7"/>
        <v>2086640.1973944611</v>
      </c>
      <c r="AK33" s="23">
        <f t="shared" si="7"/>
        <v>2129415.3266439103</v>
      </c>
      <c r="AL33" s="23">
        <f t="shared" si="7"/>
        <v>2172190.4566829205</v>
      </c>
      <c r="AM33" s="23">
        <f t="shared" si="7"/>
        <v>2218532.7206469402</v>
      </c>
      <c r="AN33" s="23">
        <f t="shared" si="7"/>
        <v>2264874.984610959</v>
      </c>
      <c r="AO33" s="23">
        <f t="shared" si="7"/>
        <v>2311217.2485749777</v>
      </c>
      <c r="AP33" s="23">
        <f t="shared" si="7"/>
        <v>2357559.5125389965</v>
      </c>
      <c r="AQ33" s="23">
        <f t="shared" si="7"/>
        <v>2403901.7765030162</v>
      </c>
      <c r="AR33" s="23">
        <f t="shared" si="7"/>
        <v>2448670.7142993496</v>
      </c>
      <c r="AS33" s="23">
        <f t="shared" si="7"/>
        <v>2493439.6513061221</v>
      </c>
      <c r="AT33" s="23">
        <f t="shared" si="7"/>
        <v>2538208.5891024563</v>
      </c>
      <c r="AU33" s="23">
        <f t="shared" si="7"/>
        <v>2582977.5261092298</v>
      </c>
      <c r="AV33" s="23">
        <f t="shared" si="7"/>
        <v>2627746.4631160018</v>
      </c>
      <c r="AW33" s="23">
        <f t="shared" si="7"/>
        <v>2674275.4772457476</v>
      </c>
      <c r="AX33" s="23">
        <f t="shared" si="7"/>
        <v>2720804.491375492</v>
      </c>
      <c r="AY33" s="23">
        <f t="shared" si="7"/>
        <v>2767333.504715676</v>
      </c>
      <c r="AZ33" s="23">
        <f t="shared" si="7"/>
        <v>2813862.5188454203</v>
      </c>
      <c r="BA33" s="23">
        <f t="shared" si="7"/>
        <v>2860391.5329751652</v>
      </c>
      <c r="BB33" s="23">
        <f t="shared" si="7"/>
        <v>2913505.7217466156</v>
      </c>
      <c r="BC33" s="23">
        <f t="shared" si="7"/>
        <v>2966619.9097285043</v>
      </c>
      <c r="BD33" s="23">
        <f t="shared" si="7"/>
        <v>3019734.0984999547</v>
      </c>
      <c r="BE33" s="23">
        <f t="shared" si="7"/>
        <v>3072848.2872714046</v>
      </c>
      <c r="BF33" s="23">
        <f t="shared" si="7"/>
        <v>3125962.4760428537</v>
      </c>
      <c r="BG33" s="23">
        <f t="shared" si="7"/>
        <v>3177202.0444735531</v>
      </c>
      <c r="BH33" s="23">
        <f t="shared" si="7"/>
        <v>3228441.6129042502</v>
      </c>
      <c r="BI33" s="23">
        <f t="shared" si="7"/>
        <v>3279681.182124509</v>
      </c>
      <c r="BJ33" s="23">
        <f t="shared" si="7"/>
        <v>3330920.7505552061</v>
      </c>
      <c r="BK33" s="23">
        <f t="shared" si="7"/>
        <v>3382160.3189859041</v>
      </c>
    </row>
    <row r="34" spans="1:63" x14ac:dyDescent="0.25">
      <c r="A34" t="s">
        <v>394</v>
      </c>
      <c r="B34" t="s">
        <v>327</v>
      </c>
      <c r="C34" s="22">
        <v>6425000</v>
      </c>
      <c r="D34" s="22">
        <v>6769000</v>
      </c>
      <c r="E34" s="22">
        <v>7022000</v>
      </c>
      <c r="F34" s="22">
        <v>6828000</v>
      </c>
      <c r="G34" s="22">
        <v>6773000</v>
      </c>
      <c r="H34" s="22">
        <v>6417000</v>
      </c>
      <c r="I34" s="22">
        <v>6842000</v>
      </c>
      <c r="J34" s="22">
        <v>6738000</v>
      </c>
      <c r="K34" s="22">
        <v>6383000</v>
      </c>
      <c r="L34" s="22">
        <v>6341000</v>
      </c>
      <c r="M34" s="22">
        <v>6362000</v>
      </c>
      <c r="N34" s="22">
        <v>6852000</v>
      </c>
      <c r="O34" s="22">
        <v>7151000</v>
      </c>
      <c r="P34" s="22">
        <v>6983000</v>
      </c>
      <c r="Q34" s="22">
        <v>7243000</v>
      </c>
      <c r="R34" s="22">
        <v>7283000</v>
      </c>
      <c r="S34" s="22">
        <v>7462000</v>
      </c>
      <c r="T34" s="22">
        <v>7660000</v>
      </c>
      <c r="U34" s="22">
        <v>8029000</v>
      </c>
      <c r="V34" s="22">
        <v>8613000</v>
      </c>
      <c r="W34" s="22">
        <v>8658000</v>
      </c>
      <c r="X34" s="22">
        <v>8857000</v>
      </c>
      <c r="Y34" s="22">
        <v>8941000</v>
      </c>
      <c r="Z34" s="22">
        <v>8935000</v>
      </c>
      <c r="AA34" s="22">
        <v>9349000</v>
      </c>
      <c r="AB34" s="22">
        <v>9927000</v>
      </c>
      <c r="AC34" s="22">
        <v>10249000</v>
      </c>
      <c r="AD34" s="22">
        <v>9813000</v>
      </c>
      <c r="AE34" s="23">
        <f>TREND($C$34:$AD$34,$C$36:$AD$36,AE$36,TRUE)</f>
        <v>9392016.9302782714</v>
      </c>
      <c r="AF34" s="23">
        <f t="shared" ref="AF34:BK34" si="8">TREND($C$34:$AD$34,$C$36:$AD$36,AF$36,TRUE)</f>
        <v>9491888.9876444433</v>
      </c>
      <c r="AG34" s="23">
        <f t="shared" si="8"/>
        <v>9591761.0450106151</v>
      </c>
      <c r="AH34" s="23">
        <f t="shared" si="8"/>
        <v>9692992.1514867414</v>
      </c>
      <c r="AI34" s="23">
        <f t="shared" si="8"/>
        <v>9794223.2560942993</v>
      </c>
      <c r="AJ34" s="23">
        <f t="shared" si="8"/>
        <v>9895454.3607018609</v>
      </c>
      <c r="AK34" s="23">
        <f t="shared" si="8"/>
        <v>9996685.4653094187</v>
      </c>
      <c r="AL34" s="23">
        <f t="shared" si="8"/>
        <v>10097916.571785543</v>
      </c>
      <c r="AM34" s="23">
        <f t="shared" si="8"/>
        <v>10207589.614355091</v>
      </c>
      <c r="AN34" s="23">
        <f t="shared" si="8"/>
        <v>10317262.656924639</v>
      </c>
      <c r="AO34" s="23">
        <f t="shared" si="8"/>
        <v>10426935.699494183</v>
      </c>
      <c r="AP34" s="23">
        <f t="shared" si="8"/>
        <v>10536608.742063731</v>
      </c>
      <c r="AQ34" s="23">
        <f t="shared" si="8"/>
        <v>10646281.784633279</v>
      </c>
      <c r="AR34" s="23">
        <f t="shared" si="8"/>
        <v>10752231.412483633</v>
      </c>
      <c r="AS34" s="23">
        <f t="shared" si="8"/>
        <v>10858181.038465422</v>
      </c>
      <c r="AT34" s="23">
        <f t="shared" si="8"/>
        <v>10964130.666315775</v>
      </c>
      <c r="AU34" s="23">
        <f t="shared" si="8"/>
        <v>11070080.292297568</v>
      </c>
      <c r="AV34" s="23">
        <f t="shared" si="8"/>
        <v>11176029.918279357</v>
      </c>
      <c r="AW34" s="23">
        <f t="shared" si="8"/>
        <v>11286144.921537131</v>
      </c>
      <c r="AX34" s="23">
        <f t="shared" si="8"/>
        <v>11396259.924794905</v>
      </c>
      <c r="AY34" s="23">
        <f t="shared" si="8"/>
        <v>11506374.926184114</v>
      </c>
      <c r="AZ34" s="23">
        <f t="shared" si="8"/>
        <v>11616489.929441888</v>
      </c>
      <c r="BA34" s="23">
        <f t="shared" si="8"/>
        <v>11726604.932699658</v>
      </c>
      <c r="BB34" s="23">
        <f t="shared" si="8"/>
        <v>11852304.330784764</v>
      </c>
      <c r="BC34" s="23">
        <f t="shared" si="8"/>
        <v>11978003.727001302</v>
      </c>
      <c r="BD34" s="23">
        <f t="shared" si="8"/>
        <v>12103703.125086408</v>
      </c>
      <c r="BE34" s="23">
        <f t="shared" si="8"/>
        <v>12229402.523171511</v>
      </c>
      <c r="BF34" s="23">
        <f t="shared" si="8"/>
        <v>12355101.921256609</v>
      </c>
      <c r="BG34" s="23">
        <f t="shared" si="8"/>
        <v>12476364.865469016</v>
      </c>
      <c r="BH34" s="23">
        <f t="shared" si="8"/>
        <v>12597627.809681412</v>
      </c>
      <c r="BI34" s="23">
        <f t="shared" si="8"/>
        <v>12718890.75576238</v>
      </c>
      <c r="BJ34" s="23">
        <f t="shared" si="8"/>
        <v>12840153.699974775</v>
      </c>
      <c r="BK34" s="23">
        <f t="shared" si="8"/>
        <v>12961416.644187175</v>
      </c>
    </row>
    <row r="35" spans="1:63" x14ac:dyDescent="0.25">
      <c r="A35" t="s">
        <v>848</v>
      </c>
      <c r="B35" t="s">
        <v>327</v>
      </c>
      <c r="C35" s="22">
        <v>4072000</v>
      </c>
      <c r="D35" s="22">
        <v>4235000</v>
      </c>
      <c r="E35" s="22">
        <v>4455000</v>
      </c>
      <c r="F35" s="22">
        <v>4085000</v>
      </c>
      <c r="G35" s="22">
        <v>3855000</v>
      </c>
      <c r="H35" s="22">
        <v>3877000</v>
      </c>
      <c r="I35" s="22">
        <v>4035000</v>
      </c>
      <c r="J35" s="22">
        <v>3826000</v>
      </c>
      <c r="K35" s="22">
        <v>3001000</v>
      </c>
      <c r="L35" s="22">
        <v>2960000</v>
      </c>
      <c r="M35" s="22">
        <v>2936000</v>
      </c>
      <c r="N35" s="22">
        <v>3263000</v>
      </c>
      <c r="O35" s="22">
        <v>3274000</v>
      </c>
      <c r="P35" s="22">
        <v>3275000</v>
      </c>
      <c r="Q35" s="22">
        <v>3531000</v>
      </c>
      <c r="R35" s="22">
        <v>3543000</v>
      </c>
      <c r="S35" s="22">
        <v>3637000</v>
      </c>
      <c r="T35" s="22">
        <v>3844000</v>
      </c>
      <c r="U35" s="22">
        <v>4220000</v>
      </c>
      <c r="V35" s="22">
        <v>4089000</v>
      </c>
      <c r="W35" s="22">
        <v>4187000</v>
      </c>
      <c r="X35" s="22">
        <v>4344000</v>
      </c>
      <c r="Y35" s="22">
        <v>4429000</v>
      </c>
      <c r="Z35" s="22">
        <v>4436000</v>
      </c>
      <c r="AA35" s="22">
        <v>4767000</v>
      </c>
      <c r="AB35" s="22">
        <v>5087000</v>
      </c>
      <c r="AC35" s="22">
        <v>5551000</v>
      </c>
      <c r="AD35" s="22">
        <v>5004000</v>
      </c>
      <c r="AE35" s="23">
        <f>TREND($L$35:$AD$35,$L$37:$AD$37,AE$37,TRUE)</f>
        <v>5105233.0129935592</v>
      </c>
      <c r="AF35" s="23">
        <f t="shared" ref="AF35:BK35" si="9">TREND($L$35:$AD$35,$L$37:$AD$37,AF$37,TRUE)</f>
        <v>5231106.9854499185</v>
      </c>
      <c r="AG35" s="23">
        <f t="shared" si="9"/>
        <v>5302761.8263796354</v>
      </c>
      <c r="AH35" s="23">
        <f t="shared" si="9"/>
        <v>5404299.1625869451</v>
      </c>
      <c r="AI35" s="23">
        <f t="shared" si="9"/>
        <v>5505582.856972591</v>
      </c>
      <c r="AJ35" s="23">
        <f t="shared" si="9"/>
        <v>5606922.737007699</v>
      </c>
      <c r="AK35" s="23">
        <f t="shared" si="9"/>
        <v>5708044.2848755168</v>
      </c>
      <c r="AL35" s="23">
        <f t="shared" si="9"/>
        <v>5809417.834688249</v>
      </c>
      <c r="AM35" s="23">
        <f t="shared" si="9"/>
        <v>5919885.3240673458</v>
      </c>
      <c r="AN35" s="23">
        <f t="shared" si="9"/>
        <v>6030285.1075548837</v>
      </c>
      <c r="AO35" s="23">
        <f t="shared" si="9"/>
        <v>6141025.9050453426</v>
      </c>
      <c r="AP35" s="23">
        <f t="shared" si="9"/>
        <v>6252019.6702839909</v>
      </c>
      <c r="AQ35" s="23">
        <f t="shared" si="9"/>
        <v>6363289.5168747166</v>
      </c>
      <c r="AR35" s="23">
        <f t="shared" si="9"/>
        <v>6472682.4048892623</v>
      </c>
      <c r="AS35" s="23">
        <f t="shared" si="9"/>
        <v>6581619.1520102667</v>
      </c>
      <c r="AT35" s="23">
        <f t="shared" si="9"/>
        <v>6691581.3652463714</v>
      </c>
      <c r="AU35" s="23">
        <f t="shared" si="9"/>
        <v>6802259.9963874044</v>
      </c>
      <c r="AV35" s="23">
        <f t="shared" si="9"/>
        <v>6913693.7441537278</v>
      </c>
      <c r="AW35" s="23">
        <f t="shared" si="9"/>
        <v>7029391.2926901905</v>
      </c>
      <c r="AX35" s="23">
        <f t="shared" si="9"/>
        <v>7145607.6664463123</v>
      </c>
      <c r="AY35" s="23">
        <f t="shared" si="9"/>
        <v>7262015.9185043862</v>
      </c>
      <c r="AZ35" s="23">
        <f t="shared" si="9"/>
        <v>7378947.7884212611</v>
      </c>
      <c r="BA35" s="23">
        <f t="shared" si="9"/>
        <v>7496696.9201174611</v>
      </c>
      <c r="BB35" s="23">
        <f t="shared" si="9"/>
        <v>7629686.9848189177</v>
      </c>
      <c r="BC35" s="23">
        <f t="shared" si="9"/>
        <v>7763303.7798734428</v>
      </c>
      <c r="BD35" s="23">
        <f t="shared" si="9"/>
        <v>7897511.3937895531</v>
      </c>
      <c r="BE35" s="23">
        <f t="shared" si="9"/>
        <v>8032398.1347526191</v>
      </c>
      <c r="BF35" s="23">
        <f t="shared" si="9"/>
        <v>8168314.3463379713</v>
      </c>
      <c r="BG35" s="23">
        <f t="shared" si="9"/>
        <v>8300930.8066769624</v>
      </c>
      <c r="BH35" s="23">
        <f t="shared" si="9"/>
        <v>8434434.4062328748</v>
      </c>
      <c r="BI35" s="23">
        <f t="shared" si="9"/>
        <v>8568158.9774437323</v>
      </c>
      <c r="BJ35" s="23">
        <f t="shared" si="9"/>
        <v>8702851.0791103579</v>
      </c>
      <c r="BK35" s="23">
        <f t="shared" si="9"/>
        <v>8838591.4672149345</v>
      </c>
    </row>
    <row r="36" spans="1:63" x14ac:dyDescent="0.25">
      <c r="A36" t="s">
        <v>849</v>
      </c>
      <c r="B36" t="s">
        <v>327</v>
      </c>
      <c r="C36" s="22">
        <v>2353000</v>
      </c>
      <c r="D36" s="22">
        <v>2534000</v>
      </c>
      <c r="E36" s="22">
        <v>2567000</v>
      </c>
      <c r="F36" s="22">
        <v>2743000</v>
      </c>
      <c r="G36" s="22">
        <v>2918000</v>
      </c>
      <c r="H36" s="22">
        <v>2540000</v>
      </c>
      <c r="I36" s="22">
        <v>2807000</v>
      </c>
      <c r="J36" s="22">
        <v>2912000</v>
      </c>
      <c r="K36" s="22">
        <v>3382000</v>
      </c>
      <c r="L36" s="22">
        <v>3381000</v>
      </c>
      <c r="M36" s="22">
        <v>3426000</v>
      </c>
      <c r="N36" s="22">
        <v>3589000</v>
      </c>
      <c r="O36" s="22">
        <v>3877000</v>
      </c>
      <c r="P36" s="22">
        <v>3708000</v>
      </c>
      <c r="Q36" s="22">
        <v>3712000</v>
      </c>
      <c r="R36" s="22">
        <v>3740000</v>
      </c>
      <c r="S36" s="22">
        <v>3825000</v>
      </c>
      <c r="T36" s="22">
        <v>3816000</v>
      </c>
      <c r="U36" s="22">
        <v>3809000</v>
      </c>
      <c r="V36" s="22">
        <v>4524000</v>
      </c>
      <c r="W36" s="22">
        <v>4471000</v>
      </c>
      <c r="X36" s="22">
        <v>4513000</v>
      </c>
      <c r="Y36" s="22">
        <v>4512000</v>
      </c>
      <c r="Z36" s="22">
        <v>4499000</v>
      </c>
      <c r="AA36" s="22">
        <v>4582000</v>
      </c>
      <c r="AB36" s="22">
        <v>4840000</v>
      </c>
      <c r="AC36" s="22">
        <v>4698000</v>
      </c>
      <c r="AD36" s="22">
        <v>4809000</v>
      </c>
      <c r="AE36" s="23">
        <f>TREND($C$36:$AD$36,Drivers!$D$4:$AE$4,Drivers!AF$4,TRUE)</f>
        <v>4944255.4194574319</v>
      </c>
      <c r="AF36" s="23">
        <f>TREND($C$36:$AD$36,Drivers!$D$4:$AE$4,Drivers!AG$4,TRUE)</f>
        <v>5017702.1401376612</v>
      </c>
      <c r="AG36" s="23">
        <f>TREND($C$36:$AD$36,Drivers!$D$4:$AE$4,Drivers!AH$4,TRUE)</f>
        <v>5091148.8608178906</v>
      </c>
      <c r="AH36" s="23">
        <f>TREND($C$36:$AD$36,Drivers!$D$4:$AE$4,Drivers!AI$4,TRUE)</f>
        <v>5165595.0372318067</v>
      </c>
      <c r="AI36" s="23">
        <f>TREND($C$36:$AD$36,Drivers!$D$4:$AE$4,Drivers!AJ$4,TRUE)</f>
        <v>5240041.2122715618</v>
      </c>
      <c r="AJ36" s="23">
        <f>TREND($C$36:$AD$36,Drivers!$D$4:$AE$4,Drivers!AK$4,TRUE)</f>
        <v>5314487.3873113189</v>
      </c>
      <c r="AK36" s="23">
        <f>TREND($C$36:$AD$36,Drivers!$D$4:$AE$4,Drivers!AL$4,TRUE)</f>
        <v>5388933.5623510741</v>
      </c>
      <c r="AL36" s="23">
        <f>TREND($C$36:$AD$36,Drivers!$D$4:$AE$4,Drivers!AM$4,TRUE)</f>
        <v>5463379.7387649883</v>
      </c>
      <c r="AM36" s="23">
        <f>TREND($C$36:$AD$36,Drivers!$D$4:$AE$4,Drivers!AN$4,TRUE)</f>
        <v>5544034.1834233496</v>
      </c>
      <c r="AN36" s="23">
        <f>TREND($C$36:$AD$36,Drivers!$D$4:$AE$4,Drivers!AO$4,TRUE)</f>
        <v>5624688.6280817091</v>
      </c>
      <c r="AO36" s="23">
        <f>TREND($C$36:$AD$36,Drivers!$D$4:$AE$4,Drivers!AP$4,TRUE)</f>
        <v>5705343.0727400687</v>
      </c>
      <c r="AP36" s="23">
        <f>TREND($C$36:$AD$36,Drivers!$D$4:$AE$4,Drivers!AQ$4,TRUE)</f>
        <v>5785997.51739843</v>
      </c>
      <c r="AQ36" s="23">
        <f>TREND($C$36:$AD$36,Drivers!$D$4:$AE$4,Drivers!AR$4,TRUE)</f>
        <v>5866651.9620567914</v>
      </c>
      <c r="AR36" s="23">
        <f>TREND($C$36:$AD$36,Drivers!$D$4:$AE$4,Drivers!AS$4,TRUE)</f>
        <v>5944568.1773438007</v>
      </c>
      <c r="AS36" s="23">
        <f>TREND($C$36:$AD$36,Drivers!$D$4:$AE$4,Drivers!AT$4,TRUE)</f>
        <v>6022484.3912566528</v>
      </c>
      <c r="AT36" s="23">
        <f>TREND($C$36:$AD$36,Drivers!$D$4:$AE$4,Drivers!AU$4,TRUE)</f>
        <v>6100400.6065436639</v>
      </c>
      <c r="AU36" s="23">
        <f>TREND($C$36:$AD$36,Drivers!$D$4:$AE$4,Drivers!AV$4,TRUE)</f>
        <v>6178316.8204565179</v>
      </c>
      <c r="AV36" s="23">
        <f>TREND($C$36:$AD$36,Drivers!$D$4:$AE$4,Drivers!AW$4,TRUE)</f>
        <v>6256233.03436937</v>
      </c>
      <c r="AW36" s="23">
        <f>TREND($C$36:$AD$36,Drivers!$D$4:$AE$4,Drivers!AX$4,TRUE)</f>
        <v>6337212.500500964</v>
      </c>
      <c r="AX36" s="23">
        <f>TREND($C$36:$AD$36,Drivers!$D$4:$AE$4,Drivers!AY$4,TRUE)</f>
        <v>6418191.9666325543</v>
      </c>
      <c r="AY36" s="23">
        <f>TREND($C$36:$AD$36,Drivers!$D$4:$AE$4,Drivers!AZ$4,TRUE)</f>
        <v>6499171.4313899893</v>
      </c>
      <c r="AZ36" s="23">
        <f>TREND($C$36:$AD$36,Drivers!$D$4:$AE$4,Drivers!BA$4,TRUE)</f>
        <v>6580150.8975215815</v>
      </c>
      <c r="BA36" s="23">
        <f>TREND($C$36:$AD$36,Drivers!$D$4:$AE$4,Drivers!BB$4,TRUE)</f>
        <v>6661130.3636531718</v>
      </c>
      <c r="BB36" s="23">
        <f>TREND($C$36:$AD$36,Drivers!$D$4:$AE$4,Drivers!BC$4,TRUE)</f>
        <v>6753570.7200882137</v>
      </c>
      <c r="BC36" s="23">
        <f>TREND($C$36:$AD$36,Drivers!$D$4:$AE$4,Drivers!BD$4,TRUE)</f>
        <v>6846011.0751490947</v>
      </c>
      <c r="BD36" s="23">
        <f>TREND($C$36:$AD$36,Drivers!$D$4:$AE$4,Drivers!BE$4,TRUE)</f>
        <v>6938451.4315841366</v>
      </c>
      <c r="BE36" s="23">
        <f>TREND($C$36:$AD$36,Drivers!$D$4:$AE$4,Drivers!BF$4,TRUE)</f>
        <v>7030891.7880191747</v>
      </c>
      <c r="BF36" s="23">
        <f>TREND($C$36:$AD$36,Drivers!$D$4:$AE$4,Drivers!BG$4,TRUE)</f>
        <v>7123332.1444542129</v>
      </c>
      <c r="BG36" s="23">
        <f>TREND($C$36:$AD$36,Drivers!$D$4:$AE$4,Drivers!BH$4,TRUE)</f>
        <v>7212509.8967435881</v>
      </c>
      <c r="BH36" s="23">
        <f>TREND($C$36:$AD$36,Drivers!$D$4:$AE$4,Drivers!BI$4,TRUE)</f>
        <v>7301687.6490329597</v>
      </c>
      <c r="BI36" s="23">
        <f>TREND($C$36:$AD$36,Drivers!$D$4:$AE$4,Drivers!BJ$4,TRUE)</f>
        <v>7390865.4026964903</v>
      </c>
      <c r="BJ36" s="23">
        <f>TREND($C$36:$AD$36,Drivers!$D$4:$AE$4,Drivers!BK$4,TRUE)</f>
        <v>7480043.1549858619</v>
      </c>
      <c r="BK36" s="23">
        <f>TREND($C$36:$AD$36,Drivers!$D$4:$AE$4,Drivers!BL$4,TRUE)</f>
        <v>7569220.9072752334</v>
      </c>
    </row>
    <row r="37" spans="1:63" x14ac:dyDescent="0.25">
      <c r="A37" t="s">
        <v>851</v>
      </c>
      <c r="B37" t="s">
        <v>530</v>
      </c>
      <c r="C37" s="25">
        <f>SUM('Activity data'!H5:H22)</f>
        <v>116249516.47489038</v>
      </c>
      <c r="D37" s="25">
        <f>SUM('Activity data'!I5:I22)</f>
        <v>111322869.63879211</v>
      </c>
      <c r="E37" s="25">
        <f>SUM('Activity data'!J5:J22)</f>
        <v>106359555.794935</v>
      </c>
      <c r="F37" s="25">
        <f>SUM('Activity data'!K5:K22)</f>
        <v>108051736.84957474</v>
      </c>
      <c r="G37" s="25">
        <f>SUM('Activity data'!L5:L22)</f>
        <v>107003281.83703408</v>
      </c>
      <c r="H37" s="25">
        <f>SUM('Activity data'!M5:M22)</f>
        <v>114097319.81443082</v>
      </c>
      <c r="I37" s="25">
        <f>SUM('Activity data'!N5:N22)</f>
        <v>123413359.25824103</v>
      </c>
      <c r="J37" s="25">
        <f>SUM('Activity data'!O5:O22)</f>
        <v>124139626.11488593</v>
      </c>
      <c r="K37" s="25">
        <f>SUM('Activity data'!P5:P22)</f>
        <v>131751923.34670785</v>
      </c>
      <c r="L37" s="25">
        <f>SUM('Activity data'!Q5:Q22)</f>
        <v>135060238.69443047</v>
      </c>
      <c r="M37" s="25">
        <f>SUM('Activity data'!R5:R22)</f>
        <v>138541204.56803936</v>
      </c>
      <c r="N37" s="25">
        <f>SUM('Activity data'!S5:S22)</f>
        <v>136109031.1249536</v>
      </c>
      <c r="O37" s="25">
        <f>SUM('Activity data'!T5:T22)</f>
        <v>142033425.34914675</v>
      </c>
      <c r="P37" s="25">
        <f>SUM('Activity data'!U5:U22)</f>
        <v>137505025.69985911</v>
      </c>
      <c r="Q37" s="25">
        <f>SUM('Activity data'!V5:V22)</f>
        <v>139250920.70763093</v>
      </c>
      <c r="R37" s="25">
        <f>SUM('Activity data'!W5:W22)</f>
        <v>147971770.34070343</v>
      </c>
      <c r="S37" s="25">
        <f>SUM('Activity data'!X5:X22)</f>
        <v>155308395.04702362</v>
      </c>
      <c r="T37" s="25">
        <f>SUM('Activity data'!Y5:Y22)</f>
        <v>161778836.09422663</v>
      </c>
      <c r="U37" s="25">
        <f>SUM('Activity data'!Z5:Z22)</f>
        <v>168144776.83189645</v>
      </c>
      <c r="V37" s="25">
        <f>SUM('Activity data'!AA5:AA22)</f>
        <v>161627647.86506164</v>
      </c>
      <c r="W37" s="25">
        <f>SUM('Activity data'!AB5:AB22)</f>
        <v>164112898.94746146</v>
      </c>
      <c r="X37" s="25">
        <f>SUM('Activity data'!AC5:AC22)</f>
        <v>168066984.05931899</v>
      </c>
      <c r="Y37" s="25">
        <f>SUM('Activity data'!AD5:AD22)</f>
        <v>171365728.24742162</v>
      </c>
      <c r="Z37" s="25">
        <f>SUM('Activity data'!AE5:AE22)</f>
        <v>168543992.65879551</v>
      </c>
      <c r="AA37" s="25">
        <f>SUM('Activity data'!AF5:AF22)</f>
        <v>172035521.73580882</v>
      </c>
      <c r="AB37" s="25">
        <f>SUM('Activity data'!AG5:AG22)</f>
        <v>176053425.40280333</v>
      </c>
      <c r="AC37" s="25">
        <f>SUM('Activity data'!AH5:AH22)</f>
        <v>167642271.77821466</v>
      </c>
      <c r="AD37" s="25">
        <f>SUM('Activity data'!AI5:AI22)</f>
        <v>164750666.63080817</v>
      </c>
      <c r="AE37" s="25">
        <f>SUM('Activity data'!AJ5:AJ22)</f>
        <v>180124322.89400485</v>
      </c>
      <c r="AF37" s="25">
        <f>SUM('Activity data'!AK5:AK22)</f>
        <v>182849395.6593304</v>
      </c>
      <c r="AG37" s="25">
        <f>SUM('Activity data'!AL5:AL22)</f>
        <v>184400666.75780153</v>
      </c>
      <c r="AH37" s="25">
        <f>SUM('Activity data'!AM5:AM22)</f>
        <v>186598870.43853605</v>
      </c>
      <c r="AI37" s="25">
        <f>SUM('Activity data'!AN5:AN22)</f>
        <v>188791582.97279382</v>
      </c>
      <c r="AJ37" s="25">
        <f>SUM('Activity data'!AO5:AO22)</f>
        <v>190985511.88228917</v>
      </c>
      <c r="AK37" s="25">
        <f>SUM('Activity data'!AP5:AP22)</f>
        <v>193174714.07162732</v>
      </c>
      <c r="AL37" s="25">
        <f>SUM('Activity data'!AQ5:AQ22)</f>
        <v>195369371.90539694</v>
      </c>
      <c r="AM37" s="25">
        <f>SUM('Activity data'!AR5:AR22)</f>
        <v>197760906.39728907</v>
      </c>
      <c r="AN37" s="25">
        <f>SUM('Activity data'!AS5:AS22)</f>
        <v>200150975.10973898</v>
      </c>
      <c r="AO37" s="25">
        <f>SUM('Activity data'!AT5:AT22)</f>
        <v>202548426.50785312</v>
      </c>
      <c r="AP37" s="25">
        <f>SUM('Activity data'!AU5:AU22)</f>
        <v>204951354.45928198</v>
      </c>
      <c r="AQ37" s="25">
        <f>SUM('Activity data'!AV5:AV22)</f>
        <v>207360259.35541898</v>
      </c>
      <c r="AR37" s="25">
        <f>SUM('Activity data'!AW5:AW22)</f>
        <v>209728529.57070991</v>
      </c>
      <c r="AS37" s="25">
        <f>SUM('Activity data'!AX5:AX22)</f>
        <v>212086924.69346273</v>
      </c>
      <c r="AT37" s="25">
        <f>SUM('Activity data'!AY5:AY22)</f>
        <v>214467520.35320899</v>
      </c>
      <c r="AU37" s="25">
        <f>SUM('Activity data'!AZ5:AZ22)</f>
        <v>216863625.89862275</v>
      </c>
      <c r="AV37" s="25">
        <f>SUM('Activity data'!BA5:BA22)</f>
        <v>219276079.12664369</v>
      </c>
      <c r="AW37" s="25">
        <f>SUM('Activity data'!BB5:BB22)</f>
        <v>221780840.29671758</v>
      </c>
      <c r="AX37" s="25">
        <f>SUM('Activity data'!BC5:BC22)</f>
        <v>224296833.62581906</v>
      </c>
      <c r="AY37" s="25">
        <f>SUM('Activity data'!BD5:BD22)</f>
        <v>226816980.96964413</v>
      </c>
      <c r="AZ37" s="25">
        <f>SUM('Activity data'!BE5:BE22)</f>
        <v>229348464.22937474</v>
      </c>
      <c r="BA37" s="25">
        <f>SUM('Activity data'!BF5:BF22)</f>
        <v>231897640.56554934</v>
      </c>
      <c r="BB37" s="25">
        <f>SUM('Activity data'!BG5:BG22)</f>
        <v>234776771.14595956</v>
      </c>
      <c r="BC37" s="25">
        <f>SUM('Activity data'!BH5:BH22)</f>
        <v>237669469.94689247</v>
      </c>
      <c r="BD37" s="25">
        <f>SUM('Activity data'!BI5:BI22)</f>
        <v>240574959.51272717</v>
      </c>
      <c r="BE37" s="25">
        <f>SUM('Activity data'!BJ5:BJ22)</f>
        <v>243495151.64640602</v>
      </c>
      <c r="BF37" s="25">
        <f>SUM('Activity data'!BK5:BK22)</f>
        <v>246437631.01151764</v>
      </c>
      <c r="BG37" s="25">
        <f>SUM('Activity data'!BL5:BL22)</f>
        <v>249308673.35054412</v>
      </c>
      <c r="BH37" s="25">
        <f>SUM('Activity data'!BM5:BM22)</f>
        <v>252198921.55772507</v>
      </c>
      <c r="BI37" s="25">
        <f>SUM('Activity data'!BN5:BN22)</f>
        <v>255093953.62790057</v>
      </c>
      <c r="BJ37" s="25">
        <f>SUM('Activity data'!BO5:BO22)</f>
        <v>258009931.97349092</v>
      </c>
      <c r="BK37" s="25">
        <f>SUM('Activity data'!BP5:BP22)</f>
        <v>260948604.89816356</v>
      </c>
    </row>
    <row r="38" spans="1:63" x14ac:dyDescent="0.25">
      <c r="A38" t="s">
        <v>393</v>
      </c>
      <c r="B38" t="s">
        <v>327</v>
      </c>
      <c r="C38" s="22">
        <v>9180000</v>
      </c>
      <c r="D38" s="22">
        <v>8614000</v>
      </c>
      <c r="E38" s="22">
        <v>3277000</v>
      </c>
      <c r="F38" s="22">
        <v>9997000</v>
      </c>
      <c r="G38" s="22">
        <v>13275000</v>
      </c>
      <c r="H38" s="22">
        <v>4866000</v>
      </c>
      <c r="I38" s="22">
        <v>10171000</v>
      </c>
      <c r="J38" s="22">
        <v>10136000</v>
      </c>
      <c r="K38" s="22">
        <v>7693000</v>
      </c>
      <c r="L38" s="22">
        <v>7946000</v>
      </c>
      <c r="M38" s="22">
        <v>11455000</v>
      </c>
      <c r="N38" s="22">
        <v>7772000</v>
      </c>
      <c r="O38" s="22">
        <v>10076000</v>
      </c>
      <c r="P38" s="22">
        <v>9705000</v>
      </c>
      <c r="Q38" s="22">
        <v>9737000</v>
      </c>
      <c r="R38" s="22">
        <v>11749000</v>
      </c>
      <c r="S38" s="22">
        <v>6618000</v>
      </c>
      <c r="T38" s="22">
        <v>7339000</v>
      </c>
      <c r="U38" s="22">
        <v>13164000</v>
      </c>
      <c r="V38" s="22">
        <v>12567000</v>
      </c>
      <c r="W38" s="22">
        <v>13421000</v>
      </c>
      <c r="X38" s="22">
        <v>10924000</v>
      </c>
      <c r="Y38" s="22">
        <v>12759000</v>
      </c>
      <c r="Z38" s="22">
        <v>12486000</v>
      </c>
      <c r="AA38" s="22">
        <v>14925000</v>
      </c>
      <c r="AB38" s="22">
        <v>10629000</v>
      </c>
      <c r="AC38" s="22">
        <v>7779000</v>
      </c>
      <c r="AD38" s="22">
        <v>16820000</v>
      </c>
      <c r="AE38" s="23">
        <f>TREND($M$38:$AD$38,$M$34:$AD$34,AE$34,TRUE)</f>
        <v>12193842.561676212</v>
      </c>
      <c r="AF38" s="23">
        <f>TREND($M$38:$AD$38,$M$34:$AD$34,AF$34,TRUE)</f>
        <v>12288283.314720258</v>
      </c>
      <c r="AG38" s="23">
        <f t="shared" ref="AG38:BK38" si="10">TREND($M$38:$AD$38,$M$34:$AD$34,AG$34,TRUE)</f>
        <v>12382724.067764305</v>
      </c>
      <c r="AH38" s="23">
        <f t="shared" si="10"/>
        <v>12478449.961264577</v>
      </c>
      <c r="AI38" s="23">
        <f t="shared" si="10"/>
        <v>12574175.852997899</v>
      </c>
      <c r="AJ38" s="23">
        <f t="shared" si="10"/>
        <v>12669901.744731225</v>
      </c>
      <c r="AK38" s="23">
        <f t="shared" si="10"/>
        <v>12765627.636464547</v>
      </c>
      <c r="AL38" s="23">
        <f t="shared" si="10"/>
        <v>12861353.52996482</v>
      </c>
      <c r="AM38" s="23">
        <f t="shared" si="10"/>
        <v>12965062.264940858</v>
      </c>
      <c r="AN38" s="23">
        <f t="shared" si="10"/>
        <v>13068770.999916892</v>
      </c>
      <c r="AO38" s="23">
        <f t="shared" si="10"/>
        <v>13172479.734892927</v>
      </c>
      <c r="AP38" s="23">
        <f t="shared" si="10"/>
        <v>13276188.469868962</v>
      </c>
      <c r="AQ38" s="23">
        <f t="shared" si="10"/>
        <v>13379897.204845</v>
      </c>
      <c r="AR38" s="23">
        <f t="shared" si="10"/>
        <v>13480085.014156245</v>
      </c>
      <c r="AS38" s="23">
        <f t="shared" si="10"/>
        <v>13580272.821700543</v>
      </c>
      <c r="AT38" s="23">
        <f t="shared" si="10"/>
        <v>13680460.631011788</v>
      </c>
      <c r="AU38" s="23">
        <f t="shared" si="10"/>
        <v>13780648.43855609</v>
      </c>
      <c r="AV38" s="23">
        <f t="shared" si="10"/>
        <v>13880836.246100388</v>
      </c>
      <c r="AW38" s="23">
        <f t="shared" si="10"/>
        <v>13984962.906783704</v>
      </c>
      <c r="AX38" s="23">
        <f t="shared" si="10"/>
        <v>14089089.567467015</v>
      </c>
      <c r="AY38" s="23">
        <f t="shared" si="10"/>
        <v>14193216.226383381</v>
      </c>
      <c r="AZ38" s="23">
        <f t="shared" si="10"/>
        <v>14297342.887066696</v>
      </c>
      <c r="BA38" s="23">
        <f t="shared" si="10"/>
        <v>14401469.547750004</v>
      </c>
      <c r="BB38" s="23">
        <f t="shared" si="10"/>
        <v>14520333.083011087</v>
      </c>
      <c r="BC38" s="23">
        <f t="shared" si="10"/>
        <v>14639196.616505217</v>
      </c>
      <c r="BD38" s="23">
        <f t="shared" si="10"/>
        <v>14758060.1517663</v>
      </c>
      <c r="BE38" s="23">
        <f t="shared" si="10"/>
        <v>14876923.687027376</v>
      </c>
      <c r="BF38" s="23">
        <f t="shared" si="10"/>
        <v>14995787.222288452</v>
      </c>
      <c r="BG38" s="23">
        <f t="shared" si="10"/>
        <v>15110455.569669835</v>
      </c>
      <c r="BH38" s="23">
        <f t="shared" si="10"/>
        <v>15225123.917051211</v>
      </c>
      <c r="BI38" s="23">
        <f t="shared" si="10"/>
        <v>15339792.26619954</v>
      </c>
      <c r="BJ38" s="23">
        <f t="shared" si="10"/>
        <v>15454460.613580916</v>
      </c>
      <c r="BK38" s="23">
        <f t="shared" si="10"/>
        <v>15569128.960962296</v>
      </c>
    </row>
    <row r="39" spans="1:63" x14ac:dyDescent="0.25">
      <c r="A39" t="s">
        <v>852</v>
      </c>
      <c r="B39" t="s">
        <v>327</v>
      </c>
      <c r="C39" s="22">
        <v>194000</v>
      </c>
      <c r="D39" s="22">
        <v>195000</v>
      </c>
      <c r="E39" s="22">
        <v>199000</v>
      </c>
      <c r="F39" s="22">
        <v>200000</v>
      </c>
      <c r="G39" s="22">
        <v>184000</v>
      </c>
      <c r="H39" s="22">
        <v>183000</v>
      </c>
      <c r="I39" s="22">
        <v>181000</v>
      </c>
      <c r="J39" s="22">
        <v>179000</v>
      </c>
      <c r="K39" s="22">
        <v>177000</v>
      </c>
      <c r="L39" s="22">
        <v>175500</v>
      </c>
      <c r="M39" s="22">
        <v>174000</v>
      </c>
      <c r="N39" s="22">
        <v>186000</v>
      </c>
      <c r="O39" s="22">
        <v>190000</v>
      </c>
      <c r="P39" s="22">
        <v>174000</v>
      </c>
      <c r="Q39" s="22">
        <v>169000</v>
      </c>
      <c r="R39" s="22">
        <v>179000</v>
      </c>
      <c r="S39" s="22">
        <v>191000</v>
      </c>
      <c r="T39" s="22">
        <v>182000</v>
      </c>
      <c r="U39" s="22">
        <v>185000</v>
      </c>
      <c r="V39" s="22">
        <v>177000</v>
      </c>
      <c r="W39" s="22">
        <v>184000</v>
      </c>
      <c r="X39" s="22">
        <v>182000</v>
      </c>
      <c r="Y39" s="22">
        <v>183000</v>
      </c>
      <c r="Z39" s="22">
        <v>159000</v>
      </c>
      <c r="AA39" s="22">
        <v>165000</v>
      </c>
      <c r="AB39" s="22">
        <v>153000</v>
      </c>
      <c r="AC39" s="22">
        <v>149000</v>
      </c>
      <c r="AD39" s="22">
        <v>161000</v>
      </c>
      <c r="AE39" s="23">
        <f>(TREND($C$40:$AD$40,$C$4:$AD$4,AE$4,TRUE))*Drivers!AF4</f>
        <v>160788.11454043537</v>
      </c>
      <c r="AF39" s="23">
        <f>(TREND($C$40:$AD$40,$C$4:$AD$4,AF$4,TRUE))*Drivers!AG4</f>
        <v>162422.31158447947</v>
      </c>
      <c r="AG39" s="23">
        <f>(TREND($C$40:$AD$40,$C$4:$AD$4,AG$4,TRUE))*Drivers!AH4</f>
        <v>172906.07606155271</v>
      </c>
      <c r="AH39" s="23">
        <f>(TREND($C$40:$AD$40,$C$4:$AD$4,AH$4,TRUE))*Drivers!AI4</f>
        <v>173255.82621926232</v>
      </c>
      <c r="AI39" s="23">
        <f>(TREND($C$40:$AD$40,$C$4:$AD$4,AI$4,TRUE))*Drivers!AJ4</f>
        <v>173695.53437154504</v>
      </c>
      <c r="AJ39" s="23">
        <f>(TREND($C$40:$AD$40,$C$4:$AD$4,AJ$4,TRUE))*Drivers!AK4</f>
        <v>174115.04940467558</v>
      </c>
      <c r="AK39" s="23">
        <f>(TREND($C$40:$AD$40,$C$4:$AD$4,AK$4,TRUE))*Drivers!AL4</f>
        <v>174612.00577167401</v>
      </c>
      <c r="AL39" s="23">
        <f>(TREND($C$40:$AD$40,$C$4:$AD$4,AL$4,TRUE))*Drivers!AM4</f>
        <v>175019.1382148597</v>
      </c>
      <c r="AM39" s="23">
        <f>(TREND($C$40:$AD$40,$C$4:$AD$4,AM$4,TRUE))*Drivers!AN4</f>
        <v>175232.29118013108</v>
      </c>
      <c r="AN39" s="23">
        <f>(TREND($C$40:$AD$40,$C$4:$AD$4,AN$4,TRUE))*Drivers!AO4</f>
        <v>175469.26061279871</v>
      </c>
      <c r="AO39" s="23">
        <f>(TREND($C$40:$AD$40,$C$4:$AD$4,AO$4,TRUE))*Drivers!AP4</f>
        <v>175584.64505428969</v>
      </c>
      <c r="AP39" s="23">
        <f>(TREND($C$40:$AD$40,$C$4:$AD$4,AP$4,TRUE))*Drivers!AQ4</f>
        <v>175609.7483083152</v>
      </c>
      <c r="AQ39" s="23">
        <f>(TREND($C$40:$AD$40,$C$4:$AD$4,AQ$4,TRUE))*Drivers!AR4</f>
        <v>175536.33017967467</v>
      </c>
      <c r="AR39" s="23">
        <f>(TREND($C$40:$AD$40,$C$4:$AD$4,AR$4,TRUE))*Drivers!AS4</f>
        <v>174788.73569638268</v>
      </c>
      <c r="AS39" s="23">
        <f>(TREND($C$40:$AD$40,$C$4:$AD$4,AS$4,TRUE))*Drivers!AT4</f>
        <v>174203.11239458897</v>
      </c>
      <c r="AT39" s="23">
        <f>(TREND($C$40:$AD$40,$C$4:$AD$4,AT$4,TRUE))*Drivers!AU4</f>
        <v>173252.16350708806</v>
      </c>
      <c r="AU39" s="23">
        <f>(TREND($C$40:$AD$40,$C$4:$AD$4,AU$4,TRUE))*Drivers!AV4</f>
        <v>172045.82008606693</v>
      </c>
      <c r="AV39" s="23">
        <f>(TREND($C$40:$AD$40,$C$4:$AD$4,AV$4,TRUE))*Drivers!AW4</f>
        <v>170570.25914033371</v>
      </c>
      <c r="AW39" s="23">
        <f>(TREND($C$40:$AD$40,$C$4:$AD$4,AW$4,TRUE))*Drivers!AX4</f>
        <v>169077.94035651843</v>
      </c>
      <c r="AX39" s="23">
        <f>(TREND($C$40:$AD$40,$C$4:$AD$4,AX$4,TRUE))*Drivers!AY4</f>
        <v>167400.44578852755</v>
      </c>
      <c r="AY39" s="23">
        <f>(TREND($C$40:$AD$40,$C$4:$AD$4,AY$4,TRUE))*Drivers!AZ4</f>
        <v>165654.1591215918</v>
      </c>
      <c r="AZ39" s="23">
        <f>(TREND($C$40:$AD$40,$C$4:$AD$4,AZ$4,TRUE))*Drivers!BA4</f>
        <v>163720.95036086524</v>
      </c>
      <c r="BA39" s="23">
        <f>(TREND($C$40:$AD$40,$C$4:$AD$4,BA$4,TRUE))*Drivers!BB4</f>
        <v>161496.22020122528</v>
      </c>
      <c r="BB39" s="23">
        <f>(TREND($C$40:$AD$40,$C$4:$AD$4,BB$4,TRUE))*Drivers!BC4</f>
        <v>159463.11636917072</v>
      </c>
      <c r="BC39" s="23">
        <f>(TREND($C$40:$AD$40,$C$4:$AD$4,BC$4,TRUE))*Drivers!BD4</f>
        <v>157206.22088823421</v>
      </c>
      <c r="BD39" s="23">
        <f>(TREND($C$40:$AD$40,$C$4:$AD$4,BD$4,TRUE))*Drivers!BE4</f>
        <v>154738.29120289534</v>
      </c>
      <c r="BE39" s="23">
        <f>(TREND($C$40:$AD$40,$C$4:$AD$4,BE$4,TRUE))*Drivers!BF4</f>
        <v>152027.83782502275</v>
      </c>
      <c r="BF39" s="23">
        <f>(TREND($C$40:$AD$40,$C$4:$AD$4,BF$4,TRUE))*Drivers!BG4</f>
        <v>148950.01337493537</v>
      </c>
      <c r="BG39" s="23">
        <f>(TREND($C$40:$AD$40,$C$4:$AD$4,BG$4,TRUE))*Drivers!BH4</f>
        <v>145446.74401946046</v>
      </c>
      <c r="BH39" s="23">
        <f>(TREND($C$40:$AD$40,$C$4:$AD$4,BH$4,TRUE))*Drivers!BI4</f>
        <v>141626.71702269951</v>
      </c>
      <c r="BI39" s="23">
        <f>(TREND($C$40:$AD$40,$C$4:$AD$4,BI$4,TRUE))*Drivers!BJ4</f>
        <v>137727.25830491737</v>
      </c>
      <c r="BJ39" s="23">
        <f>(TREND($C$40:$AD$40,$C$4:$AD$4,BJ$4,TRUE))*Drivers!BK4</f>
        <v>133482.33356656966</v>
      </c>
      <c r="BK39" s="23">
        <f>(TREND($C$40:$AD$40,$C$4:$AD$4,BK$4,TRUE))*Drivers!BL4</f>
        <v>128863.11420442868</v>
      </c>
    </row>
    <row r="40" spans="1:63" x14ac:dyDescent="0.25">
      <c r="A40" t="s">
        <v>852</v>
      </c>
      <c r="B40" t="s">
        <v>328</v>
      </c>
      <c r="C40" s="23">
        <f>C39/Drivers!D4</f>
        <v>5.2716662152689246E-3</v>
      </c>
      <c r="D40" s="23">
        <f>D39/Drivers!E4</f>
        <v>5.169815172479616E-3</v>
      </c>
      <c r="E40" s="23">
        <f>E39/Drivers!F4</f>
        <v>5.1457611843959729E-3</v>
      </c>
      <c r="F40" s="23">
        <f>F39/Drivers!G4</f>
        <v>5.0462043081969284E-3</v>
      </c>
      <c r="G40" s="23">
        <f>G39/Drivers!H4</f>
        <v>4.5360352128469197E-3</v>
      </c>
      <c r="H40" s="23">
        <f>H39/Drivers!I4</f>
        <v>4.4164752579161221E-3</v>
      </c>
      <c r="I40" s="23">
        <f>I39/Drivers!J4</f>
        <v>4.2849353203217606E-3</v>
      </c>
      <c r="J40" s="23">
        <f>J39/Drivers!K4</f>
        <v>4.164004940882645E-3</v>
      </c>
      <c r="K40" s="23">
        <f>K39/Drivers!L4</f>
        <v>4.0519881526276339E-3</v>
      </c>
      <c r="L40" s="23">
        <f>L39/Drivers!M4</f>
        <v>3.9581814855756533E-3</v>
      </c>
      <c r="M40" s="23">
        <f>M39/Drivers!N4</f>
        <v>3.8694433792356062E-3</v>
      </c>
      <c r="N40" s="23">
        <f>N39/Drivers!O4</f>
        <v>4.0815185460911186E-3</v>
      </c>
      <c r="O40" s="23">
        <f>O39/Drivers!P4</f>
        <v>4.1169283043219537E-3</v>
      </c>
      <c r="P40" s="23">
        <f>P39/Drivers!Q4</f>
        <v>3.7243791609769998E-3</v>
      </c>
      <c r="Q40" s="23">
        <f>Q39/Drivers!R4</f>
        <v>3.5735725639283586E-3</v>
      </c>
      <c r="R40" s="23">
        <f>R39/Drivers!S4</f>
        <v>3.7384660230142057E-3</v>
      </c>
      <c r="S40" s="23">
        <f>S39/Drivers!T4</f>
        <v>3.9390004330631945E-3</v>
      </c>
      <c r="T40" s="23">
        <f>T39/Drivers!U4</f>
        <v>3.7052299055457499E-3</v>
      </c>
      <c r="U40" s="23">
        <f>U39/Drivers!V4</f>
        <v>3.7163914417652206E-3</v>
      </c>
      <c r="V40" s="23">
        <f>V39/Drivers!W4</f>
        <v>3.5065467723514772E-3</v>
      </c>
      <c r="W40" s="23">
        <f>W39/Drivers!X4</f>
        <v>3.5925596839359707E-3</v>
      </c>
      <c r="X40" s="23">
        <f>X39/Drivers!Y4</f>
        <v>3.499719214835302E-3</v>
      </c>
      <c r="Y40" s="23">
        <f>Y39/Drivers!Z4</f>
        <v>3.4507214050589559E-3</v>
      </c>
      <c r="Z40" s="23">
        <f>Z39/Drivers!AA4</f>
        <v>2.9711846893004682E-3</v>
      </c>
      <c r="AA40" s="23">
        <f>AA39/Drivers!AB4</f>
        <v>3.0555555555555557E-3</v>
      </c>
      <c r="AB40" s="23">
        <f>AB39/Drivers!AC4</f>
        <v>2.8078337313177664E-3</v>
      </c>
      <c r="AC40" s="23">
        <f>AC39/Drivers!AD4</f>
        <v>2.7078654247134821E-3</v>
      </c>
      <c r="AD40" s="23">
        <f>AD39/Drivers!AE4</f>
        <v>2.8978007177809903E-3</v>
      </c>
    </row>
    <row r="41" spans="1:63" x14ac:dyDescent="0.25">
      <c r="A41" t="s">
        <v>439</v>
      </c>
      <c r="B41" t="s">
        <v>327</v>
      </c>
      <c r="C41" s="22">
        <v>316000</v>
      </c>
      <c r="D41" s="22">
        <v>245000</v>
      </c>
      <c r="E41" s="22">
        <v>243000</v>
      </c>
      <c r="F41" s="22">
        <v>287000</v>
      </c>
      <c r="G41" s="22">
        <v>410000</v>
      </c>
      <c r="H41" s="22">
        <v>303000</v>
      </c>
      <c r="I41" s="22">
        <v>331000</v>
      </c>
      <c r="J41" s="22">
        <v>243000</v>
      </c>
      <c r="K41" s="22">
        <v>235000</v>
      </c>
      <c r="L41" s="22"/>
      <c r="M41" s="22">
        <v>210000</v>
      </c>
      <c r="N41" s="22">
        <v>209000</v>
      </c>
      <c r="O41" s="22">
        <v>206000</v>
      </c>
      <c r="P41" s="22">
        <v>196000</v>
      </c>
      <c r="Q41" s="22">
        <v>179000</v>
      </c>
      <c r="R41" s="22">
        <v>189000</v>
      </c>
      <c r="S41" s="22">
        <v>203000</v>
      </c>
      <c r="T41" s="22">
        <v>190000</v>
      </c>
      <c r="U41" s="22">
        <v>196000</v>
      </c>
      <c r="V41" s="22">
        <v>187000</v>
      </c>
      <c r="W41" s="22">
        <v>192000</v>
      </c>
      <c r="X41" s="22">
        <v>191000</v>
      </c>
      <c r="Y41" s="22">
        <v>190000</v>
      </c>
      <c r="Z41" s="22">
        <v>165000</v>
      </c>
      <c r="AA41" s="22">
        <v>170000</v>
      </c>
      <c r="AB41" s="22">
        <v>160000</v>
      </c>
      <c r="AC41" s="22">
        <v>159000</v>
      </c>
      <c r="AD41" s="22">
        <v>171000</v>
      </c>
      <c r="AE41" s="22">
        <f>TREND($M$41:$AD$41,$M$39:$AD$39,AE$39,TRUE)</f>
        <v>171126.91419474347</v>
      </c>
      <c r="AF41" s="22">
        <f t="shared" ref="AF41:BK41" si="11">TREND($M$41:$AD$41,$M$39:$AD$39,AF$39,TRUE)</f>
        <v>172983.77523045061</v>
      </c>
      <c r="AG41" s="22">
        <f t="shared" si="11"/>
        <v>184895.98241253791</v>
      </c>
      <c r="AH41" s="22">
        <f t="shared" si="11"/>
        <v>185293.38702323055</v>
      </c>
      <c r="AI41" s="22">
        <f t="shared" si="11"/>
        <v>185793.00666091882</v>
      </c>
      <c r="AJ41" s="22">
        <f t="shared" si="11"/>
        <v>186269.68180958129</v>
      </c>
      <c r="AK41" s="22">
        <f t="shared" si="11"/>
        <v>186834.34989394055</v>
      </c>
      <c r="AL41" s="22">
        <f t="shared" si="11"/>
        <v>187296.95528958668</v>
      </c>
      <c r="AM41" s="22">
        <f t="shared" si="11"/>
        <v>187539.15095216015</v>
      </c>
      <c r="AN41" s="22">
        <f t="shared" si="11"/>
        <v>187808.40814349937</v>
      </c>
      <c r="AO41" s="22">
        <f t="shared" si="11"/>
        <v>187939.51404306776</v>
      </c>
      <c r="AP41" s="22">
        <f t="shared" si="11"/>
        <v>187968.03768679808</v>
      </c>
      <c r="AQ41" s="22">
        <f t="shared" si="11"/>
        <v>187884.61612947486</v>
      </c>
      <c r="AR41" s="22">
        <f t="shared" si="11"/>
        <v>187035.15977315983</v>
      </c>
      <c r="AS41" s="22">
        <f t="shared" si="11"/>
        <v>186369.74363214668</v>
      </c>
      <c r="AT41" s="22">
        <f t="shared" si="11"/>
        <v>185289.22525611304</v>
      </c>
      <c r="AU41" s="22">
        <f t="shared" si="11"/>
        <v>183918.51411553205</v>
      </c>
      <c r="AV41" s="22">
        <f t="shared" si="11"/>
        <v>182241.90379737678</v>
      </c>
      <c r="AW41" s="22">
        <f t="shared" si="11"/>
        <v>180546.25233807473</v>
      </c>
      <c r="AX41" s="22">
        <f t="shared" si="11"/>
        <v>178640.19436773084</v>
      </c>
      <c r="AY41" s="22">
        <f t="shared" si="11"/>
        <v>176655.97117945272</v>
      </c>
      <c r="AZ41" s="22">
        <f t="shared" si="11"/>
        <v>174459.35723086944</v>
      </c>
      <c r="BA41" s="22">
        <f t="shared" si="11"/>
        <v>171931.50126426271</v>
      </c>
      <c r="BB41" s="22">
        <f t="shared" si="11"/>
        <v>169621.38125697972</v>
      </c>
      <c r="BC41" s="22">
        <f t="shared" si="11"/>
        <v>167056.97735263547</v>
      </c>
      <c r="BD41" s="22">
        <f t="shared" si="11"/>
        <v>164252.7852337767</v>
      </c>
      <c r="BE41" s="22">
        <f t="shared" si="11"/>
        <v>161173.02488002062</v>
      </c>
      <c r="BF41" s="22">
        <f t="shared" si="11"/>
        <v>157675.83810138647</v>
      </c>
      <c r="BG41" s="22">
        <f t="shared" si="11"/>
        <v>153695.23833988508</v>
      </c>
      <c r="BH41" s="22">
        <f t="shared" si="11"/>
        <v>149354.72180824255</v>
      </c>
      <c r="BI41" s="22">
        <f t="shared" si="11"/>
        <v>144923.95075784356</v>
      </c>
      <c r="BJ41" s="22">
        <f t="shared" si="11"/>
        <v>140100.64295975745</v>
      </c>
      <c r="BK41" s="22">
        <f t="shared" si="11"/>
        <v>134852.0418316354</v>
      </c>
    </row>
  </sheetData>
  <pageMargins left="0.7" right="0.7" top="0.75" bottom="0.75" header="0.3" footer="0.3"/>
  <pageSetup paperSize="9" orientation="portrait" r:id="rId1"/>
  <extLst>
    <ext xmlns:x14="http://schemas.microsoft.com/office/spreadsheetml/2009/9/main" uri="{05C60535-1F16-4fd2-B633-F4F36F0B64E0}">
      <x14:sparklineGroups xmlns:xm="http://schemas.microsoft.com/office/excel/2006/main">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'Intermediate calcs'!C5:BK5</xm:f>
              <xm:sqref>BM5</xm:sqref>
            </x14:sparkline>
            <x14:sparkline>
              <xm:f>'Intermediate calcs'!C6:BK6</xm:f>
              <xm:sqref>BM6</xm:sqref>
            </x14:sparkline>
            <x14:sparkline>
              <xm:f>'Intermediate calcs'!C7:BK7</xm:f>
              <xm:sqref>BM7</xm:sqref>
            </x14:sparkline>
            <x14:sparkline>
              <xm:f>'Intermediate calcs'!C8:BK8</xm:f>
              <xm:sqref>BM8</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H99"/>
  <sheetViews>
    <sheetView workbookViewId="0">
      <selection activeCell="B13" sqref="B13"/>
    </sheetView>
  </sheetViews>
  <sheetFormatPr defaultRowHeight="15" x14ac:dyDescent="0.25"/>
  <cols>
    <col min="1" max="1" width="21.28515625" customWidth="1"/>
    <col min="2" max="2" width="24.85546875" customWidth="1"/>
    <col min="3" max="3" width="16.85546875" customWidth="1"/>
    <col min="4" max="4" width="12.85546875" customWidth="1"/>
    <col min="5" max="5" width="42.42578125" customWidth="1"/>
    <col min="6" max="7" width="12.85546875" customWidth="1"/>
    <col min="8" max="8" width="12.7109375" customWidth="1"/>
  </cols>
  <sheetData>
    <row r="1" spans="1:8" ht="18.75" x14ac:dyDescent="0.3">
      <c r="A1" s="1" t="s">
        <v>12</v>
      </c>
    </row>
    <row r="3" spans="1:8" x14ac:dyDescent="0.25">
      <c r="A3" t="s">
        <v>13</v>
      </c>
      <c r="B3" s="22">
        <v>21</v>
      </c>
    </row>
    <row r="4" spans="1:8" x14ac:dyDescent="0.25">
      <c r="A4" t="s">
        <v>14</v>
      </c>
      <c r="B4" s="22">
        <v>310</v>
      </c>
    </row>
    <row r="5" spans="1:8" x14ac:dyDescent="0.25">
      <c r="A5" t="s">
        <v>463</v>
      </c>
      <c r="B5" s="22">
        <f>44/12</f>
        <v>3.6666666666666665</v>
      </c>
    </row>
    <row r="6" spans="1:8" x14ac:dyDescent="0.25">
      <c r="A6" t="s">
        <v>897</v>
      </c>
      <c r="B6" s="22">
        <f>12/44</f>
        <v>0.27272727272727271</v>
      </c>
    </row>
    <row r="8" spans="1:8" x14ac:dyDescent="0.25">
      <c r="A8" t="s">
        <v>150</v>
      </c>
      <c r="B8" s="22">
        <f>44/28</f>
        <v>1.5714285714285714</v>
      </c>
    </row>
    <row r="9" spans="1:8" x14ac:dyDescent="0.25">
      <c r="A9" t="s">
        <v>151</v>
      </c>
      <c r="B9" s="22">
        <v>9.9999999999999995E-7</v>
      </c>
    </row>
    <row r="10" spans="1:8" x14ac:dyDescent="0.25">
      <c r="A10" t="s">
        <v>324</v>
      </c>
      <c r="B10" s="22">
        <v>1E-3</v>
      </c>
    </row>
    <row r="11" spans="1:8" x14ac:dyDescent="0.25">
      <c r="A11" t="s">
        <v>464</v>
      </c>
      <c r="B11" s="22">
        <v>1E-3</v>
      </c>
    </row>
    <row r="12" spans="1:8" x14ac:dyDescent="0.25">
      <c r="A12" t="s">
        <v>493</v>
      </c>
      <c r="B12" s="22">
        <v>1000</v>
      </c>
    </row>
    <row r="13" spans="1:8" x14ac:dyDescent="0.25">
      <c r="A13" t="s">
        <v>898</v>
      </c>
      <c r="B13" s="22">
        <v>1000</v>
      </c>
    </row>
    <row r="16" spans="1:8" s="19" customFormat="1" ht="29.25" customHeight="1" x14ac:dyDescent="0.25">
      <c r="A16" s="17" t="s">
        <v>8</v>
      </c>
      <c r="B16" s="17" t="s">
        <v>318</v>
      </c>
      <c r="C16" s="17" t="s">
        <v>320</v>
      </c>
      <c r="D16" s="17" t="s">
        <v>153</v>
      </c>
      <c r="E16" s="17" t="s">
        <v>154</v>
      </c>
      <c r="F16" s="17" t="s">
        <v>0</v>
      </c>
      <c r="G16" s="17" t="s">
        <v>287</v>
      </c>
      <c r="H16" s="17" t="s">
        <v>808</v>
      </c>
    </row>
    <row r="17" spans="1:8" ht="18.75" customHeight="1" x14ac:dyDescent="0.25">
      <c r="A17" s="20" t="s">
        <v>3</v>
      </c>
      <c r="B17" s="20"/>
      <c r="C17" s="20"/>
      <c r="D17" s="15"/>
      <c r="E17" s="15"/>
      <c r="F17" s="15"/>
      <c r="G17" s="15"/>
      <c r="H17" s="15"/>
    </row>
    <row r="18" spans="1:8" x14ac:dyDescent="0.25">
      <c r="A18" s="24" t="str">
        <f>'IPCC Categories'!A5</f>
        <v>3A Livestock</v>
      </c>
      <c r="B18" s="24"/>
      <c r="C18" s="24" t="str">
        <f>'IPCC Categories'!$D$5</f>
        <v>3A1ai Dairy cattle</v>
      </c>
      <c r="D18" t="str">
        <f>'IPCC Categories'!$F$39</f>
        <v>TMR</v>
      </c>
      <c r="E18" t="s">
        <v>347</v>
      </c>
      <c r="F18" t="s">
        <v>333</v>
      </c>
      <c r="G18" t="s">
        <v>348</v>
      </c>
      <c r="H18" s="57">
        <v>0.55000000000000004</v>
      </c>
    </row>
    <row r="19" spans="1:8" x14ac:dyDescent="0.25">
      <c r="A19" t="str">
        <f t="shared" ref="A19:A24" si="0">A18</f>
        <v>3A Livestock</v>
      </c>
      <c r="C19" t="str">
        <f>'IPCC Categories'!C7</f>
        <v>3A1c Sheep</v>
      </c>
      <c r="E19" t="s">
        <v>355</v>
      </c>
      <c r="F19" t="s">
        <v>288</v>
      </c>
      <c r="H19" s="57">
        <v>0.14000000000000001</v>
      </c>
    </row>
    <row r="20" spans="1:8" x14ac:dyDescent="0.25">
      <c r="A20" t="str">
        <f t="shared" si="0"/>
        <v>3A Livestock</v>
      </c>
      <c r="C20" t="str">
        <f>'IPCC Categories'!C8</f>
        <v>3A1d Goats</v>
      </c>
      <c r="E20" t="s">
        <v>395</v>
      </c>
      <c r="F20" t="s">
        <v>288</v>
      </c>
      <c r="H20" s="57">
        <v>1.9750000000000001</v>
      </c>
    </row>
    <row r="21" spans="1:8" x14ac:dyDescent="0.25">
      <c r="A21" t="str">
        <f t="shared" si="0"/>
        <v>3A Livestock</v>
      </c>
      <c r="C21" t="str">
        <f>'IPCC Categories'!C11</f>
        <v>3A1h Swine</v>
      </c>
      <c r="E21" t="s">
        <v>363</v>
      </c>
      <c r="F21" t="s">
        <v>288</v>
      </c>
      <c r="H21" s="57">
        <v>0.13100000000000001</v>
      </c>
    </row>
    <row r="22" spans="1:8" x14ac:dyDescent="0.25">
      <c r="A22" t="str">
        <f t="shared" si="0"/>
        <v>3A Livestock</v>
      </c>
      <c r="C22" t="str">
        <f>'IPCC Categories'!C19</f>
        <v>3A2i Poultry</v>
      </c>
      <c r="E22" t="s">
        <v>370</v>
      </c>
      <c r="F22" t="s">
        <v>288</v>
      </c>
      <c r="H22" s="57">
        <v>0.04</v>
      </c>
    </row>
    <row r="23" spans="1:8" x14ac:dyDescent="0.25">
      <c r="A23" t="str">
        <f t="shared" si="0"/>
        <v>3A Livestock</v>
      </c>
      <c r="C23" t="str">
        <f>C22</f>
        <v>3A2i Poultry</v>
      </c>
      <c r="E23" t="s">
        <v>377</v>
      </c>
      <c r="F23" t="s">
        <v>288</v>
      </c>
      <c r="H23" s="57">
        <v>0.04</v>
      </c>
    </row>
    <row r="24" spans="1:8" x14ac:dyDescent="0.25">
      <c r="A24" t="str">
        <f t="shared" si="0"/>
        <v>3A Livestock</v>
      </c>
      <c r="C24" t="str">
        <f>C20</f>
        <v>3A1d Goats</v>
      </c>
      <c r="E24" t="s">
        <v>388</v>
      </c>
      <c r="F24" t="s">
        <v>333</v>
      </c>
      <c r="G24" t="s">
        <v>389</v>
      </c>
      <c r="H24" s="57">
        <v>0.06</v>
      </c>
    </row>
    <row r="25" spans="1:8" ht="18.75" customHeight="1" x14ac:dyDescent="0.25">
      <c r="A25" s="20" t="s">
        <v>713</v>
      </c>
      <c r="B25" s="20"/>
      <c r="C25" s="20"/>
      <c r="D25" s="15"/>
      <c r="E25" s="15"/>
      <c r="F25" s="15"/>
      <c r="G25" s="15"/>
      <c r="H25" s="15"/>
    </row>
    <row r="26" spans="1:8" x14ac:dyDescent="0.25">
      <c r="A26" t="str">
        <f>'IPCC Categories'!A59</f>
        <v>3C Aggregated and non-CO2 emissions on land</v>
      </c>
      <c r="B26" t="str">
        <f>'IPCC Categories'!B73</f>
        <v>3C4 Direct N2O from managed soils (N2O)</v>
      </c>
      <c r="C26" t="str">
        <f>'IPCC Categories'!C75</f>
        <v>Crop residues</v>
      </c>
      <c r="E26" t="s">
        <v>523</v>
      </c>
      <c r="F26" t="s">
        <v>449</v>
      </c>
      <c r="H26" s="57">
        <f>1+(70/30)</f>
        <v>3.3333333333333335</v>
      </c>
    </row>
    <row r="27" spans="1:8" x14ac:dyDescent="0.25">
      <c r="A27" t="str">
        <f>'IPCC Categories'!A59</f>
        <v>3C Aggregated and non-CO2 emissions on land</v>
      </c>
      <c r="B27" t="str">
        <f>'IPCC Categories'!B73</f>
        <v>3C4 Direct N2O from managed soils (N2O)</v>
      </c>
      <c r="C27" t="s">
        <v>315</v>
      </c>
      <c r="D27" t="str">
        <f>" - "&amp;'Activity data'!D5</f>
        <v xml:space="preserve"> - TMR</v>
      </c>
      <c r="E27" t="str">
        <f t="shared" ref="E27:E47" si="1">C27&amp;D27</f>
        <v>Excretion rate - TMR</v>
      </c>
      <c r="F27" t="s">
        <v>316</v>
      </c>
      <c r="H27" s="23">
        <f>SUM('Aggregated EF'!T8:T10)</f>
        <v>128.28236394776278</v>
      </c>
    </row>
    <row r="28" spans="1:8" x14ac:dyDescent="0.25">
      <c r="A28" t="str">
        <f t="shared" ref="A28:A44" si="2">A27</f>
        <v>3C Aggregated and non-CO2 emissions on land</v>
      </c>
      <c r="B28" t="str">
        <f t="shared" ref="B28:B44" si="3">B27</f>
        <v>3C4 Direct N2O from managed soils (N2O)</v>
      </c>
      <c r="C28" t="str">
        <f t="shared" ref="C28:C44" si="4">C27</f>
        <v>Excretion rate</v>
      </c>
      <c r="D28" t="str">
        <f>" - "&amp;'Activity data'!D6</f>
        <v xml:space="preserve"> - Pasture</v>
      </c>
      <c r="E28" t="str">
        <f t="shared" si="1"/>
        <v>Excretion rate - Pasture</v>
      </c>
      <c r="F28" t="str">
        <f t="shared" ref="F28:F44" si="5">F27</f>
        <v>kg N/head/yr</v>
      </c>
      <c r="H28" s="23">
        <f>SUM('Aggregated EF'!T5:T7)</f>
        <v>116.88195504174696</v>
      </c>
    </row>
    <row r="29" spans="1:8" x14ac:dyDescent="0.25">
      <c r="A29" t="str">
        <f t="shared" si="2"/>
        <v>3C Aggregated and non-CO2 emissions on land</v>
      </c>
      <c r="B29" t="str">
        <f t="shared" si="3"/>
        <v>3C4 Direct N2O from managed soils (N2O)</v>
      </c>
      <c r="C29" t="str">
        <f t="shared" si="4"/>
        <v>Excretion rate</v>
      </c>
      <c r="D29" t="str">
        <f>" - "&amp;'Activity data'!D7</f>
        <v xml:space="preserve"> - Non-lactating</v>
      </c>
      <c r="E29" t="str">
        <f t="shared" si="1"/>
        <v>Excretion rate - Non-lactating</v>
      </c>
      <c r="F29" t="str">
        <f t="shared" si="5"/>
        <v>kg N/head/yr</v>
      </c>
      <c r="H29" s="23">
        <f>SUM('Aggregated EF'!T12:T21)</f>
        <v>40.496928454397946</v>
      </c>
    </row>
    <row r="30" spans="1:8" x14ac:dyDescent="0.25">
      <c r="A30" t="str">
        <f t="shared" si="2"/>
        <v>3C Aggregated and non-CO2 emissions on land</v>
      </c>
      <c r="B30" t="str">
        <f t="shared" si="3"/>
        <v>3C4 Direct N2O from managed soils (N2O)</v>
      </c>
      <c r="C30" t="str">
        <f t="shared" si="4"/>
        <v>Excretion rate</v>
      </c>
      <c r="D30" t="str">
        <f>" - "&amp;'Activity data'!D8&amp;" cattle"</f>
        <v xml:space="preserve"> - Commercial cattle</v>
      </c>
      <c r="E30" t="str">
        <f t="shared" si="1"/>
        <v>Excretion rate - Commercial cattle</v>
      </c>
      <c r="F30" t="str">
        <f t="shared" si="5"/>
        <v>kg N/head/yr</v>
      </c>
      <c r="H30" s="23">
        <f>SUM('Aggregated EF'!T22:T24,'Aggregated EF'!T26:T28)</f>
        <v>86.354881619987609</v>
      </c>
    </row>
    <row r="31" spans="1:8" x14ac:dyDescent="0.25">
      <c r="A31" t="str">
        <f t="shared" si="2"/>
        <v>3C Aggregated and non-CO2 emissions on land</v>
      </c>
      <c r="B31" t="str">
        <f t="shared" si="3"/>
        <v>3C4 Direct N2O from managed soils (N2O)</v>
      </c>
      <c r="C31" t="str">
        <f t="shared" si="4"/>
        <v>Excretion rate</v>
      </c>
      <c r="D31" t="str">
        <f>" - "&amp;'Activity data'!D9&amp;" cattle"</f>
        <v xml:space="preserve"> - Subsistence cattle</v>
      </c>
      <c r="E31" t="str">
        <f t="shared" si="1"/>
        <v>Excretion rate - Subsistence cattle</v>
      </c>
      <c r="F31" t="str">
        <f t="shared" si="5"/>
        <v>kg N/head/yr</v>
      </c>
      <c r="H31" s="23">
        <f>SUM('Aggregated EF'!T29:T34)</f>
        <v>64.633710943402036</v>
      </c>
    </row>
    <row r="32" spans="1:8" x14ac:dyDescent="0.25">
      <c r="A32" t="str">
        <f t="shared" si="2"/>
        <v>3C Aggregated and non-CO2 emissions on land</v>
      </c>
      <c r="B32" t="str">
        <f t="shared" si="3"/>
        <v>3C4 Direct N2O from managed soils (N2O)</v>
      </c>
      <c r="C32" t="str">
        <f t="shared" si="4"/>
        <v>Excretion rate</v>
      </c>
      <c r="D32" t="str">
        <f>" - "&amp;'Activity data'!D10</f>
        <v xml:space="preserve"> - Feedlot</v>
      </c>
      <c r="E32" t="str">
        <f t="shared" si="1"/>
        <v>Excretion rate - Feedlot</v>
      </c>
      <c r="F32" t="str">
        <f t="shared" si="5"/>
        <v>kg N/head/yr</v>
      </c>
      <c r="H32" s="23">
        <f>'Aggregated EF'!T25</f>
        <v>65.765699999999995</v>
      </c>
    </row>
    <row r="33" spans="1:8" x14ac:dyDescent="0.25">
      <c r="A33" t="str">
        <f t="shared" si="2"/>
        <v>3C Aggregated and non-CO2 emissions on land</v>
      </c>
      <c r="B33" t="str">
        <f t="shared" si="3"/>
        <v>3C4 Direct N2O from managed soils (N2O)</v>
      </c>
      <c r="C33" t="str">
        <f t="shared" si="4"/>
        <v>Excretion rate</v>
      </c>
      <c r="D33" t="str">
        <f>" - "&amp;'Activity data'!D11&amp;" sheep"</f>
        <v xml:space="preserve"> - Commercial sheep</v>
      </c>
      <c r="E33" t="str">
        <f t="shared" si="1"/>
        <v>Excretion rate - Commercial sheep</v>
      </c>
      <c r="F33" t="str">
        <f t="shared" si="5"/>
        <v>kg N/head/yr</v>
      </c>
      <c r="H33" s="23">
        <f>SUM('Aggregated EF'!T36:T59)</f>
        <v>19.60551595998232</v>
      </c>
    </row>
    <row r="34" spans="1:8" x14ac:dyDescent="0.25">
      <c r="A34" t="str">
        <f t="shared" si="2"/>
        <v>3C Aggregated and non-CO2 emissions on land</v>
      </c>
      <c r="B34" t="str">
        <f t="shared" si="3"/>
        <v>3C4 Direct N2O from managed soils (N2O)</v>
      </c>
      <c r="C34" t="str">
        <f t="shared" si="4"/>
        <v>Excretion rate</v>
      </c>
      <c r="D34" t="str">
        <f>" - "&amp;'Activity data'!D12&amp;" sheep"</f>
        <v xml:space="preserve"> - Subsistence sheep</v>
      </c>
      <c r="E34" t="str">
        <f t="shared" si="1"/>
        <v>Excretion rate - Subsistence sheep</v>
      </c>
      <c r="F34" t="str">
        <f t="shared" si="5"/>
        <v>kg N/head/yr</v>
      </c>
      <c r="H34" s="23">
        <f>SUM('Aggregated EF'!T60:T83)</f>
        <v>15.591414113527657</v>
      </c>
    </row>
    <row r="35" spans="1:8" x14ac:dyDescent="0.25">
      <c r="A35" t="str">
        <f t="shared" si="2"/>
        <v>3C Aggregated and non-CO2 emissions on land</v>
      </c>
      <c r="B35" t="str">
        <f t="shared" si="3"/>
        <v>3C4 Direct N2O from managed soils (N2O)</v>
      </c>
      <c r="C35" t="str">
        <f t="shared" si="4"/>
        <v>Excretion rate</v>
      </c>
      <c r="D35" t="str">
        <f>" - "&amp;'Activity data'!D13&amp;" goats"</f>
        <v xml:space="preserve"> - Commercial goats</v>
      </c>
      <c r="E35" t="str">
        <f t="shared" si="1"/>
        <v>Excretion rate - Commercial goats</v>
      </c>
      <c r="F35" t="str">
        <f t="shared" si="5"/>
        <v>kg N/head/yr</v>
      </c>
      <c r="H35" s="23">
        <f>SUM('Aggregated EF'!T85:T102)</f>
        <v>22.287353637058541</v>
      </c>
    </row>
    <row r="36" spans="1:8" x14ac:dyDescent="0.25">
      <c r="A36" t="str">
        <f t="shared" si="2"/>
        <v>3C Aggregated and non-CO2 emissions on land</v>
      </c>
      <c r="B36" t="str">
        <f t="shared" si="3"/>
        <v>3C4 Direct N2O from managed soils (N2O)</v>
      </c>
      <c r="C36" t="str">
        <f t="shared" si="4"/>
        <v>Excretion rate</v>
      </c>
      <c r="D36" t="str">
        <f>" - "&amp;'Activity data'!D14&amp;" goats"</f>
        <v xml:space="preserve"> - Subsistence goats</v>
      </c>
      <c r="E36" t="str">
        <f t="shared" si="1"/>
        <v>Excretion rate - Subsistence goats</v>
      </c>
      <c r="F36" t="str">
        <f t="shared" si="5"/>
        <v>kg N/head/yr</v>
      </c>
      <c r="H36" s="23">
        <f>SUM('Aggregated EF'!T103:T108)</f>
        <v>20.227322529999995</v>
      </c>
    </row>
    <row r="37" spans="1:8" x14ac:dyDescent="0.25">
      <c r="A37" t="str">
        <f t="shared" si="2"/>
        <v>3C Aggregated and non-CO2 emissions on land</v>
      </c>
      <c r="B37" t="str">
        <f t="shared" si="3"/>
        <v>3C4 Direct N2O from managed soils (N2O)</v>
      </c>
      <c r="C37" t="str">
        <f t="shared" si="4"/>
        <v>Excretion rate</v>
      </c>
      <c r="D37" t="str">
        <f>" - "&amp;'Activity data'!D15</f>
        <v xml:space="preserve"> - Horses</v>
      </c>
      <c r="E37" t="str">
        <f t="shared" si="1"/>
        <v>Excretion rate - Horses</v>
      </c>
      <c r="F37" t="str">
        <f t="shared" si="5"/>
        <v>kg N/head/yr</v>
      </c>
      <c r="H37" s="23">
        <f>'Aggregated EF'!T110</f>
        <v>39.5</v>
      </c>
    </row>
    <row r="38" spans="1:8" x14ac:dyDescent="0.25">
      <c r="A38" t="str">
        <f t="shared" si="2"/>
        <v>3C Aggregated and non-CO2 emissions on land</v>
      </c>
      <c r="B38" t="str">
        <f t="shared" si="3"/>
        <v>3C4 Direct N2O from managed soils (N2O)</v>
      </c>
      <c r="C38" t="str">
        <f t="shared" si="4"/>
        <v>Excretion rate</v>
      </c>
      <c r="D38" t="str">
        <f>" - "&amp;'Activity data'!D16</f>
        <v xml:space="preserve"> - Mules &amp; Asses</v>
      </c>
      <c r="E38" t="str">
        <f t="shared" si="1"/>
        <v>Excretion rate - Mules &amp; Asses</v>
      </c>
      <c r="F38" t="str">
        <f t="shared" si="5"/>
        <v>kg N/head/yr</v>
      </c>
      <c r="H38" s="23">
        <f>'Aggregated EF'!T112</f>
        <v>13.2</v>
      </c>
    </row>
    <row r="39" spans="1:8" x14ac:dyDescent="0.25">
      <c r="A39" t="str">
        <f t="shared" si="2"/>
        <v>3C Aggregated and non-CO2 emissions on land</v>
      </c>
      <c r="B39" t="str">
        <f t="shared" si="3"/>
        <v>3C4 Direct N2O from managed soils (N2O)</v>
      </c>
      <c r="C39" t="str">
        <f t="shared" si="4"/>
        <v>Excretion rate</v>
      </c>
      <c r="D39" t="str">
        <f>" - "&amp;'Activity data'!D17&amp;" swine"</f>
        <v xml:space="preserve"> - Commercial swine</v>
      </c>
      <c r="E39" t="str">
        <f t="shared" si="1"/>
        <v>Excretion rate - Commercial swine</v>
      </c>
      <c r="F39" t="str">
        <f t="shared" si="5"/>
        <v>kg N/head/yr</v>
      </c>
      <c r="H39" s="23">
        <f>SUM('Aggregated EF'!T114:T123)</f>
        <v>13.769600000000001</v>
      </c>
    </row>
    <row r="40" spans="1:8" x14ac:dyDescent="0.25">
      <c r="A40" t="str">
        <f t="shared" si="2"/>
        <v>3C Aggregated and non-CO2 emissions on land</v>
      </c>
      <c r="B40" t="str">
        <f t="shared" si="3"/>
        <v>3C4 Direct N2O from managed soils (N2O)</v>
      </c>
      <c r="C40" t="str">
        <f t="shared" si="4"/>
        <v>Excretion rate</v>
      </c>
      <c r="D40" t="str">
        <f>" - "&amp;'Activity data'!D18&amp;" swine"</f>
        <v xml:space="preserve"> - Subsistence swine</v>
      </c>
      <c r="E40" t="str">
        <f t="shared" si="1"/>
        <v>Excretion rate - Subsistence swine</v>
      </c>
      <c r="F40" t="str">
        <f t="shared" si="5"/>
        <v>kg N/head/yr</v>
      </c>
      <c r="H40" s="23">
        <f>SUM('Aggregated EF'!T124:T133)</f>
        <v>15.091520000000001</v>
      </c>
    </row>
    <row r="41" spans="1:8" x14ac:dyDescent="0.25">
      <c r="A41" t="str">
        <f t="shared" si="2"/>
        <v>3C Aggregated and non-CO2 emissions on land</v>
      </c>
      <c r="B41" t="str">
        <f t="shared" si="3"/>
        <v>3C4 Direct N2O from managed soils (N2O)</v>
      </c>
      <c r="C41" t="str">
        <f t="shared" si="4"/>
        <v>Excretion rate</v>
      </c>
      <c r="D41" t="str">
        <f>" - "&amp;'Activity data'!D19</f>
        <v xml:space="preserve"> - Commercial layers</v>
      </c>
      <c r="E41" t="str">
        <f t="shared" si="1"/>
        <v>Excretion rate - Commercial layers</v>
      </c>
      <c r="F41" t="str">
        <f t="shared" si="5"/>
        <v>kg N/head/yr</v>
      </c>
      <c r="H41" s="23">
        <f>'Aggregated EF'!T136</f>
        <v>0.6</v>
      </c>
    </row>
    <row r="42" spans="1:8" x14ac:dyDescent="0.25">
      <c r="A42" t="str">
        <f t="shared" si="2"/>
        <v>3C Aggregated and non-CO2 emissions on land</v>
      </c>
      <c r="B42" t="str">
        <f t="shared" si="3"/>
        <v>3C4 Direct N2O from managed soils (N2O)</v>
      </c>
      <c r="C42" t="str">
        <f t="shared" si="4"/>
        <v>Excretion rate</v>
      </c>
      <c r="D42" t="str">
        <f>" - "&amp;'Activity data'!D20</f>
        <v xml:space="preserve"> - Commercial broilers</v>
      </c>
      <c r="E42" t="str">
        <f t="shared" si="1"/>
        <v>Excretion rate - Commercial broilers</v>
      </c>
      <c r="F42" t="str">
        <f t="shared" si="5"/>
        <v>kg N/head/yr</v>
      </c>
      <c r="H42" s="23">
        <f>'Aggregated EF'!T135</f>
        <v>0.7</v>
      </c>
    </row>
    <row r="43" spans="1:8" x14ac:dyDescent="0.25">
      <c r="A43" t="str">
        <f t="shared" si="2"/>
        <v>3C Aggregated and non-CO2 emissions on land</v>
      </c>
      <c r="B43" t="str">
        <f t="shared" si="3"/>
        <v>3C4 Direct N2O from managed soils (N2O)</v>
      </c>
      <c r="C43" t="str">
        <f t="shared" si="4"/>
        <v>Excretion rate</v>
      </c>
      <c r="D43" t="str">
        <f>" - "&amp;'Activity data'!D21</f>
        <v xml:space="preserve"> - Subsistence layers</v>
      </c>
      <c r="E43" t="str">
        <f t="shared" si="1"/>
        <v>Excretion rate - Subsistence layers</v>
      </c>
      <c r="F43" t="str">
        <f t="shared" si="5"/>
        <v>kg N/head/yr</v>
      </c>
      <c r="H43" s="23">
        <f>'Aggregated EF'!T138</f>
        <v>0.6</v>
      </c>
    </row>
    <row r="44" spans="1:8" x14ac:dyDescent="0.25">
      <c r="A44" t="str">
        <f t="shared" si="2"/>
        <v>3C Aggregated and non-CO2 emissions on land</v>
      </c>
      <c r="B44" t="str">
        <f t="shared" si="3"/>
        <v>3C4 Direct N2O from managed soils (N2O)</v>
      </c>
      <c r="C44" t="str">
        <f t="shared" si="4"/>
        <v>Excretion rate</v>
      </c>
      <c r="D44" t="str">
        <f>" - "&amp;'Activity data'!D22</f>
        <v xml:space="preserve"> - Subsistence broilers</v>
      </c>
      <c r="E44" t="str">
        <f t="shared" si="1"/>
        <v>Excretion rate - Subsistence broilers</v>
      </c>
      <c r="F44" t="str">
        <f t="shared" si="5"/>
        <v>kg N/head/yr</v>
      </c>
      <c r="H44" s="23">
        <f>'Aggregated EF'!T137</f>
        <v>0.7</v>
      </c>
    </row>
    <row r="45" spans="1:8" x14ac:dyDescent="0.25">
      <c r="A45" t="str">
        <f t="shared" ref="A45:A76" si="6">A44</f>
        <v>3C Aggregated and non-CO2 emissions on land</v>
      </c>
      <c r="B45" t="str">
        <f t="shared" ref="B45:B76" si="7">B44</f>
        <v>3C4 Direct N2O from managed soils (N2O)</v>
      </c>
      <c r="C45" t="s">
        <v>466</v>
      </c>
      <c r="D45" t="str">
        <f t="shared" ref="D45:D78" si="8">D27</f>
        <v xml:space="preserve"> - TMR</v>
      </c>
      <c r="E45" t="str">
        <f t="shared" si="1"/>
        <v>FracMM - TMR</v>
      </c>
      <c r="F45" t="s">
        <v>333</v>
      </c>
      <c r="H45" s="23">
        <v>1</v>
      </c>
    </row>
    <row r="46" spans="1:8" x14ac:dyDescent="0.25">
      <c r="A46" t="str">
        <f t="shared" si="6"/>
        <v>3C Aggregated and non-CO2 emissions on land</v>
      </c>
      <c r="B46" t="str">
        <f t="shared" si="7"/>
        <v>3C4 Direct N2O from managed soils (N2O)</v>
      </c>
      <c r="C46" t="s">
        <v>466</v>
      </c>
      <c r="D46" t="str">
        <f t="shared" si="8"/>
        <v xml:space="preserve"> - Pasture</v>
      </c>
      <c r="E46" t="str">
        <f t="shared" si="1"/>
        <v>FracMM - Pasture</v>
      </c>
      <c r="F46" t="s">
        <v>333</v>
      </c>
      <c r="H46" s="23">
        <v>0.4</v>
      </c>
    </row>
    <row r="47" spans="1:8" x14ac:dyDescent="0.25">
      <c r="A47" t="str">
        <f t="shared" si="6"/>
        <v>3C Aggregated and non-CO2 emissions on land</v>
      </c>
      <c r="B47" t="str">
        <f t="shared" si="7"/>
        <v>3C4 Direct N2O from managed soils (N2O)</v>
      </c>
      <c r="C47" t="s">
        <v>466</v>
      </c>
      <c r="D47" t="str">
        <f t="shared" si="8"/>
        <v xml:space="preserve"> - Non-lactating</v>
      </c>
      <c r="E47" t="str">
        <f t="shared" si="1"/>
        <v>FracMM - Non-lactating</v>
      </c>
      <c r="F47" t="s">
        <v>333</v>
      </c>
      <c r="H47" s="23">
        <v>0.05</v>
      </c>
    </row>
    <row r="48" spans="1:8" x14ac:dyDescent="0.25">
      <c r="A48" t="str">
        <f t="shared" si="6"/>
        <v>3C Aggregated and non-CO2 emissions on land</v>
      </c>
      <c r="B48" t="str">
        <f t="shared" si="7"/>
        <v>3C4 Direct N2O from managed soils (N2O)</v>
      </c>
      <c r="C48" t="s">
        <v>466</v>
      </c>
      <c r="D48" t="str">
        <f t="shared" si="8"/>
        <v xml:space="preserve"> - Commercial cattle</v>
      </c>
      <c r="E48" t="str">
        <f>C48&amp;D48&amp;" cattle"</f>
        <v>FracMM - Commercial cattle cattle</v>
      </c>
      <c r="F48" t="s">
        <v>333</v>
      </c>
      <c r="H48" s="23">
        <v>0.05</v>
      </c>
    </row>
    <row r="49" spans="1:8" x14ac:dyDescent="0.25">
      <c r="A49" t="str">
        <f t="shared" si="6"/>
        <v>3C Aggregated and non-CO2 emissions on land</v>
      </c>
      <c r="B49" t="str">
        <f t="shared" si="7"/>
        <v>3C4 Direct N2O from managed soils (N2O)</v>
      </c>
      <c r="C49" t="s">
        <v>466</v>
      </c>
      <c r="D49" t="str">
        <f t="shared" si="8"/>
        <v xml:space="preserve"> - Subsistence cattle</v>
      </c>
      <c r="E49" t="str">
        <f>C49&amp;D49&amp;" cattle"</f>
        <v>FracMM - Subsistence cattle cattle</v>
      </c>
      <c r="F49" t="s">
        <v>333</v>
      </c>
      <c r="H49" s="23">
        <v>0.1</v>
      </c>
    </row>
    <row r="50" spans="1:8" x14ac:dyDescent="0.25">
      <c r="A50" t="str">
        <f t="shared" si="6"/>
        <v>3C Aggregated and non-CO2 emissions on land</v>
      </c>
      <c r="B50" t="str">
        <f t="shared" si="7"/>
        <v>3C4 Direct N2O from managed soils (N2O)</v>
      </c>
      <c r="C50" t="s">
        <v>466</v>
      </c>
      <c r="D50" t="str">
        <f t="shared" si="8"/>
        <v xml:space="preserve"> - Feedlot</v>
      </c>
      <c r="E50" t="str">
        <f t="shared" ref="E50:E94" si="9">C50&amp;D50</f>
        <v>FracMM - Feedlot</v>
      </c>
      <c r="F50" t="s">
        <v>333</v>
      </c>
      <c r="H50" s="23">
        <v>1</v>
      </c>
    </row>
    <row r="51" spans="1:8" x14ac:dyDescent="0.25">
      <c r="A51" t="str">
        <f t="shared" si="6"/>
        <v>3C Aggregated and non-CO2 emissions on land</v>
      </c>
      <c r="B51" t="str">
        <f t="shared" si="7"/>
        <v>3C4 Direct N2O from managed soils (N2O)</v>
      </c>
      <c r="C51" t="s">
        <v>466</v>
      </c>
      <c r="D51" t="str">
        <f t="shared" si="8"/>
        <v xml:space="preserve"> - Commercial sheep</v>
      </c>
      <c r="E51" t="str">
        <f t="shared" si="9"/>
        <v>FracMM - Commercial sheep</v>
      </c>
      <c r="F51" t="s">
        <v>333</v>
      </c>
      <c r="H51" s="23">
        <v>0.01</v>
      </c>
    </row>
    <row r="52" spans="1:8" x14ac:dyDescent="0.25">
      <c r="A52" t="str">
        <f t="shared" si="6"/>
        <v>3C Aggregated and non-CO2 emissions on land</v>
      </c>
      <c r="B52" t="str">
        <f t="shared" si="7"/>
        <v>3C4 Direct N2O from managed soils (N2O)</v>
      </c>
      <c r="C52" t="s">
        <v>466</v>
      </c>
      <c r="D52" t="str">
        <f t="shared" si="8"/>
        <v xml:space="preserve"> - Subsistence sheep</v>
      </c>
      <c r="E52" t="str">
        <f t="shared" si="9"/>
        <v>FracMM - Subsistence sheep</v>
      </c>
      <c r="F52" t="s">
        <v>333</v>
      </c>
      <c r="H52" s="23">
        <v>7.0000000000000007E-2</v>
      </c>
    </row>
    <row r="53" spans="1:8" x14ac:dyDescent="0.25">
      <c r="A53" t="str">
        <f t="shared" si="6"/>
        <v>3C Aggregated and non-CO2 emissions on land</v>
      </c>
      <c r="B53" t="str">
        <f t="shared" si="7"/>
        <v>3C4 Direct N2O from managed soils (N2O)</v>
      </c>
      <c r="C53" t="s">
        <v>466</v>
      </c>
      <c r="D53" t="str">
        <f t="shared" si="8"/>
        <v xml:space="preserve"> - Commercial goats</v>
      </c>
      <c r="E53" t="str">
        <f t="shared" si="9"/>
        <v>FracMM - Commercial goats</v>
      </c>
      <c r="F53" t="s">
        <v>333</v>
      </c>
      <c r="H53" s="23">
        <v>0.01</v>
      </c>
    </row>
    <row r="54" spans="1:8" x14ac:dyDescent="0.25">
      <c r="A54" t="str">
        <f t="shared" si="6"/>
        <v>3C Aggregated and non-CO2 emissions on land</v>
      </c>
      <c r="B54" t="str">
        <f t="shared" si="7"/>
        <v>3C4 Direct N2O from managed soils (N2O)</v>
      </c>
      <c r="C54" t="s">
        <v>466</v>
      </c>
      <c r="D54" t="str">
        <f t="shared" si="8"/>
        <v xml:space="preserve"> - Subsistence goats</v>
      </c>
      <c r="E54" t="str">
        <f t="shared" si="9"/>
        <v>FracMM - Subsistence goats</v>
      </c>
      <c r="F54" t="s">
        <v>333</v>
      </c>
      <c r="H54" s="23">
        <v>7.0000000000000007E-2</v>
      </c>
    </row>
    <row r="55" spans="1:8" x14ac:dyDescent="0.25">
      <c r="A55" t="str">
        <f t="shared" si="6"/>
        <v>3C Aggregated and non-CO2 emissions on land</v>
      </c>
      <c r="B55" t="str">
        <f t="shared" si="7"/>
        <v>3C4 Direct N2O from managed soils (N2O)</v>
      </c>
      <c r="C55" t="s">
        <v>466</v>
      </c>
      <c r="D55" t="str">
        <f t="shared" si="8"/>
        <v xml:space="preserve"> - Horses</v>
      </c>
      <c r="E55" t="str">
        <f t="shared" si="9"/>
        <v>FracMM - Horses</v>
      </c>
      <c r="F55" t="s">
        <v>333</v>
      </c>
      <c r="H55" s="23">
        <v>0</v>
      </c>
    </row>
    <row r="56" spans="1:8" x14ac:dyDescent="0.25">
      <c r="A56" t="str">
        <f t="shared" si="6"/>
        <v>3C Aggregated and non-CO2 emissions on land</v>
      </c>
      <c r="B56" t="str">
        <f t="shared" si="7"/>
        <v>3C4 Direct N2O from managed soils (N2O)</v>
      </c>
      <c r="C56" t="s">
        <v>466</v>
      </c>
      <c r="D56" t="str">
        <f t="shared" si="8"/>
        <v xml:space="preserve"> - Mules &amp; Asses</v>
      </c>
      <c r="E56" t="str">
        <f t="shared" si="9"/>
        <v>FracMM - Mules &amp; Asses</v>
      </c>
      <c r="F56" t="s">
        <v>333</v>
      </c>
      <c r="H56" s="23">
        <v>0</v>
      </c>
    </row>
    <row r="57" spans="1:8" x14ac:dyDescent="0.25">
      <c r="A57" t="str">
        <f t="shared" si="6"/>
        <v>3C Aggregated and non-CO2 emissions on land</v>
      </c>
      <c r="B57" t="str">
        <f t="shared" si="7"/>
        <v>3C4 Direct N2O from managed soils (N2O)</v>
      </c>
      <c r="C57" t="s">
        <v>466</v>
      </c>
      <c r="D57" t="str">
        <f t="shared" si="8"/>
        <v xml:space="preserve"> - Commercial swine</v>
      </c>
      <c r="E57" t="str">
        <f t="shared" si="9"/>
        <v>FracMM - Commercial swine</v>
      </c>
      <c r="F57" t="s">
        <v>333</v>
      </c>
      <c r="H57" s="23">
        <v>1</v>
      </c>
    </row>
    <row r="58" spans="1:8" x14ac:dyDescent="0.25">
      <c r="A58" t="str">
        <f t="shared" si="6"/>
        <v>3C Aggregated and non-CO2 emissions on land</v>
      </c>
      <c r="B58" t="str">
        <f t="shared" si="7"/>
        <v>3C4 Direct N2O from managed soils (N2O)</v>
      </c>
      <c r="C58" t="s">
        <v>466</v>
      </c>
      <c r="D58" t="str">
        <f t="shared" si="8"/>
        <v xml:space="preserve"> - Subsistence swine</v>
      </c>
      <c r="E58" t="str">
        <f t="shared" si="9"/>
        <v>FracMM - Subsistence swine</v>
      </c>
      <c r="F58" t="s">
        <v>333</v>
      </c>
      <c r="H58" s="23">
        <v>1</v>
      </c>
    </row>
    <row r="59" spans="1:8" x14ac:dyDescent="0.25">
      <c r="A59" t="str">
        <f t="shared" si="6"/>
        <v>3C Aggregated and non-CO2 emissions on land</v>
      </c>
      <c r="B59" t="str">
        <f t="shared" si="7"/>
        <v>3C4 Direct N2O from managed soils (N2O)</v>
      </c>
      <c r="C59" t="s">
        <v>466</v>
      </c>
      <c r="D59" t="str">
        <f t="shared" si="8"/>
        <v xml:space="preserve"> - Commercial layers</v>
      </c>
      <c r="E59" t="str">
        <f t="shared" si="9"/>
        <v>FracMM - Commercial layers</v>
      </c>
      <c r="F59" t="s">
        <v>333</v>
      </c>
      <c r="H59" s="23">
        <v>1</v>
      </c>
    </row>
    <row r="60" spans="1:8" x14ac:dyDescent="0.25">
      <c r="A60" t="str">
        <f t="shared" si="6"/>
        <v>3C Aggregated and non-CO2 emissions on land</v>
      </c>
      <c r="B60" t="str">
        <f t="shared" si="7"/>
        <v>3C4 Direct N2O from managed soils (N2O)</v>
      </c>
      <c r="C60" t="s">
        <v>466</v>
      </c>
      <c r="D60" t="str">
        <f t="shared" si="8"/>
        <v xml:space="preserve"> - Commercial broilers</v>
      </c>
      <c r="E60" t="str">
        <f t="shared" si="9"/>
        <v>FracMM - Commercial broilers</v>
      </c>
      <c r="F60" t="s">
        <v>333</v>
      </c>
      <c r="H60" s="23">
        <v>1</v>
      </c>
    </row>
    <row r="61" spans="1:8" x14ac:dyDescent="0.25">
      <c r="A61" t="str">
        <f t="shared" si="6"/>
        <v>3C Aggregated and non-CO2 emissions on land</v>
      </c>
      <c r="B61" t="str">
        <f t="shared" si="7"/>
        <v>3C4 Direct N2O from managed soils (N2O)</v>
      </c>
      <c r="C61" t="s">
        <v>466</v>
      </c>
      <c r="D61" t="str">
        <f t="shared" si="8"/>
        <v xml:space="preserve"> - Subsistence layers</v>
      </c>
      <c r="E61" t="str">
        <f t="shared" si="9"/>
        <v>FracMM - Subsistence layers</v>
      </c>
      <c r="F61" t="s">
        <v>333</v>
      </c>
      <c r="H61" s="23">
        <v>1</v>
      </c>
    </row>
    <row r="62" spans="1:8" x14ac:dyDescent="0.25">
      <c r="A62" t="str">
        <f t="shared" si="6"/>
        <v>3C Aggregated and non-CO2 emissions on land</v>
      </c>
      <c r="B62" t="str">
        <f t="shared" si="7"/>
        <v>3C4 Direct N2O from managed soils (N2O)</v>
      </c>
      <c r="C62" t="s">
        <v>466</v>
      </c>
      <c r="D62" t="str">
        <f t="shared" si="8"/>
        <v xml:space="preserve"> - Subsistence broilers</v>
      </c>
      <c r="E62" t="str">
        <f t="shared" si="9"/>
        <v>FracMM - Subsistence broilers</v>
      </c>
      <c r="F62" t="s">
        <v>333</v>
      </c>
      <c r="H62" s="23">
        <v>1</v>
      </c>
    </row>
    <row r="63" spans="1:8" x14ac:dyDescent="0.25">
      <c r="A63" t="str">
        <f t="shared" si="6"/>
        <v>3C Aggregated and non-CO2 emissions on land</v>
      </c>
      <c r="B63" t="str">
        <f t="shared" si="7"/>
        <v>3C4 Direct N2O from managed soils (N2O)</v>
      </c>
      <c r="C63" t="s">
        <v>479</v>
      </c>
      <c r="D63" t="str">
        <f t="shared" si="8"/>
        <v xml:space="preserve"> - TMR</v>
      </c>
      <c r="E63" t="str">
        <f t="shared" si="9"/>
        <v>FracLoss - TMR</v>
      </c>
      <c r="F63" t="s">
        <v>333</v>
      </c>
      <c r="H63" s="23">
        <v>0.73199999999999998</v>
      </c>
    </row>
    <row r="64" spans="1:8" x14ac:dyDescent="0.25">
      <c r="A64" t="str">
        <f t="shared" si="6"/>
        <v>3C Aggregated and non-CO2 emissions on land</v>
      </c>
      <c r="B64" t="str">
        <f t="shared" si="7"/>
        <v>3C4 Direct N2O from managed soils (N2O)</v>
      </c>
      <c r="C64" t="s">
        <v>479</v>
      </c>
      <c r="D64" t="str">
        <f t="shared" si="8"/>
        <v xml:space="preserve"> - Pasture</v>
      </c>
      <c r="E64" t="str">
        <f t="shared" si="9"/>
        <v>FracLoss - Pasture</v>
      </c>
      <c r="F64" t="s">
        <v>333</v>
      </c>
      <c r="H64" s="23">
        <v>0.155</v>
      </c>
    </row>
    <row r="65" spans="1:8" x14ac:dyDescent="0.25">
      <c r="A65" t="str">
        <f t="shared" si="6"/>
        <v>3C Aggregated and non-CO2 emissions on land</v>
      </c>
      <c r="B65" t="str">
        <f t="shared" si="7"/>
        <v>3C4 Direct N2O from managed soils (N2O)</v>
      </c>
      <c r="C65" t="s">
        <v>479</v>
      </c>
      <c r="D65" t="str">
        <f t="shared" si="8"/>
        <v xml:space="preserve"> - Non-lactating</v>
      </c>
      <c r="E65" t="str">
        <f t="shared" si="9"/>
        <v>FracLoss - Non-lactating</v>
      </c>
      <c r="F65" t="s">
        <v>333</v>
      </c>
      <c r="H65" s="23">
        <v>1.7999999999999999E-2</v>
      </c>
    </row>
    <row r="66" spans="1:8" x14ac:dyDescent="0.25">
      <c r="A66" t="str">
        <f t="shared" si="6"/>
        <v>3C Aggregated and non-CO2 emissions on land</v>
      </c>
      <c r="B66" t="str">
        <f t="shared" si="7"/>
        <v>3C4 Direct N2O from managed soils (N2O)</v>
      </c>
      <c r="C66" t="s">
        <v>479</v>
      </c>
      <c r="D66" t="str">
        <f t="shared" si="8"/>
        <v xml:space="preserve"> - Commercial cattle</v>
      </c>
      <c r="E66" t="str">
        <f t="shared" si="9"/>
        <v>FracLoss - Commercial cattle</v>
      </c>
      <c r="F66" t="s">
        <v>333</v>
      </c>
      <c r="H66" s="23">
        <v>0.01</v>
      </c>
    </row>
    <row r="67" spans="1:8" x14ac:dyDescent="0.25">
      <c r="A67" t="str">
        <f t="shared" si="6"/>
        <v>3C Aggregated and non-CO2 emissions on land</v>
      </c>
      <c r="B67" t="str">
        <f t="shared" si="7"/>
        <v>3C4 Direct N2O from managed soils (N2O)</v>
      </c>
      <c r="C67" t="s">
        <v>479</v>
      </c>
      <c r="D67" t="str">
        <f t="shared" si="8"/>
        <v xml:space="preserve"> - Subsistence cattle</v>
      </c>
      <c r="E67" t="str">
        <f t="shared" si="9"/>
        <v>FracLoss - Subsistence cattle</v>
      </c>
      <c r="F67" t="s">
        <v>333</v>
      </c>
      <c r="H67" s="23">
        <v>0.04</v>
      </c>
    </row>
    <row r="68" spans="1:8" x14ac:dyDescent="0.25">
      <c r="A68" t="str">
        <f t="shared" si="6"/>
        <v>3C Aggregated and non-CO2 emissions on land</v>
      </c>
      <c r="B68" t="str">
        <f t="shared" si="7"/>
        <v>3C4 Direct N2O from managed soils (N2O)</v>
      </c>
      <c r="C68" t="s">
        <v>479</v>
      </c>
      <c r="D68" t="str">
        <f t="shared" si="8"/>
        <v xml:space="preserve"> - Feedlot</v>
      </c>
      <c r="E68" t="str">
        <f t="shared" si="9"/>
        <v>FracLoss - Feedlot</v>
      </c>
      <c r="F68" t="s">
        <v>333</v>
      </c>
      <c r="H68" s="23">
        <v>0.38600000000000001</v>
      </c>
    </row>
    <row r="69" spans="1:8" x14ac:dyDescent="0.25">
      <c r="A69" t="str">
        <f t="shared" si="6"/>
        <v>3C Aggregated and non-CO2 emissions on land</v>
      </c>
      <c r="B69" t="str">
        <f t="shared" si="7"/>
        <v>3C4 Direct N2O from managed soils (N2O)</v>
      </c>
      <c r="C69" t="s">
        <v>479</v>
      </c>
      <c r="D69" t="str">
        <f t="shared" si="8"/>
        <v xml:space="preserve"> - Commercial sheep</v>
      </c>
      <c r="E69" t="str">
        <f t="shared" si="9"/>
        <v>FracLoss - Commercial sheep</v>
      </c>
      <c r="F69" t="s">
        <v>333</v>
      </c>
      <c r="H69" s="23">
        <v>4.0000000000000001E-3</v>
      </c>
    </row>
    <row r="70" spans="1:8" x14ac:dyDescent="0.25">
      <c r="A70" t="str">
        <f t="shared" si="6"/>
        <v>3C Aggregated and non-CO2 emissions on land</v>
      </c>
      <c r="B70" t="str">
        <f t="shared" si="7"/>
        <v>3C4 Direct N2O from managed soils (N2O)</v>
      </c>
      <c r="C70" t="s">
        <v>479</v>
      </c>
      <c r="D70" t="str">
        <f t="shared" si="8"/>
        <v xml:space="preserve"> - Subsistence sheep</v>
      </c>
      <c r="E70" t="str">
        <f t="shared" si="9"/>
        <v>FracLoss - Subsistence sheep</v>
      </c>
      <c r="F70" t="s">
        <v>333</v>
      </c>
      <c r="H70" s="23">
        <v>2.5499999999999998E-2</v>
      </c>
    </row>
    <row r="71" spans="1:8" x14ac:dyDescent="0.25">
      <c r="A71" t="str">
        <f t="shared" si="6"/>
        <v>3C Aggregated and non-CO2 emissions on land</v>
      </c>
      <c r="B71" t="str">
        <f t="shared" si="7"/>
        <v>3C4 Direct N2O from managed soils (N2O)</v>
      </c>
      <c r="C71" t="s">
        <v>479</v>
      </c>
      <c r="D71" t="str">
        <f t="shared" si="8"/>
        <v xml:space="preserve"> - Commercial goats</v>
      </c>
      <c r="E71" t="str">
        <f t="shared" si="9"/>
        <v>FracLoss - Commercial goats</v>
      </c>
      <c r="F71" t="s">
        <v>333</v>
      </c>
      <c r="H71" s="23">
        <v>4.0000000000000001E-3</v>
      </c>
    </row>
    <row r="72" spans="1:8" x14ac:dyDescent="0.25">
      <c r="A72" t="str">
        <f t="shared" si="6"/>
        <v>3C Aggregated and non-CO2 emissions on land</v>
      </c>
      <c r="B72" t="str">
        <f t="shared" si="7"/>
        <v>3C4 Direct N2O from managed soils (N2O)</v>
      </c>
      <c r="C72" t="s">
        <v>479</v>
      </c>
      <c r="D72" t="str">
        <f t="shared" si="8"/>
        <v xml:space="preserve"> - Subsistence goats</v>
      </c>
      <c r="E72" t="str">
        <f t="shared" si="9"/>
        <v>FracLoss - Subsistence goats</v>
      </c>
      <c r="F72" t="s">
        <v>333</v>
      </c>
      <c r="H72" s="23">
        <v>2.5499999999999998E-2</v>
      </c>
    </row>
    <row r="73" spans="1:8" x14ac:dyDescent="0.25">
      <c r="A73" t="str">
        <f t="shared" si="6"/>
        <v>3C Aggregated and non-CO2 emissions on land</v>
      </c>
      <c r="B73" t="str">
        <f t="shared" si="7"/>
        <v>3C4 Direct N2O from managed soils (N2O)</v>
      </c>
      <c r="C73" t="s">
        <v>479</v>
      </c>
      <c r="D73" t="str">
        <f t="shared" si="8"/>
        <v xml:space="preserve"> - Horses</v>
      </c>
      <c r="E73" t="str">
        <f t="shared" si="9"/>
        <v>FracLoss - Horses</v>
      </c>
      <c r="F73" t="s">
        <v>333</v>
      </c>
      <c r="H73" s="23">
        <v>0</v>
      </c>
    </row>
    <row r="74" spans="1:8" x14ac:dyDescent="0.25">
      <c r="A74" t="str">
        <f t="shared" si="6"/>
        <v>3C Aggregated and non-CO2 emissions on land</v>
      </c>
      <c r="B74" t="str">
        <f t="shared" si="7"/>
        <v>3C4 Direct N2O from managed soils (N2O)</v>
      </c>
      <c r="C74" t="s">
        <v>479</v>
      </c>
      <c r="D74" t="str">
        <f t="shared" si="8"/>
        <v xml:space="preserve"> - Mules &amp; Asses</v>
      </c>
      <c r="E74" t="str">
        <f t="shared" si="9"/>
        <v>FracLoss - Mules &amp; Asses</v>
      </c>
      <c r="F74" t="s">
        <v>333</v>
      </c>
      <c r="H74" s="23">
        <v>0</v>
      </c>
    </row>
    <row r="75" spans="1:8" x14ac:dyDescent="0.25">
      <c r="A75" t="str">
        <f t="shared" si="6"/>
        <v>3C Aggregated and non-CO2 emissions on land</v>
      </c>
      <c r="B75" t="str">
        <f t="shared" si="7"/>
        <v>3C4 Direct N2O from managed soils (N2O)</v>
      </c>
      <c r="C75" t="s">
        <v>479</v>
      </c>
      <c r="D75" t="str">
        <f t="shared" si="8"/>
        <v xml:space="preserve"> - Commercial swine</v>
      </c>
      <c r="E75" t="str">
        <f t="shared" si="9"/>
        <v>FracLoss - Commercial swine</v>
      </c>
      <c r="F75" t="s">
        <v>333</v>
      </c>
      <c r="H75" s="23">
        <v>0.6522</v>
      </c>
    </row>
    <row r="76" spans="1:8" x14ac:dyDescent="0.25">
      <c r="A76" t="str">
        <f t="shared" si="6"/>
        <v>3C Aggregated and non-CO2 emissions on land</v>
      </c>
      <c r="B76" t="str">
        <f t="shared" si="7"/>
        <v>3C4 Direct N2O from managed soils (N2O)</v>
      </c>
      <c r="C76" t="s">
        <v>479</v>
      </c>
      <c r="D76" t="str">
        <f t="shared" si="8"/>
        <v xml:space="preserve"> - Subsistence swine</v>
      </c>
      <c r="E76" t="str">
        <f t="shared" si="9"/>
        <v>FracLoss - Subsistence swine</v>
      </c>
      <c r="F76" t="s">
        <v>333</v>
      </c>
      <c r="H76" s="23">
        <v>0.40959999999999996</v>
      </c>
    </row>
    <row r="77" spans="1:8" x14ac:dyDescent="0.25">
      <c r="A77" t="str">
        <f t="shared" ref="A77:A94" si="10">A76</f>
        <v>3C Aggregated and non-CO2 emissions on land</v>
      </c>
      <c r="B77" t="str">
        <f t="shared" ref="B77:B94" si="11">B76</f>
        <v>3C4 Direct N2O from managed soils (N2O)</v>
      </c>
      <c r="C77" t="s">
        <v>479</v>
      </c>
      <c r="D77" t="str">
        <f t="shared" si="8"/>
        <v xml:space="preserve"> - Commercial layers</v>
      </c>
      <c r="E77" t="str">
        <f t="shared" si="9"/>
        <v>FracLoss - Commercial layers</v>
      </c>
      <c r="F77" t="s">
        <v>333</v>
      </c>
      <c r="H77" s="23">
        <v>0.29599999999999999</v>
      </c>
    </row>
    <row r="78" spans="1:8" x14ac:dyDescent="0.25">
      <c r="A78" t="str">
        <f t="shared" si="10"/>
        <v>3C Aggregated and non-CO2 emissions on land</v>
      </c>
      <c r="B78" t="str">
        <f t="shared" si="11"/>
        <v>3C4 Direct N2O from managed soils (N2O)</v>
      </c>
      <c r="C78" t="s">
        <v>479</v>
      </c>
      <c r="D78" t="str">
        <f t="shared" si="8"/>
        <v xml:space="preserve"> - Commercial broilers</v>
      </c>
      <c r="E78" t="str">
        <f t="shared" si="9"/>
        <v>FracLoss - Commercial broilers</v>
      </c>
      <c r="F78" t="s">
        <v>333</v>
      </c>
      <c r="H78" s="23">
        <v>0.24</v>
      </c>
    </row>
    <row r="79" spans="1:8" x14ac:dyDescent="0.25">
      <c r="A79" t="str">
        <f t="shared" si="10"/>
        <v>3C Aggregated and non-CO2 emissions on land</v>
      </c>
      <c r="B79" t="str">
        <f t="shared" si="11"/>
        <v>3C4 Direct N2O from managed soils (N2O)</v>
      </c>
      <c r="C79" t="s">
        <v>483</v>
      </c>
      <c r="D79" t="str">
        <f t="shared" ref="D79:D94" si="12">D63</f>
        <v xml:space="preserve"> - TMR</v>
      </c>
      <c r="E79" t="str">
        <f t="shared" si="9"/>
        <v>N bedding - TMR</v>
      </c>
      <c r="F79" t="str">
        <f t="shared" ref="F79:F94" si="13">F78</f>
        <v>Fraction</v>
      </c>
      <c r="H79" s="23">
        <v>0</v>
      </c>
    </row>
    <row r="80" spans="1:8" x14ac:dyDescent="0.25">
      <c r="A80" t="str">
        <f t="shared" si="10"/>
        <v>3C Aggregated and non-CO2 emissions on land</v>
      </c>
      <c r="B80" t="str">
        <f t="shared" si="11"/>
        <v>3C4 Direct N2O from managed soils (N2O)</v>
      </c>
      <c r="C80" t="s">
        <v>483</v>
      </c>
      <c r="D80" t="str">
        <f t="shared" si="12"/>
        <v xml:space="preserve"> - Pasture</v>
      </c>
      <c r="E80" t="str">
        <f t="shared" si="9"/>
        <v>N bedding - Pasture</v>
      </c>
      <c r="F80" t="str">
        <f t="shared" si="13"/>
        <v>Fraction</v>
      </c>
      <c r="H80" s="23">
        <v>0.7</v>
      </c>
    </row>
    <row r="81" spans="1:8" x14ac:dyDescent="0.25">
      <c r="A81" t="str">
        <f t="shared" si="10"/>
        <v>3C Aggregated and non-CO2 emissions on land</v>
      </c>
      <c r="B81" t="str">
        <f t="shared" si="11"/>
        <v>3C4 Direct N2O from managed soils (N2O)</v>
      </c>
      <c r="C81" t="s">
        <v>483</v>
      </c>
      <c r="D81" t="str">
        <f t="shared" si="12"/>
        <v xml:space="preserve"> - Non-lactating</v>
      </c>
      <c r="E81" t="str">
        <f t="shared" si="9"/>
        <v>N bedding - Non-lactating</v>
      </c>
      <c r="F81" t="str">
        <f t="shared" si="13"/>
        <v>Fraction</v>
      </c>
      <c r="H81" s="23">
        <v>0.08</v>
      </c>
    </row>
    <row r="82" spans="1:8" x14ac:dyDescent="0.25">
      <c r="A82" t="str">
        <f t="shared" si="10"/>
        <v>3C Aggregated and non-CO2 emissions on land</v>
      </c>
      <c r="B82" t="str">
        <f t="shared" si="11"/>
        <v>3C4 Direct N2O from managed soils (N2O)</v>
      </c>
      <c r="C82" t="s">
        <v>483</v>
      </c>
      <c r="D82" t="str">
        <f t="shared" si="12"/>
        <v xml:space="preserve"> - Commercial cattle</v>
      </c>
      <c r="E82" t="str">
        <f t="shared" si="9"/>
        <v>N bedding - Commercial cattle</v>
      </c>
      <c r="F82" t="str">
        <f t="shared" si="13"/>
        <v>Fraction</v>
      </c>
      <c r="H82" s="23">
        <v>0</v>
      </c>
    </row>
    <row r="83" spans="1:8" x14ac:dyDescent="0.25">
      <c r="A83" t="str">
        <f t="shared" si="10"/>
        <v>3C Aggregated and non-CO2 emissions on land</v>
      </c>
      <c r="B83" t="str">
        <f t="shared" si="11"/>
        <v>3C4 Direct N2O from managed soils (N2O)</v>
      </c>
      <c r="C83" t="s">
        <v>483</v>
      </c>
      <c r="D83" t="str">
        <f t="shared" si="12"/>
        <v xml:space="preserve"> - Subsistence cattle</v>
      </c>
      <c r="E83" t="str">
        <f t="shared" si="9"/>
        <v>N bedding - Subsistence cattle</v>
      </c>
      <c r="F83" t="str">
        <f t="shared" si="13"/>
        <v>Fraction</v>
      </c>
      <c r="H83" s="23">
        <v>0.4</v>
      </c>
    </row>
    <row r="84" spans="1:8" x14ac:dyDescent="0.25">
      <c r="A84" t="str">
        <f t="shared" si="10"/>
        <v>3C Aggregated and non-CO2 emissions on land</v>
      </c>
      <c r="B84" t="str">
        <f t="shared" si="11"/>
        <v>3C4 Direct N2O from managed soils (N2O)</v>
      </c>
      <c r="C84" t="s">
        <v>483</v>
      </c>
      <c r="D84" t="str">
        <f t="shared" si="12"/>
        <v xml:space="preserve"> - Feedlot</v>
      </c>
      <c r="E84" t="str">
        <f t="shared" si="9"/>
        <v>N bedding - Feedlot</v>
      </c>
      <c r="F84" t="str">
        <f t="shared" si="13"/>
        <v>Fraction</v>
      </c>
      <c r="H84" s="23">
        <v>0</v>
      </c>
    </row>
    <row r="85" spans="1:8" x14ac:dyDescent="0.25">
      <c r="A85" t="str">
        <f t="shared" si="10"/>
        <v>3C Aggregated and non-CO2 emissions on land</v>
      </c>
      <c r="B85" t="str">
        <f t="shared" si="11"/>
        <v>3C4 Direct N2O from managed soils (N2O)</v>
      </c>
      <c r="C85" t="s">
        <v>483</v>
      </c>
      <c r="D85" t="str">
        <f t="shared" si="12"/>
        <v xml:space="preserve"> - Commercial sheep</v>
      </c>
      <c r="E85" t="str">
        <f t="shared" si="9"/>
        <v>N bedding - Commercial sheep</v>
      </c>
      <c r="F85" t="str">
        <f t="shared" si="13"/>
        <v>Fraction</v>
      </c>
      <c r="H85" s="23">
        <v>0</v>
      </c>
    </row>
    <row r="86" spans="1:8" x14ac:dyDescent="0.25">
      <c r="A86" t="str">
        <f t="shared" si="10"/>
        <v>3C Aggregated and non-CO2 emissions on land</v>
      </c>
      <c r="B86" t="str">
        <f t="shared" si="11"/>
        <v>3C4 Direct N2O from managed soils (N2O)</v>
      </c>
      <c r="C86" t="s">
        <v>483</v>
      </c>
      <c r="D86" t="str">
        <f t="shared" si="12"/>
        <v xml:space="preserve"> - Subsistence sheep</v>
      </c>
      <c r="E86" t="str">
        <f t="shared" si="9"/>
        <v>N bedding - Subsistence sheep</v>
      </c>
      <c r="F86" t="str">
        <f t="shared" si="13"/>
        <v>Fraction</v>
      </c>
      <c r="H86" s="23">
        <v>0</v>
      </c>
    </row>
    <row r="87" spans="1:8" x14ac:dyDescent="0.25">
      <c r="A87" t="str">
        <f t="shared" si="10"/>
        <v>3C Aggregated and non-CO2 emissions on land</v>
      </c>
      <c r="B87" t="str">
        <f t="shared" si="11"/>
        <v>3C4 Direct N2O from managed soils (N2O)</v>
      </c>
      <c r="C87" t="s">
        <v>483</v>
      </c>
      <c r="D87" t="str">
        <f t="shared" si="12"/>
        <v xml:space="preserve"> - Commercial goats</v>
      </c>
      <c r="E87" t="str">
        <f t="shared" si="9"/>
        <v>N bedding - Commercial goats</v>
      </c>
      <c r="F87" t="str">
        <f t="shared" si="13"/>
        <v>Fraction</v>
      </c>
      <c r="H87" s="23">
        <v>0</v>
      </c>
    </row>
    <row r="88" spans="1:8" x14ac:dyDescent="0.25">
      <c r="A88" t="str">
        <f t="shared" si="10"/>
        <v>3C Aggregated and non-CO2 emissions on land</v>
      </c>
      <c r="B88" t="str">
        <f t="shared" si="11"/>
        <v>3C4 Direct N2O from managed soils (N2O)</v>
      </c>
      <c r="C88" t="s">
        <v>483</v>
      </c>
      <c r="D88" t="str">
        <f t="shared" si="12"/>
        <v xml:space="preserve"> - Subsistence goats</v>
      </c>
      <c r="E88" t="str">
        <f t="shared" si="9"/>
        <v>N bedding - Subsistence goats</v>
      </c>
      <c r="F88" t="str">
        <f t="shared" si="13"/>
        <v>Fraction</v>
      </c>
      <c r="H88" s="23">
        <v>0</v>
      </c>
    </row>
    <row r="89" spans="1:8" x14ac:dyDescent="0.25">
      <c r="A89" t="str">
        <f t="shared" si="10"/>
        <v>3C Aggregated and non-CO2 emissions on land</v>
      </c>
      <c r="B89" t="str">
        <f t="shared" si="11"/>
        <v>3C4 Direct N2O from managed soils (N2O)</v>
      </c>
      <c r="C89" t="s">
        <v>483</v>
      </c>
      <c r="D89" t="str">
        <f t="shared" si="12"/>
        <v xml:space="preserve"> - Horses</v>
      </c>
      <c r="E89" t="str">
        <f t="shared" si="9"/>
        <v>N bedding - Horses</v>
      </c>
      <c r="F89" t="str">
        <f t="shared" si="13"/>
        <v>Fraction</v>
      </c>
      <c r="H89" s="23">
        <v>0</v>
      </c>
    </row>
    <row r="90" spans="1:8" x14ac:dyDescent="0.25">
      <c r="A90" t="str">
        <f t="shared" si="10"/>
        <v>3C Aggregated and non-CO2 emissions on land</v>
      </c>
      <c r="B90" t="str">
        <f t="shared" si="11"/>
        <v>3C4 Direct N2O from managed soils (N2O)</v>
      </c>
      <c r="C90" t="s">
        <v>483</v>
      </c>
      <c r="D90" t="str">
        <f t="shared" si="12"/>
        <v xml:space="preserve"> - Mules &amp; Asses</v>
      </c>
      <c r="E90" t="str">
        <f t="shared" si="9"/>
        <v>N bedding - Mules &amp; Asses</v>
      </c>
      <c r="F90" t="str">
        <f t="shared" si="13"/>
        <v>Fraction</v>
      </c>
      <c r="H90" s="23">
        <v>0</v>
      </c>
    </row>
    <row r="91" spans="1:8" x14ac:dyDescent="0.25">
      <c r="A91" t="str">
        <f t="shared" si="10"/>
        <v>3C Aggregated and non-CO2 emissions on land</v>
      </c>
      <c r="B91" t="str">
        <f t="shared" si="11"/>
        <v>3C4 Direct N2O from managed soils (N2O)</v>
      </c>
      <c r="C91" t="s">
        <v>483</v>
      </c>
      <c r="D91" t="str">
        <f t="shared" si="12"/>
        <v xml:space="preserve"> - Commercial swine</v>
      </c>
      <c r="E91" t="str">
        <f t="shared" si="9"/>
        <v>N bedding - Commercial swine</v>
      </c>
      <c r="F91" t="str">
        <f t="shared" si="13"/>
        <v>Fraction</v>
      </c>
      <c r="H91" s="23">
        <v>0</v>
      </c>
    </row>
    <row r="92" spans="1:8" x14ac:dyDescent="0.25">
      <c r="A92" t="str">
        <f t="shared" si="10"/>
        <v>3C Aggregated and non-CO2 emissions on land</v>
      </c>
      <c r="B92" t="str">
        <f t="shared" si="11"/>
        <v>3C4 Direct N2O from managed soils (N2O)</v>
      </c>
      <c r="C92" t="s">
        <v>483</v>
      </c>
      <c r="D92" t="str">
        <f t="shared" si="12"/>
        <v xml:space="preserve"> - Subsistence swine</v>
      </c>
      <c r="E92" t="str">
        <f t="shared" si="9"/>
        <v>N bedding - Subsistence swine</v>
      </c>
      <c r="F92" t="str">
        <f t="shared" si="13"/>
        <v>Fraction</v>
      </c>
      <c r="H92" s="23">
        <v>0</v>
      </c>
    </row>
    <row r="93" spans="1:8" x14ac:dyDescent="0.25">
      <c r="A93" t="str">
        <f t="shared" si="10"/>
        <v>3C Aggregated and non-CO2 emissions on land</v>
      </c>
      <c r="B93" t="str">
        <f t="shared" si="11"/>
        <v>3C4 Direct N2O from managed soils (N2O)</v>
      </c>
      <c r="C93" t="s">
        <v>483</v>
      </c>
      <c r="D93" t="str">
        <f t="shared" si="12"/>
        <v xml:space="preserve"> - Commercial layers</v>
      </c>
      <c r="E93" t="str">
        <f t="shared" si="9"/>
        <v>N bedding - Commercial layers</v>
      </c>
      <c r="F93" t="str">
        <f t="shared" si="13"/>
        <v>Fraction</v>
      </c>
      <c r="H93" s="23">
        <v>0</v>
      </c>
    </row>
    <row r="94" spans="1:8" x14ac:dyDescent="0.25">
      <c r="A94" t="str">
        <f t="shared" si="10"/>
        <v>3C Aggregated and non-CO2 emissions on land</v>
      </c>
      <c r="B94" t="str">
        <f t="shared" si="11"/>
        <v>3C4 Direct N2O from managed soils (N2O)</v>
      </c>
      <c r="C94" t="s">
        <v>483</v>
      </c>
      <c r="D94" t="str">
        <f t="shared" si="12"/>
        <v xml:space="preserve"> - Commercial broilers</v>
      </c>
      <c r="E94" t="str">
        <f t="shared" si="9"/>
        <v>N bedding - Commercial broilers</v>
      </c>
      <c r="F94" t="str">
        <f t="shared" si="13"/>
        <v>Fraction</v>
      </c>
      <c r="H94" s="23">
        <v>0</v>
      </c>
    </row>
    <row r="95" spans="1:8" ht="18.75" customHeight="1" x14ac:dyDescent="0.25">
      <c r="A95" s="20" t="s">
        <v>64</v>
      </c>
      <c r="B95" s="20"/>
      <c r="C95" s="20"/>
      <c r="D95" s="15"/>
      <c r="E95" s="15"/>
      <c r="F95" s="15"/>
      <c r="G95" s="15"/>
      <c r="H95" s="15"/>
    </row>
    <row r="96" spans="1:8" x14ac:dyDescent="0.25">
      <c r="A96" t="str">
        <f>'IPCC Categories'!A59</f>
        <v>3C Aggregated and non-CO2 emissions on land</v>
      </c>
      <c r="B96" t="str">
        <f>'IPCC Categories'!B73</f>
        <v>3C4 Direct N2O from managed soils (N2O)</v>
      </c>
      <c r="C96" t="str">
        <f>'IPCC Categories'!C77</f>
        <v>FSOM</v>
      </c>
      <c r="E96" t="s">
        <v>813</v>
      </c>
      <c r="F96" t="s">
        <v>333</v>
      </c>
      <c r="H96" s="28">
        <v>15</v>
      </c>
    </row>
    <row r="97" spans="1:8" x14ac:dyDescent="0.25">
      <c r="A97" t="str">
        <f>A96</f>
        <v>3C Aggregated and non-CO2 emissions on land</v>
      </c>
      <c r="B97" t="str">
        <f t="shared" ref="B97:C97" si="14">B96</f>
        <v>3C4 Direct N2O from managed soils (N2O)</v>
      </c>
      <c r="C97" t="str">
        <f t="shared" si="14"/>
        <v>FSOM</v>
      </c>
      <c r="E97" t="s">
        <v>814</v>
      </c>
      <c r="F97" t="s">
        <v>333</v>
      </c>
      <c r="H97" s="28">
        <v>15</v>
      </c>
    </row>
    <row r="98" spans="1:8" x14ac:dyDescent="0.25">
      <c r="A98" t="str">
        <f t="shared" ref="A98:A99" si="15">A97</f>
        <v>3C Aggregated and non-CO2 emissions on land</v>
      </c>
      <c r="B98" t="str">
        <f t="shared" ref="B98:B99" si="16">B97</f>
        <v>3C4 Direct N2O from managed soils (N2O)</v>
      </c>
      <c r="C98" t="str">
        <f t="shared" ref="C98:C99" si="17">C97</f>
        <v>FSOM</v>
      </c>
      <c r="E98" t="s">
        <v>815</v>
      </c>
      <c r="F98" t="s">
        <v>333</v>
      </c>
      <c r="H98" s="28">
        <v>10</v>
      </c>
    </row>
    <row r="99" spans="1:8" x14ac:dyDescent="0.25">
      <c r="A99" t="str">
        <f t="shared" si="15"/>
        <v>3C Aggregated and non-CO2 emissions on land</v>
      </c>
      <c r="B99" t="str">
        <f t="shared" si="16"/>
        <v>3C4 Direct N2O from managed soils (N2O)</v>
      </c>
      <c r="C99" t="str">
        <f t="shared" si="17"/>
        <v>FSOM</v>
      </c>
      <c r="E99" t="s">
        <v>816</v>
      </c>
      <c r="F99" t="s">
        <v>333</v>
      </c>
      <c r="H99" s="51">
        <f>+H97</f>
        <v>15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429"/>
  <sheetViews>
    <sheetView topLeftCell="A376" zoomScaleNormal="100" workbookViewId="0">
      <selection activeCell="I407" sqref="I407"/>
    </sheetView>
  </sheetViews>
  <sheetFormatPr defaultRowHeight="15" x14ac:dyDescent="0.25"/>
  <cols>
    <col min="1" max="1" width="23.85546875" customWidth="1"/>
    <col min="2" max="4" width="12.85546875" customWidth="1"/>
    <col min="5" max="31" width="12.7109375" customWidth="1"/>
    <col min="32" max="32" width="13.85546875" customWidth="1"/>
    <col min="33" max="35" width="12.7109375" customWidth="1"/>
  </cols>
  <sheetData>
    <row r="1" spans="1:69" ht="18.75" x14ac:dyDescent="0.3">
      <c r="A1" s="1" t="s">
        <v>334</v>
      </c>
    </row>
    <row r="3" spans="1:69" s="19" customFormat="1" ht="29.25" customHeight="1" x14ac:dyDescent="0.25">
      <c r="A3" s="17" t="s">
        <v>335</v>
      </c>
      <c r="B3" s="17" t="s">
        <v>0</v>
      </c>
      <c r="C3" s="17" t="s">
        <v>287</v>
      </c>
      <c r="D3" s="18" t="s">
        <v>313</v>
      </c>
      <c r="E3" s="17">
        <v>1990</v>
      </c>
      <c r="F3" s="17">
        <v>1991</v>
      </c>
      <c r="G3" s="17">
        <v>1992</v>
      </c>
      <c r="H3" s="17">
        <v>1993</v>
      </c>
      <c r="I3" s="17">
        <v>1994</v>
      </c>
      <c r="J3" s="17">
        <v>1995</v>
      </c>
      <c r="K3" s="17">
        <v>1996</v>
      </c>
      <c r="L3" s="17">
        <v>1997</v>
      </c>
      <c r="M3" s="17">
        <v>1998</v>
      </c>
      <c r="N3" s="17">
        <v>1999</v>
      </c>
      <c r="O3" s="17">
        <v>2000</v>
      </c>
      <c r="P3" s="17">
        <v>2001</v>
      </c>
      <c r="Q3" s="17">
        <v>2002</v>
      </c>
      <c r="R3" s="17">
        <v>2003</v>
      </c>
      <c r="S3" s="17">
        <v>2004</v>
      </c>
      <c r="T3" s="17">
        <v>2005</v>
      </c>
      <c r="U3" s="17">
        <v>2006</v>
      </c>
      <c r="V3" s="17">
        <v>2007</v>
      </c>
      <c r="W3" s="17">
        <v>2008</v>
      </c>
      <c r="X3" s="17">
        <v>2009</v>
      </c>
      <c r="Y3" s="17">
        <v>2010</v>
      </c>
      <c r="Z3" s="17">
        <v>2011</v>
      </c>
      <c r="AA3" s="17">
        <v>2012</v>
      </c>
      <c r="AB3" s="17">
        <v>2013</v>
      </c>
      <c r="AC3" s="17">
        <v>2014</v>
      </c>
      <c r="AD3" s="17">
        <v>2015</v>
      </c>
      <c r="AE3" s="17">
        <v>2016</v>
      </c>
      <c r="AF3" s="17">
        <v>2017</v>
      </c>
      <c r="AG3" s="17">
        <v>2018</v>
      </c>
      <c r="AH3" s="17">
        <v>2019</v>
      </c>
      <c r="AI3" s="17">
        <v>2020</v>
      </c>
      <c r="AJ3" s="17">
        <v>2021</v>
      </c>
      <c r="AK3" s="17">
        <v>2022</v>
      </c>
      <c r="AL3" s="17">
        <v>2023</v>
      </c>
      <c r="AM3" s="17">
        <v>2024</v>
      </c>
      <c r="AN3" s="17">
        <v>2025</v>
      </c>
      <c r="AO3" s="17">
        <v>2026</v>
      </c>
      <c r="AP3" s="17">
        <v>2027</v>
      </c>
      <c r="AQ3" s="17">
        <v>2028</v>
      </c>
      <c r="AR3" s="17">
        <v>2029</v>
      </c>
      <c r="AS3" s="17">
        <v>2030</v>
      </c>
      <c r="AT3" s="17">
        <v>2031</v>
      </c>
      <c r="AU3" s="17">
        <v>2032</v>
      </c>
      <c r="AV3" s="17">
        <v>2033</v>
      </c>
      <c r="AW3" s="17">
        <v>2034</v>
      </c>
      <c r="AX3" s="17">
        <v>2035</v>
      </c>
      <c r="AY3" s="17">
        <v>2036</v>
      </c>
      <c r="AZ3" s="17">
        <v>2037</v>
      </c>
      <c r="BA3" s="17">
        <v>2038</v>
      </c>
      <c r="BB3" s="17">
        <v>2039</v>
      </c>
      <c r="BC3" s="17">
        <v>2040</v>
      </c>
      <c r="BD3" s="17">
        <v>2041</v>
      </c>
      <c r="BE3" s="17">
        <v>2042</v>
      </c>
      <c r="BF3" s="17">
        <v>2043</v>
      </c>
      <c r="BG3" s="17">
        <v>2044</v>
      </c>
      <c r="BH3" s="17">
        <v>2045</v>
      </c>
      <c r="BI3" s="17">
        <v>2046</v>
      </c>
      <c r="BJ3" s="17">
        <v>2047</v>
      </c>
      <c r="BK3" s="17">
        <v>2048</v>
      </c>
      <c r="BL3" s="17">
        <v>2049</v>
      </c>
      <c r="BM3" s="17">
        <v>2050</v>
      </c>
      <c r="BP3" s="18" t="s">
        <v>312</v>
      </c>
      <c r="BQ3" s="17" t="s">
        <v>286</v>
      </c>
    </row>
    <row r="4" spans="1:69" ht="15.75" x14ac:dyDescent="0.25">
      <c r="A4" s="20" t="s">
        <v>337</v>
      </c>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row>
    <row r="5" spans="1:69" x14ac:dyDescent="0.25">
      <c r="A5" t="s">
        <v>339</v>
      </c>
      <c r="B5" t="s">
        <v>142</v>
      </c>
      <c r="E5">
        <v>2573000</v>
      </c>
      <c r="F5">
        <v>2844000</v>
      </c>
      <c r="G5">
        <v>2970000</v>
      </c>
      <c r="H5">
        <v>2960000</v>
      </c>
      <c r="I5">
        <v>2629000</v>
      </c>
      <c r="J5">
        <v>2112000</v>
      </c>
      <c r="K5">
        <v>2171000</v>
      </c>
      <c r="L5">
        <v>2118000</v>
      </c>
      <c r="M5">
        <v>2095000</v>
      </c>
      <c r="N5">
        <v>2197000</v>
      </c>
      <c r="O5">
        <v>2666000</v>
      </c>
      <c r="P5">
        <v>2247000</v>
      </c>
      <c r="Q5">
        <v>2452000</v>
      </c>
      <c r="R5">
        <v>2478000</v>
      </c>
      <c r="S5">
        <v>2545000</v>
      </c>
      <c r="T5">
        <v>2616000</v>
      </c>
      <c r="U5">
        <v>2985000</v>
      </c>
      <c r="V5">
        <v>3060000</v>
      </c>
      <c r="W5">
        <v>2742000</v>
      </c>
      <c r="X5">
        <v>2838000</v>
      </c>
      <c r="Y5">
        <v>2953000</v>
      </c>
      <c r="Z5">
        <v>2924000</v>
      </c>
      <c r="AA5">
        <v>2873000</v>
      </c>
      <c r="AB5">
        <v>3013000</v>
      </c>
      <c r="AC5">
        <v>3286000</v>
      </c>
      <c r="AD5">
        <v>3476000</v>
      </c>
      <c r="AE5">
        <v>3641000</v>
      </c>
      <c r="AF5">
        <v>3491000</v>
      </c>
      <c r="AG5">
        <v>3291000</v>
      </c>
    </row>
    <row r="6" spans="1:69" x14ac:dyDescent="0.25">
      <c r="A6" t="s">
        <v>340</v>
      </c>
      <c r="B6" t="s">
        <v>142</v>
      </c>
      <c r="E6">
        <v>93000</v>
      </c>
      <c r="F6">
        <v>106000</v>
      </c>
      <c r="G6">
        <v>109000</v>
      </c>
      <c r="H6">
        <v>111000</v>
      </c>
      <c r="I6">
        <v>95000</v>
      </c>
      <c r="J6">
        <v>70000</v>
      </c>
      <c r="K6">
        <v>71000</v>
      </c>
      <c r="L6">
        <v>67000</v>
      </c>
      <c r="M6">
        <v>64000</v>
      </c>
      <c r="N6">
        <v>61000</v>
      </c>
      <c r="O6">
        <v>60000</v>
      </c>
      <c r="P6">
        <v>55000</v>
      </c>
      <c r="Q6">
        <v>58000</v>
      </c>
      <c r="R6">
        <v>57000</v>
      </c>
      <c r="S6">
        <v>57000</v>
      </c>
      <c r="T6">
        <v>57000</v>
      </c>
      <c r="U6">
        <v>41000</v>
      </c>
      <c r="V6">
        <v>38000</v>
      </c>
      <c r="W6">
        <v>34000</v>
      </c>
      <c r="X6">
        <v>31000</v>
      </c>
      <c r="Y6">
        <v>29000</v>
      </c>
      <c r="Z6">
        <v>24000</v>
      </c>
      <c r="AA6">
        <v>22000</v>
      </c>
      <c r="AB6">
        <v>22000</v>
      </c>
      <c r="AC6">
        <v>21000</v>
      </c>
      <c r="AD6">
        <v>21000</v>
      </c>
      <c r="AE6">
        <v>21000</v>
      </c>
      <c r="AF6">
        <v>20000</v>
      </c>
      <c r="AG6">
        <v>20000</v>
      </c>
    </row>
    <row r="7" spans="1:69" x14ac:dyDescent="0.25">
      <c r="A7" t="s">
        <v>341</v>
      </c>
      <c r="B7" t="s">
        <v>142</v>
      </c>
      <c r="E7">
        <f t="shared" ref="E7:AG7" si="0">SUM(E5:E6)</f>
        <v>2666000</v>
      </c>
      <c r="F7">
        <f t="shared" si="0"/>
        <v>2950000</v>
      </c>
      <c r="G7">
        <f t="shared" si="0"/>
        <v>3079000</v>
      </c>
      <c r="H7">
        <f t="shared" si="0"/>
        <v>3071000</v>
      </c>
      <c r="I7">
        <f t="shared" si="0"/>
        <v>2724000</v>
      </c>
      <c r="J7">
        <f t="shared" si="0"/>
        <v>2182000</v>
      </c>
      <c r="K7">
        <f t="shared" si="0"/>
        <v>2242000</v>
      </c>
      <c r="L7">
        <f t="shared" si="0"/>
        <v>2185000</v>
      </c>
      <c r="M7">
        <f t="shared" si="0"/>
        <v>2159000</v>
      </c>
      <c r="N7">
        <f t="shared" si="0"/>
        <v>2258000</v>
      </c>
      <c r="O7">
        <f t="shared" si="0"/>
        <v>2726000</v>
      </c>
      <c r="P7">
        <f t="shared" si="0"/>
        <v>2302000</v>
      </c>
      <c r="Q7">
        <f t="shared" si="0"/>
        <v>2510000</v>
      </c>
      <c r="R7">
        <f t="shared" si="0"/>
        <v>2535000</v>
      </c>
      <c r="S7">
        <f t="shared" si="0"/>
        <v>2602000</v>
      </c>
      <c r="T7">
        <f t="shared" si="0"/>
        <v>2673000</v>
      </c>
      <c r="U7">
        <f t="shared" si="0"/>
        <v>3026000</v>
      </c>
      <c r="V7">
        <f t="shared" si="0"/>
        <v>3098000</v>
      </c>
      <c r="W7">
        <f t="shared" si="0"/>
        <v>2776000</v>
      </c>
      <c r="X7">
        <f t="shared" si="0"/>
        <v>2869000</v>
      </c>
      <c r="Y7">
        <f t="shared" si="0"/>
        <v>2982000</v>
      </c>
      <c r="Z7">
        <f t="shared" si="0"/>
        <v>2948000</v>
      </c>
      <c r="AA7">
        <f t="shared" si="0"/>
        <v>2895000</v>
      </c>
      <c r="AB7">
        <f t="shared" si="0"/>
        <v>3035000</v>
      </c>
      <c r="AC7">
        <f t="shared" si="0"/>
        <v>3307000</v>
      </c>
      <c r="AD7">
        <f t="shared" si="0"/>
        <v>3497000</v>
      </c>
      <c r="AE7">
        <f t="shared" si="0"/>
        <v>3662000</v>
      </c>
      <c r="AF7">
        <f t="shared" si="0"/>
        <v>3511000</v>
      </c>
      <c r="AG7">
        <f t="shared" si="0"/>
        <v>3311000</v>
      </c>
    </row>
    <row r="8" spans="1:69" x14ac:dyDescent="0.25">
      <c r="A8" t="s">
        <v>323</v>
      </c>
      <c r="B8" t="s">
        <v>327</v>
      </c>
      <c r="E8">
        <v>668000</v>
      </c>
      <c r="F8">
        <v>714000</v>
      </c>
      <c r="G8">
        <v>741000</v>
      </c>
      <c r="H8">
        <v>718000</v>
      </c>
      <c r="I8">
        <v>663000</v>
      </c>
      <c r="J8">
        <v>587000</v>
      </c>
      <c r="K8">
        <v>591000</v>
      </c>
      <c r="L8">
        <v>573000</v>
      </c>
      <c r="M8">
        <v>560000</v>
      </c>
      <c r="N8">
        <v>559000</v>
      </c>
      <c r="O8">
        <v>671000</v>
      </c>
      <c r="P8">
        <v>554000</v>
      </c>
      <c r="Q8">
        <v>602000</v>
      </c>
      <c r="R8">
        <v>643000</v>
      </c>
      <c r="S8">
        <v>675000</v>
      </c>
      <c r="T8">
        <v>723000</v>
      </c>
      <c r="U8">
        <v>825000</v>
      </c>
      <c r="V8">
        <v>865000</v>
      </c>
      <c r="W8">
        <v>767000</v>
      </c>
      <c r="X8">
        <v>784000</v>
      </c>
      <c r="Y8">
        <v>880000</v>
      </c>
      <c r="Z8">
        <v>879000</v>
      </c>
      <c r="AA8">
        <v>865000</v>
      </c>
      <c r="AB8">
        <v>910000</v>
      </c>
      <c r="AC8">
        <v>981000</v>
      </c>
      <c r="AD8">
        <v>1023000</v>
      </c>
      <c r="AE8">
        <v>1072000</v>
      </c>
      <c r="AF8">
        <v>1025000</v>
      </c>
      <c r="AG8">
        <v>1018000</v>
      </c>
      <c r="AH8">
        <v>1006000</v>
      </c>
    </row>
    <row r="9" spans="1:69" x14ac:dyDescent="0.25">
      <c r="A9" t="s">
        <v>326</v>
      </c>
      <c r="B9" t="s">
        <v>327</v>
      </c>
      <c r="E9">
        <v>610300</v>
      </c>
      <c r="F9">
        <v>664900</v>
      </c>
      <c r="G9">
        <v>703500</v>
      </c>
      <c r="H9">
        <v>694000</v>
      </c>
      <c r="I9">
        <v>611200</v>
      </c>
      <c r="J9">
        <v>507500</v>
      </c>
      <c r="K9">
        <v>507000</v>
      </c>
      <c r="L9">
        <v>502400</v>
      </c>
      <c r="M9">
        <v>496300</v>
      </c>
      <c r="N9">
        <v>511700</v>
      </c>
      <c r="O9">
        <v>624600</v>
      </c>
      <c r="P9">
        <v>524300</v>
      </c>
      <c r="Q9">
        <v>573400</v>
      </c>
      <c r="R9">
        <v>609700</v>
      </c>
      <c r="S9">
        <v>631700</v>
      </c>
      <c r="T9">
        <v>672300</v>
      </c>
      <c r="U9">
        <v>808100</v>
      </c>
      <c r="V9">
        <v>861400</v>
      </c>
      <c r="W9">
        <v>770200</v>
      </c>
      <c r="X9">
        <v>796700</v>
      </c>
      <c r="Y9">
        <v>885800</v>
      </c>
      <c r="Z9">
        <v>869500</v>
      </c>
      <c r="AA9">
        <v>852100</v>
      </c>
      <c r="AB9">
        <v>904500</v>
      </c>
      <c r="AC9">
        <v>982600</v>
      </c>
      <c r="AD9">
        <v>1037900</v>
      </c>
      <c r="AE9">
        <v>1090900</v>
      </c>
      <c r="AG9">
        <v>1026800</v>
      </c>
      <c r="AH9">
        <v>1018900</v>
      </c>
    </row>
    <row r="10" spans="1:69" x14ac:dyDescent="0.25">
      <c r="A10" t="s">
        <v>344</v>
      </c>
      <c r="B10" t="s">
        <v>142</v>
      </c>
      <c r="E10">
        <v>6817100</v>
      </c>
      <c r="F10">
        <v>6522860</v>
      </c>
      <c r="G10">
        <v>6520490</v>
      </c>
      <c r="H10">
        <v>6100150</v>
      </c>
      <c r="I10">
        <v>6284050</v>
      </c>
      <c r="J10">
        <v>6426930</v>
      </c>
      <c r="K10">
        <v>6693540</v>
      </c>
      <c r="L10">
        <v>6947100</v>
      </c>
      <c r="M10">
        <v>7007270</v>
      </c>
      <c r="N10">
        <v>6893880</v>
      </c>
      <c r="O10">
        <v>6425570</v>
      </c>
      <c r="P10">
        <v>6458960</v>
      </c>
      <c r="Q10">
        <v>6019810</v>
      </c>
      <c r="R10">
        <v>6177270</v>
      </c>
      <c r="S10">
        <v>6234220</v>
      </c>
      <c r="T10">
        <v>6287100</v>
      </c>
      <c r="U10">
        <v>6143880</v>
      </c>
      <c r="V10">
        <v>6323880</v>
      </c>
      <c r="W10">
        <v>6148152.25</v>
      </c>
      <c r="X10">
        <v>6044920.583333333</v>
      </c>
      <c r="Y10">
        <v>6025917.666666667</v>
      </c>
      <c r="Z10">
        <v>6004279.833333333</v>
      </c>
      <c r="AA10">
        <v>7105366.333333334</v>
      </c>
      <c r="AB10">
        <v>5896311</v>
      </c>
      <c r="AC10">
        <v>6031835</v>
      </c>
      <c r="AD10">
        <v>5893460</v>
      </c>
      <c r="AE10">
        <v>5611164</v>
      </c>
      <c r="AF10">
        <v>5220425</v>
      </c>
    </row>
    <row r="11" spans="1:69" x14ac:dyDescent="0.25">
      <c r="A11" t="s">
        <v>342</v>
      </c>
      <c r="B11" t="s">
        <v>327</v>
      </c>
      <c r="E11">
        <v>83000</v>
      </c>
      <c r="F11">
        <v>68000</v>
      </c>
      <c r="G11">
        <v>60000</v>
      </c>
      <c r="H11">
        <v>69000</v>
      </c>
      <c r="I11">
        <v>70000</v>
      </c>
      <c r="J11">
        <v>82000</v>
      </c>
      <c r="K11">
        <v>108000</v>
      </c>
      <c r="L11">
        <v>91000</v>
      </c>
      <c r="M11">
        <v>88000</v>
      </c>
      <c r="N11">
        <v>67000</v>
      </c>
      <c r="O11">
        <v>56000</v>
      </c>
      <c r="P11">
        <v>42000</v>
      </c>
      <c r="Q11">
        <v>45000</v>
      </c>
      <c r="R11">
        <v>48000</v>
      </c>
      <c r="S11">
        <v>56000</v>
      </c>
      <c r="T11">
        <v>62000</v>
      </c>
      <c r="U11">
        <v>35000</v>
      </c>
      <c r="V11">
        <v>33000</v>
      </c>
      <c r="W11">
        <v>27000</v>
      </c>
      <c r="X11">
        <v>23000</v>
      </c>
      <c r="Y11">
        <v>23000</v>
      </c>
      <c r="Z11">
        <v>22000</v>
      </c>
      <c r="AA11">
        <v>25000</v>
      </c>
      <c r="AB11">
        <v>19000</v>
      </c>
      <c r="AC11">
        <v>20000</v>
      </c>
      <c r="AD11">
        <v>19000</v>
      </c>
      <c r="AE11">
        <v>22000</v>
      </c>
      <c r="AF11">
        <v>19000</v>
      </c>
      <c r="AG11">
        <v>23000</v>
      </c>
      <c r="AH11">
        <v>24000</v>
      </c>
    </row>
    <row r="12" spans="1:69" x14ac:dyDescent="0.25">
      <c r="A12" t="s">
        <v>323</v>
      </c>
      <c r="B12" t="s">
        <v>327</v>
      </c>
      <c r="E12">
        <v>668000</v>
      </c>
      <c r="F12">
        <v>714000</v>
      </c>
      <c r="G12">
        <v>741000</v>
      </c>
      <c r="H12">
        <v>718000</v>
      </c>
      <c r="I12">
        <v>663000</v>
      </c>
      <c r="J12">
        <v>587000</v>
      </c>
      <c r="K12">
        <v>591000</v>
      </c>
      <c r="L12">
        <v>573000</v>
      </c>
      <c r="M12">
        <v>560000</v>
      </c>
      <c r="N12">
        <v>559000</v>
      </c>
      <c r="O12">
        <v>671000</v>
      </c>
      <c r="P12">
        <v>554000</v>
      </c>
      <c r="Q12">
        <v>602000</v>
      </c>
      <c r="R12">
        <v>643000</v>
      </c>
      <c r="S12">
        <v>675000</v>
      </c>
      <c r="T12">
        <v>723000</v>
      </c>
      <c r="U12">
        <v>825000</v>
      </c>
      <c r="V12">
        <v>865000</v>
      </c>
      <c r="W12">
        <v>767000</v>
      </c>
      <c r="X12">
        <v>784000</v>
      </c>
      <c r="Y12">
        <v>880000</v>
      </c>
      <c r="Z12">
        <v>879000</v>
      </c>
      <c r="AA12">
        <v>865000</v>
      </c>
      <c r="AB12">
        <v>910000</v>
      </c>
      <c r="AC12">
        <v>981000</v>
      </c>
      <c r="AD12">
        <v>1023000</v>
      </c>
      <c r="AE12">
        <v>1072000</v>
      </c>
      <c r="AF12">
        <v>1025000</v>
      </c>
      <c r="AG12">
        <v>1018000</v>
      </c>
      <c r="AH12">
        <v>1006000</v>
      </c>
    </row>
    <row r="13" spans="1:69" x14ac:dyDescent="0.25">
      <c r="A13" t="s">
        <v>776</v>
      </c>
      <c r="B13" t="s">
        <v>327</v>
      </c>
      <c r="E13">
        <f>SUM(E9:E11)</f>
        <v>7510400</v>
      </c>
      <c r="F13">
        <f t="shared" ref="F13:AH13" si="1">SUM(F9:F11)</f>
        <v>7255760</v>
      </c>
      <c r="G13">
        <f t="shared" si="1"/>
        <v>7283990</v>
      </c>
      <c r="H13">
        <f t="shared" si="1"/>
        <v>6863150</v>
      </c>
      <c r="I13">
        <f t="shared" si="1"/>
        <v>6965250</v>
      </c>
      <c r="J13">
        <f t="shared" si="1"/>
        <v>7016430</v>
      </c>
      <c r="K13">
        <f t="shared" si="1"/>
        <v>7308540</v>
      </c>
      <c r="L13">
        <f t="shared" si="1"/>
        <v>7540500</v>
      </c>
      <c r="M13">
        <f t="shared" si="1"/>
        <v>7591570</v>
      </c>
      <c r="N13">
        <f t="shared" si="1"/>
        <v>7472580</v>
      </c>
      <c r="O13">
        <f t="shared" si="1"/>
        <v>7106170</v>
      </c>
      <c r="P13">
        <f t="shared" si="1"/>
        <v>7025260</v>
      </c>
      <c r="Q13">
        <f t="shared" si="1"/>
        <v>6638210</v>
      </c>
      <c r="R13">
        <f t="shared" si="1"/>
        <v>6834970</v>
      </c>
      <c r="S13">
        <f t="shared" si="1"/>
        <v>6921920</v>
      </c>
      <c r="T13">
        <f t="shared" si="1"/>
        <v>7021400</v>
      </c>
      <c r="U13">
        <f t="shared" si="1"/>
        <v>6986980</v>
      </c>
      <c r="V13">
        <f t="shared" si="1"/>
        <v>7218280</v>
      </c>
      <c r="W13">
        <f t="shared" si="1"/>
        <v>6945352.25</v>
      </c>
      <c r="X13">
        <f t="shared" si="1"/>
        <v>6864620.583333333</v>
      </c>
      <c r="Y13">
        <f t="shared" si="1"/>
        <v>6934717.666666667</v>
      </c>
      <c r="Z13">
        <f t="shared" si="1"/>
        <v>6895779.833333333</v>
      </c>
      <c r="AA13">
        <f t="shared" si="1"/>
        <v>7982466.333333334</v>
      </c>
      <c r="AB13">
        <f t="shared" si="1"/>
        <v>6819811</v>
      </c>
      <c r="AC13">
        <f t="shared" si="1"/>
        <v>7034435</v>
      </c>
      <c r="AD13">
        <f t="shared" si="1"/>
        <v>6950360</v>
      </c>
      <c r="AE13">
        <f t="shared" si="1"/>
        <v>6724064</v>
      </c>
      <c r="AF13">
        <f t="shared" si="1"/>
        <v>5239425</v>
      </c>
      <c r="AG13">
        <f t="shared" si="1"/>
        <v>1049800</v>
      </c>
      <c r="AH13">
        <f t="shared" si="1"/>
        <v>1042900</v>
      </c>
    </row>
    <row r="14" spans="1:69" x14ac:dyDescent="0.25">
      <c r="A14" t="s">
        <v>344</v>
      </c>
      <c r="B14" t="s">
        <v>142</v>
      </c>
      <c r="E14">
        <v>7610000</v>
      </c>
      <c r="F14">
        <v>7370000</v>
      </c>
      <c r="G14">
        <v>7310000</v>
      </c>
      <c r="H14">
        <v>6910000</v>
      </c>
      <c r="I14">
        <v>7060000</v>
      </c>
      <c r="J14">
        <v>7230000</v>
      </c>
      <c r="K14">
        <v>7500000</v>
      </c>
      <c r="L14">
        <v>7740000</v>
      </c>
      <c r="M14">
        <v>7790000</v>
      </c>
      <c r="N14">
        <v>7680000</v>
      </c>
      <c r="O14">
        <v>7310000</v>
      </c>
      <c r="P14">
        <v>7340000</v>
      </c>
      <c r="Q14">
        <v>6850000</v>
      </c>
      <c r="R14">
        <v>6960000</v>
      </c>
      <c r="S14">
        <v>7000000</v>
      </c>
      <c r="T14">
        <v>7080000</v>
      </c>
      <c r="U14">
        <v>6930000</v>
      </c>
      <c r="V14">
        <v>7110000</v>
      </c>
      <c r="W14">
        <v>6980000</v>
      </c>
      <c r="X14">
        <v>6900000</v>
      </c>
      <c r="Y14">
        <v>6880000</v>
      </c>
      <c r="Z14">
        <v>6900000</v>
      </c>
      <c r="AB14">
        <v>6860000</v>
      </c>
      <c r="AC14">
        <v>6980000</v>
      </c>
      <c r="AD14">
        <v>6860000</v>
      </c>
      <c r="AE14">
        <v>6620000</v>
      </c>
      <c r="AF14">
        <v>6290000</v>
      </c>
    </row>
    <row r="15" spans="1:69" x14ac:dyDescent="0.25">
      <c r="A15" t="s">
        <v>345</v>
      </c>
      <c r="B15" t="s">
        <v>142</v>
      </c>
      <c r="E15">
        <v>5690000</v>
      </c>
      <c r="F15">
        <v>6130000</v>
      </c>
      <c r="G15">
        <v>6190000</v>
      </c>
      <c r="H15">
        <v>6190000</v>
      </c>
      <c r="I15">
        <v>5440000</v>
      </c>
      <c r="J15">
        <v>5370000</v>
      </c>
      <c r="K15">
        <v>5500000</v>
      </c>
      <c r="L15">
        <v>5660000</v>
      </c>
      <c r="M15">
        <v>5910000</v>
      </c>
      <c r="N15">
        <v>6120000</v>
      </c>
      <c r="O15">
        <v>6290000</v>
      </c>
      <c r="P15">
        <v>6160000</v>
      </c>
      <c r="Q15">
        <v>6650000</v>
      </c>
      <c r="R15">
        <v>6640000</v>
      </c>
      <c r="S15">
        <v>6500000</v>
      </c>
      <c r="T15">
        <v>6420000</v>
      </c>
      <c r="U15">
        <v>6570000</v>
      </c>
      <c r="V15">
        <v>6790000</v>
      </c>
      <c r="W15">
        <v>6920000</v>
      </c>
      <c r="X15">
        <v>6900000</v>
      </c>
      <c r="Y15">
        <v>6820000</v>
      </c>
      <c r="Z15">
        <v>6800000</v>
      </c>
      <c r="AA15">
        <v>5890000</v>
      </c>
      <c r="AB15">
        <v>7040000</v>
      </c>
      <c r="AC15">
        <v>6920000</v>
      </c>
      <c r="AD15">
        <v>6840000</v>
      </c>
      <c r="AE15">
        <v>6780000</v>
      </c>
      <c r="AF15">
        <v>6710000</v>
      </c>
    </row>
    <row r="16" spans="1:69" x14ac:dyDescent="0.25">
      <c r="A16" t="str">
        <f>'Intermediate calcs'!A4</f>
        <v>Wealth (GVA)</v>
      </c>
      <c r="B16" t="str">
        <f>'Intermediate calcs'!B4</f>
        <v>GVA/capita</v>
      </c>
      <c r="E16">
        <f>'Intermediate calcs'!C4</f>
        <v>7.3995172186341224E-6</v>
      </c>
      <c r="F16">
        <f>'Intermediate calcs'!D4</f>
        <v>8.3160321270873128E-6</v>
      </c>
      <c r="G16">
        <f>'Intermediate calcs'!E4</f>
        <v>9.1809688444329608E-6</v>
      </c>
      <c r="H16">
        <f>'Intermediate calcs'!F4</f>
        <v>1.0183063676790614E-5</v>
      </c>
      <c r="I16">
        <f>'Intermediate calcs'!G4</f>
        <v>1.1198558803003417E-5</v>
      </c>
      <c r="J16">
        <f>'Intermediate calcs'!H4</f>
        <v>1.2456004786976505E-5</v>
      </c>
      <c r="K16">
        <f>'Intermediate calcs'!I4</f>
        <v>1.5023575074943164E-5</v>
      </c>
      <c r="L16">
        <f>'Intermediate calcs'!J4</f>
        <v>1.4993976964585091E-5</v>
      </c>
      <c r="M16">
        <f>'Intermediate calcs'!K4</f>
        <v>1.5889974557177216E-5</v>
      </c>
      <c r="N16">
        <f>'Intermediate calcs'!L4</f>
        <v>1.7139534783540361E-5</v>
      </c>
      <c r="O16">
        <f>'Intermediate calcs'!M4</f>
        <v>1.9178073296508686E-5</v>
      </c>
      <c r="P16">
        <f>'Intermediate calcs'!N4</f>
        <v>2.0941920561623974E-5</v>
      </c>
      <c r="Q16">
        <f>'Intermediate calcs'!O4</f>
        <v>2.4092156096673536E-5</v>
      </c>
      <c r="R16">
        <f>'Intermediate calcs'!P4</f>
        <v>2.5864721644610491E-5</v>
      </c>
      <c r="S16">
        <f>'Intermediate calcs'!Q4</f>
        <v>2.816463639110616E-5</v>
      </c>
      <c r="T16">
        <f>'Intermediate calcs'!R4</f>
        <v>3.0685475313895917E-5</v>
      </c>
      <c r="U16">
        <f>'Intermediate calcs'!S4</f>
        <v>3.3867608215633009E-5</v>
      </c>
      <c r="V16">
        <f>'Intermediate calcs'!T4</f>
        <v>3.8369935813406575E-5</v>
      </c>
      <c r="W16">
        <f>'Intermediate calcs'!U4</f>
        <v>4.2933160137438985E-5</v>
      </c>
      <c r="X16">
        <f>'Intermediate calcs'!V4</f>
        <v>4.5112536477249022E-5</v>
      </c>
      <c r="Y16">
        <f>'Intermediate calcs'!W4</f>
        <v>4.8711594853611398E-5</v>
      </c>
      <c r="Z16">
        <f>'Intermediate calcs'!X4</f>
        <v>5.2388104554380752E-5</v>
      </c>
      <c r="AA16">
        <f>'Intermediate calcs'!Y4</f>
        <v>7.2008674666107316E-5</v>
      </c>
      <c r="AB16">
        <f>'Intermediate calcs'!Z4</f>
        <v>7.3128862350936422E-5</v>
      </c>
      <c r="AC16">
        <f>'Intermediate calcs'!AA4</f>
        <v>7.3832053087208803E-5</v>
      </c>
      <c r="AD16">
        <f>'Intermediate calcs'!AB4</f>
        <v>7.4099569652362116E-5</v>
      </c>
      <c r="AE16">
        <f>'Intermediate calcs'!AC4</f>
        <v>7.3966728660027013E-5</v>
      </c>
      <c r="AF16">
        <f>'Intermediate calcs'!AD4</f>
        <v>7.4125058503467776E-5</v>
      </c>
      <c r="AG16">
        <f>'Intermediate calcs'!AE4</f>
        <v>7.4164408302538267E-5</v>
      </c>
    </row>
    <row r="17" spans="1:34" x14ac:dyDescent="0.25">
      <c r="A17" t="s">
        <v>323</v>
      </c>
      <c r="B17" t="s">
        <v>328</v>
      </c>
      <c r="E17">
        <f>E12/Drivers!D4</f>
        <v>1.8151922844328049E-2</v>
      </c>
      <c r="F17">
        <f>F12/Drivers!E4</f>
        <v>1.8929477093079208E-2</v>
      </c>
      <c r="G17">
        <f>G12/Drivers!F4</f>
        <v>1.9160849435363898E-2</v>
      </c>
      <c r="H17">
        <f>H12/Drivers!G4</f>
        <v>1.8115873466426971E-2</v>
      </c>
      <c r="I17">
        <f>I12/Drivers!H4</f>
        <v>1.6344518185421236E-2</v>
      </c>
      <c r="J17">
        <f>J12/Drivers!I4</f>
        <v>1.4166508067741876E-2</v>
      </c>
      <c r="K17">
        <f>K12/Drivers!J4</f>
        <v>1.3991142399503649E-2</v>
      </c>
      <c r="L17">
        <f>L12/Drivers!K4</f>
        <v>1.3329468330311484E-2</v>
      </c>
      <c r="M17">
        <f>M12/Drivers!L4</f>
        <v>1.2819849522437712E-2</v>
      </c>
      <c r="N17">
        <f>N12/Drivers!M4</f>
        <v>1.2607541028129859E-2</v>
      </c>
      <c r="O17">
        <f>O12/Drivers!N4</f>
        <v>1.4921819008431562E-2</v>
      </c>
      <c r="P17">
        <f>P12/Drivers!O4</f>
        <v>1.21567810458843E-2</v>
      </c>
      <c r="Q17">
        <f>Q12/Drivers!P4</f>
        <v>1.3044162311588505E-2</v>
      </c>
      <c r="R17">
        <f>R12/Drivers!Q4</f>
        <v>1.3763079313265579E-2</v>
      </c>
      <c r="S17">
        <f>S12/Drivers!R4</f>
        <v>1.4273144855926876E-2</v>
      </c>
      <c r="T17">
        <f>T12/Drivers!S4</f>
        <v>1.5100061087370227E-2</v>
      </c>
      <c r="U17">
        <f>U12/Drivers!T4</f>
        <v>1.701400710616301E-2</v>
      </c>
      <c r="V17">
        <f>V12/Drivers!U4</f>
        <v>1.7610021254379524E-2</v>
      </c>
      <c r="W17">
        <f>W12/Drivers!V4</f>
        <v>1.5407958031534726E-2</v>
      </c>
      <c r="X17">
        <f>X12/Drivers!W4</f>
        <v>1.553182299165852E-2</v>
      </c>
      <c r="Y17">
        <f>Y12/Drivers!X4</f>
        <v>1.7181807184041598E-2</v>
      </c>
      <c r="Z17">
        <f>Z12/Drivers!Y4</f>
        <v>1.6902490054067201E-2</v>
      </c>
      <c r="AA17">
        <f>AA12/Drivers!Z4</f>
        <v>1.6310786969267743E-2</v>
      </c>
      <c r="AB17">
        <f>AB12/Drivers!AA4</f>
        <v>1.7004893504801423E-2</v>
      </c>
      <c r="AC17">
        <f>AC12/Drivers!AB4</f>
        <v>1.8166666666666668E-2</v>
      </c>
      <c r="AD17">
        <f>AD12/Drivers!AC4</f>
        <v>1.8773947105477615E-2</v>
      </c>
      <c r="AE17">
        <f>AE12/Drivers!AD4</f>
        <v>1.9482092183173511E-2</v>
      </c>
      <c r="AF17">
        <f>AF12/Drivers!AE4</f>
        <v>1.8448731277798228E-2</v>
      </c>
      <c r="AG17">
        <f>AG12/Drivers!AF4</f>
        <v>1.8148153444693928E-2</v>
      </c>
    </row>
    <row r="18" spans="1:34" x14ac:dyDescent="0.25">
      <c r="A18" t="s">
        <v>4</v>
      </c>
      <c r="B18" t="s">
        <v>142</v>
      </c>
      <c r="E18">
        <v>420000</v>
      </c>
      <c r="F18">
        <v>420000</v>
      </c>
      <c r="G18">
        <v>420000</v>
      </c>
      <c r="H18">
        <v>420000</v>
      </c>
      <c r="I18">
        <v>420000</v>
      </c>
      <c r="J18">
        <v>420000</v>
      </c>
      <c r="K18">
        <v>420000</v>
      </c>
      <c r="L18">
        <v>420000</v>
      </c>
      <c r="M18">
        <v>420000</v>
      </c>
      <c r="N18">
        <v>420000</v>
      </c>
      <c r="O18">
        <v>420000</v>
      </c>
      <c r="P18">
        <v>420000</v>
      </c>
      <c r="Q18">
        <v>420000</v>
      </c>
      <c r="R18">
        <v>420000</v>
      </c>
      <c r="S18">
        <v>420000</v>
      </c>
      <c r="T18">
        <v>420000</v>
      </c>
      <c r="U18">
        <v>420000</v>
      </c>
      <c r="V18">
        <v>420000</v>
      </c>
      <c r="W18">
        <v>391147.75</v>
      </c>
      <c r="X18">
        <v>400819.41666666669</v>
      </c>
      <c r="Y18">
        <v>399822.33333333331</v>
      </c>
      <c r="Z18">
        <v>461800.16666666669</v>
      </c>
      <c r="AA18">
        <v>484273.66666666669</v>
      </c>
      <c r="AB18">
        <v>502649</v>
      </c>
      <c r="AC18">
        <v>521025</v>
      </c>
      <c r="AD18">
        <v>539400</v>
      </c>
      <c r="AE18">
        <v>568136</v>
      </c>
      <c r="AF18">
        <v>591585</v>
      </c>
    </row>
    <row r="19" spans="1:34" x14ac:dyDescent="0.25">
      <c r="A19" t="str">
        <f>A13</f>
        <v>Beef production minus</v>
      </c>
      <c r="B19" t="str">
        <f t="shared" ref="B19:AF19" si="2">B13</f>
        <v>t</v>
      </c>
      <c r="E19">
        <f t="shared" si="2"/>
        <v>7510400</v>
      </c>
      <c r="F19">
        <f t="shared" si="2"/>
        <v>7255760</v>
      </c>
      <c r="G19">
        <f t="shared" si="2"/>
        <v>7283990</v>
      </c>
      <c r="H19">
        <f t="shared" si="2"/>
        <v>6863150</v>
      </c>
      <c r="I19">
        <f t="shared" si="2"/>
        <v>6965250</v>
      </c>
      <c r="J19">
        <f t="shared" si="2"/>
        <v>7016430</v>
      </c>
      <c r="K19">
        <f t="shared" si="2"/>
        <v>7308540</v>
      </c>
      <c r="L19">
        <f t="shared" si="2"/>
        <v>7540500</v>
      </c>
      <c r="M19">
        <f t="shared" si="2"/>
        <v>7591570</v>
      </c>
      <c r="N19">
        <f t="shared" si="2"/>
        <v>7472580</v>
      </c>
      <c r="O19">
        <f t="shared" si="2"/>
        <v>7106170</v>
      </c>
      <c r="P19">
        <f t="shared" si="2"/>
        <v>7025260</v>
      </c>
      <c r="Q19">
        <f t="shared" si="2"/>
        <v>6638210</v>
      </c>
      <c r="R19">
        <f t="shared" si="2"/>
        <v>6834970</v>
      </c>
      <c r="S19">
        <f t="shared" si="2"/>
        <v>6921920</v>
      </c>
      <c r="T19">
        <f t="shared" si="2"/>
        <v>7021400</v>
      </c>
      <c r="U19">
        <f t="shared" si="2"/>
        <v>6986980</v>
      </c>
      <c r="V19">
        <f t="shared" si="2"/>
        <v>7218280</v>
      </c>
      <c r="W19">
        <f t="shared" si="2"/>
        <v>6945352.25</v>
      </c>
      <c r="X19">
        <f t="shared" si="2"/>
        <v>6864620.583333333</v>
      </c>
      <c r="Y19">
        <f t="shared" si="2"/>
        <v>6934717.666666667</v>
      </c>
      <c r="Z19">
        <f t="shared" si="2"/>
        <v>6895779.833333333</v>
      </c>
      <c r="AA19">
        <f t="shared" si="2"/>
        <v>7982466.333333334</v>
      </c>
      <c r="AB19">
        <f t="shared" si="2"/>
        <v>6819811</v>
      </c>
      <c r="AC19">
        <f t="shared" si="2"/>
        <v>7034435</v>
      </c>
      <c r="AD19">
        <f t="shared" si="2"/>
        <v>6950360</v>
      </c>
      <c r="AE19">
        <f t="shared" si="2"/>
        <v>6724064</v>
      </c>
      <c r="AF19">
        <f t="shared" si="2"/>
        <v>5239425</v>
      </c>
    </row>
    <row r="20" spans="1:34" x14ac:dyDescent="0.25">
      <c r="A20" t="s">
        <v>323</v>
      </c>
      <c r="B20" t="s">
        <v>327</v>
      </c>
      <c r="E20">
        <v>668000</v>
      </c>
      <c r="F20">
        <v>714000</v>
      </c>
      <c r="G20">
        <v>741000</v>
      </c>
      <c r="H20">
        <v>718000</v>
      </c>
      <c r="I20">
        <v>663000</v>
      </c>
      <c r="J20">
        <v>587000</v>
      </c>
      <c r="K20">
        <v>591000</v>
      </c>
      <c r="L20">
        <v>573000</v>
      </c>
      <c r="M20">
        <v>560000</v>
      </c>
      <c r="N20">
        <v>559000</v>
      </c>
      <c r="O20">
        <v>671000</v>
      </c>
      <c r="P20">
        <v>554000</v>
      </c>
      <c r="Q20">
        <v>602000</v>
      </c>
      <c r="R20">
        <v>643000</v>
      </c>
      <c r="S20">
        <v>675000</v>
      </c>
      <c r="T20">
        <v>723000</v>
      </c>
      <c r="U20">
        <v>825000</v>
      </c>
      <c r="V20">
        <v>865000</v>
      </c>
      <c r="W20">
        <v>767000</v>
      </c>
      <c r="X20">
        <v>784000</v>
      </c>
      <c r="Y20">
        <v>880000</v>
      </c>
      <c r="Z20">
        <v>879000</v>
      </c>
      <c r="AA20">
        <v>865000</v>
      </c>
      <c r="AB20">
        <v>910000</v>
      </c>
      <c r="AC20">
        <v>981000</v>
      </c>
      <c r="AD20">
        <v>1023000</v>
      </c>
      <c r="AE20">
        <v>1072000</v>
      </c>
      <c r="AF20">
        <v>1025000</v>
      </c>
      <c r="AG20">
        <v>1018000</v>
      </c>
      <c r="AH20">
        <v>1006000</v>
      </c>
    </row>
    <row r="21" spans="1:34" x14ac:dyDescent="0.25">
      <c r="A21" t="s">
        <v>4</v>
      </c>
      <c r="B21" t="s">
        <v>142</v>
      </c>
      <c r="E21">
        <v>420000</v>
      </c>
      <c r="F21">
        <v>420000</v>
      </c>
      <c r="G21">
        <v>420000</v>
      </c>
      <c r="H21">
        <v>420000</v>
      </c>
      <c r="I21">
        <v>420000</v>
      </c>
      <c r="J21">
        <v>420000</v>
      </c>
      <c r="K21">
        <v>420000</v>
      </c>
      <c r="L21">
        <v>420000</v>
      </c>
      <c r="M21">
        <v>420000</v>
      </c>
      <c r="N21">
        <v>420000</v>
      </c>
      <c r="O21">
        <v>420000</v>
      </c>
      <c r="P21">
        <v>420000</v>
      </c>
      <c r="Q21">
        <v>420000</v>
      </c>
      <c r="R21">
        <v>420000</v>
      </c>
      <c r="S21">
        <v>420000</v>
      </c>
      <c r="T21">
        <v>420000</v>
      </c>
      <c r="U21">
        <v>420000</v>
      </c>
      <c r="V21">
        <v>420000</v>
      </c>
      <c r="W21">
        <v>391147.75</v>
      </c>
      <c r="X21">
        <v>400819.41666666669</v>
      </c>
      <c r="Y21">
        <v>399822.33333333331</v>
      </c>
      <c r="Z21">
        <v>461800.16666666669</v>
      </c>
      <c r="AA21">
        <v>484273.66666666669</v>
      </c>
      <c r="AB21">
        <v>502649</v>
      </c>
      <c r="AC21">
        <v>521025</v>
      </c>
      <c r="AD21">
        <v>539400</v>
      </c>
      <c r="AE21">
        <v>568136</v>
      </c>
      <c r="AF21">
        <v>591585</v>
      </c>
    </row>
    <row r="22" spans="1:34" x14ac:dyDescent="0.25">
      <c r="A22" t="s">
        <v>3</v>
      </c>
      <c r="B22" t="s">
        <v>329</v>
      </c>
      <c r="E22">
        <f>Drivers!D4</f>
        <v>36800509</v>
      </c>
      <c r="F22">
        <f>Drivers!E4</f>
        <v>37718950</v>
      </c>
      <c r="G22">
        <f>Drivers!F4</f>
        <v>38672607</v>
      </c>
      <c r="H22">
        <f>Drivers!G4</f>
        <v>39633750</v>
      </c>
      <c r="I22">
        <f>Drivers!H4</f>
        <v>40564059</v>
      </c>
      <c r="J22">
        <f>Drivers!I4</f>
        <v>41435758</v>
      </c>
      <c r="K22">
        <f>Drivers!J4</f>
        <v>42241011</v>
      </c>
      <c r="L22">
        <f>Drivers!K4</f>
        <v>42987461</v>
      </c>
      <c r="M22">
        <f>Drivers!L4</f>
        <v>43682260</v>
      </c>
      <c r="N22">
        <f>Drivers!M4</f>
        <v>44338543</v>
      </c>
      <c r="O22">
        <f>Drivers!N4</f>
        <v>44967708</v>
      </c>
      <c r="P22">
        <f>Drivers!O4</f>
        <v>45571274</v>
      </c>
      <c r="Q22">
        <f>Drivers!P4</f>
        <v>46150913</v>
      </c>
      <c r="R22">
        <f>Drivers!Q4</f>
        <v>46719196</v>
      </c>
      <c r="S22">
        <f>Drivers!R4</f>
        <v>47291610</v>
      </c>
      <c r="T22">
        <f>Drivers!S4</f>
        <v>47880601</v>
      </c>
      <c r="U22">
        <f>Drivers!T4</f>
        <v>48489459</v>
      </c>
      <c r="V22">
        <f>Drivers!U4</f>
        <v>49119759</v>
      </c>
      <c r="W22">
        <f>Drivers!V4</f>
        <v>49779471</v>
      </c>
      <c r="X22">
        <f>Drivers!W4</f>
        <v>50477011</v>
      </c>
      <c r="Y22">
        <f>Drivers!X4</f>
        <v>51216964</v>
      </c>
      <c r="Z22">
        <f>Drivers!Y4</f>
        <v>52004172</v>
      </c>
      <c r="AA22">
        <f>Drivers!Z4</f>
        <v>53032389.033699296</v>
      </c>
      <c r="AB22">
        <f>Drivers!AA4</f>
        <v>53514007.585114054</v>
      </c>
      <c r="AC22">
        <f>Drivers!AB4</f>
        <v>54000000</v>
      </c>
      <c r="AD22">
        <f>Drivers!AC4</f>
        <v>54490406</v>
      </c>
      <c r="AE22">
        <f>Drivers!AD4</f>
        <v>55024891.060000002</v>
      </c>
      <c r="AF22">
        <f>Drivers!AE4</f>
        <v>55559376.119999997</v>
      </c>
    </row>
    <row r="23" spans="1:34" x14ac:dyDescent="0.25">
      <c r="A23" t="str">
        <f>A16</f>
        <v>Wealth (GVA)</v>
      </c>
      <c r="B23" t="s">
        <v>749</v>
      </c>
      <c r="E23">
        <f t="shared" ref="E23:AF23" si="3">E16</f>
        <v>7.3995172186341224E-6</v>
      </c>
      <c r="F23">
        <f t="shared" si="3"/>
        <v>8.3160321270873128E-6</v>
      </c>
      <c r="G23">
        <f t="shared" si="3"/>
        <v>9.1809688444329608E-6</v>
      </c>
      <c r="H23">
        <f t="shared" si="3"/>
        <v>1.0183063676790614E-5</v>
      </c>
      <c r="I23">
        <f t="shared" si="3"/>
        <v>1.1198558803003417E-5</v>
      </c>
      <c r="J23">
        <f t="shared" si="3"/>
        <v>1.2456004786976505E-5</v>
      </c>
      <c r="K23">
        <f t="shared" si="3"/>
        <v>1.5023575074943164E-5</v>
      </c>
      <c r="L23">
        <f t="shared" si="3"/>
        <v>1.4993976964585091E-5</v>
      </c>
      <c r="M23">
        <f t="shared" si="3"/>
        <v>1.5889974557177216E-5</v>
      </c>
      <c r="N23">
        <f t="shared" si="3"/>
        <v>1.7139534783540361E-5</v>
      </c>
      <c r="O23">
        <f t="shared" si="3"/>
        <v>1.9178073296508686E-5</v>
      </c>
      <c r="P23">
        <f t="shared" si="3"/>
        <v>2.0941920561623974E-5</v>
      </c>
      <c r="Q23">
        <f t="shared" si="3"/>
        <v>2.4092156096673536E-5</v>
      </c>
      <c r="R23">
        <f t="shared" si="3"/>
        <v>2.5864721644610491E-5</v>
      </c>
      <c r="S23">
        <f t="shared" si="3"/>
        <v>2.816463639110616E-5</v>
      </c>
      <c r="T23">
        <f t="shared" si="3"/>
        <v>3.0685475313895917E-5</v>
      </c>
      <c r="U23">
        <f t="shared" si="3"/>
        <v>3.3867608215633009E-5</v>
      </c>
      <c r="V23">
        <f t="shared" si="3"/>
        <v>3.8369935813406575E-5</v>
      </c>
      <c r="W23">
        <f t="shared" si="3"/>
        <v>4.2933160137438985E-5</v>
      </c>
      <c r="X23">
        <f t="shared" si="3"/>
        <v>4.5112536477249022E-5</v>
      </c>
      <c r="Y23">
        <f t="shared" si="3"/>
        <v>4.8711594853611398E-5</v>
      </c>
      <c r="Z23">
        <f t="shared" si="3"/>
        <v>5.2388104554380752E-5</v>
      </c>
      <c r="AA23">
        <f t="shared" si="3"/>
        <v>7.2008674666107316E-5</v>
      </c>
      <c r="AB23">
        <f t="shared" si="3"/>
        <v>7.3128862350936422E-5</v>
      </c>
      <c r="AC23">
        <f t="shared" si="3"/>
        <v>7.3832053087208803E-5</v>
      </c>
      <c r="AD23">
        <f t="shared" si="3"/>
        <v>7.4099569652362116E-5</v>
      </c>
      <c r="AE23">
        <f t="shared" si="3"/>
        <v>7.3966728660027013E-5</v>
      </c>
      <c r="AF23">
        <f t="shared" si="3"/>
        <v>7.4125058503467776E-5</v>
      </c>
    </row>
    <row r="24" spans="1:34" x14ac:dyDescent="0.25">
      <c r="A24" t="s">
        <v>345</v>
      </c>
      <c r="B24" t="s">
        <v>142</v>
      </c>
      <c r="E24">
        <v>5690000</v>
      </c>
      <c r="F24">
        <v>6130000</v>
      </c>
      <c r="G24">
        <v>6190000</v>
      </c>
      <c r="H24">
        <v>6190000</v>
      </c>
      <c r="I24">
        <v>5440000</v>
      </c>
      <c r="J24">
        <v>5370000</v>
      </c>
      <c r="K24">
        <v>5500000</v>
      </c>
      <c r="L24">
        <v>5660000</v>
      </c>
      <c r="M24">
        <v>5910000</v>
      </c>
      <c r="N24">
        <v>6120000</v>
      </c>
      <c r="O24">
        <v>6290000</v>
      </c>
      <c r="P24">
        <v>6160000</v>
      </c>
      <c r="Q24">
        <v>6650000</v>
      </c>
      <c r="R24">
        <v>6640000</v>
      </c>
      <c r="S24">
        <v>6500000</v>
      </c>
      <c r="T24">
        <v>6420000</v>
      </c>
      <c r="U24">
        <v>6570000</v>
      </c>
      <c r="V24">
        <v>6790000</v>
      </c>
      <c r="W24">
        <v>6920000</v>
      </c>
      <c r="X24">
        <v>6900000</v>
      </c>
      <c r="Y24">
        <v>6820000</v>
      </c>
      <c r="Z24">
        <v>6800000</v>
      </c>
      <c r="AB24">
        <v>7040000</v>
      </c>
      <c r="AC24">
        <v>6920000</v>
      </c>
      <c r="AD24">
        <v>6840000</v>
      </c>
      <c r="AE24">
        <v>6780000</v>
      </c>
      <c r="AF24">
        <v>6710000</v>
      </c>
    </row>
    <row r="26" spans="1:34" x14ac:dyDescent="0.25">
      <c r="A26" t="s">
        <v>527</v>
      </c>
      <c r="C26">
        <f>SLOPE(E17:AG17,E16:AG16)</f>
        <v>40.770978409078843</v>
      </c>
      <c r="G26" t="s">
        <v>527</v>
      </c>
      <c r="H26">
        <f>SLOPE(E9:AH9,E8:AH8)</f>
        <v>1.1622595811024998</v>
      </c>
      <c r="M26" t="s">
        <v>527</v>
      </c>
      <c r="N26">
        <f>SLOPE(E10:AF10,E9:AF9)</f>
        <v>-1.4181749628325153</v>
      </c>
      <c r="S26" t="s">
        <v>527</v>
      </c>
      <c r="T26">
        <f>SLOPE(O15:AF15,O14:AF14)</f>
        <v>-0.52222048760180062</v>
      </c>
      <c r="Y26" t="s">
        <v>1</v>
      </c>
      <c r="Z26">
        <f>SLOPE(Y21:AF21,Y20:AF20)</f>
        <v>0.64662208535762933</v>
      </c>
    </row>
    <row r="27" spans="1:34" x14ac:dyDescent="0.25">
      <c r="A27" t="s">
        <v>528</v>
      </c>
      <c r="C27">
        <f>INTERCEPT(E17:AG17,E16:AG16)</f>
        <v>1.4626047615749226E-2</v>
      </c>
      <c r="G27" t="s">
        <v>528</v>
      </c>
      <c r="H27">
        <f>INTERCEPT(E9:AH9,E8:AH8)</f>
        <v>-150189.48811186175</v>
      </c>
      <c r="M27" t="s">
        <v>528</v>
      </c>
      <c r="N27">
        <f>INTERCEPT(E10:AF10,E9:AF9)</f>
        <v>7348986.1198765552</v>
      </c>
      <c r="S27" t="s">
        <v>528</v>
      </c>
      <c r="T27">
        <f>INTERCEPT(O15:AF15,O14:AF14)</f>
        <v>10311393.203757189</v>
      </c>
      <c r="Y27" t="s">
        <v>2</v>
      </c>
      <c r="Z27">
        <f>INTERCEPT(Y21:AF21,Y20:AF20)</f>
        <v>-108533.55687985406</v>
      </c>
    </row>
    <row r="45" spans="1:69" s="19" customFormat="1" ht="29.25" customHeight="1" x14ac:dyDescent="0.25">
      <c r="A45" s="17" t="s">
        <v>335</v>
      </c>
      <c r="B45" s="17" t="s">
        <v>0</v>
      </c>
      <c r="C45" s="17" t="s">
        <v>287</v>
      </c>
      <c r="D45" s="18" t="s">
        <v>313</v>
      </c>
      <c r="E45" s="17">
        <v>1990</v>
      </c>
      <c r="F45" s="17">
        <v>1991</v>
      </c>
      <c r="G45" s="17">
        <v>1992</v>
      </c>
      <c r="H45" s="17">
        <v>1993</v>
      </c>
      <c r="I45" s="17">
        <v>1994</v>
      </c>
      <c r="J45" s="17">
        <v>1995</v>
      </c>
      <c r="K45" s="17">
        <v>1996</v>
      </c>
      <c r="L45" s="17">
        <v>1997</v>
      </c>
      <c r="M45" s="17">
        <v>1998</v>
      </c>
      <c r="N45" s="17">
        <v>1999</v>
      </c>
      <c r="O45" s="17">
        <v>2000</v>
      </c>
      <c r="P45" s="17">
        <v>2001</v>
      </c>
      <c r="Q45" s="17">
        <v>2002</v>
      </c>
      <c r="R45" s="17">
        <v>2003</v>
      </c>
      <c r="S45" s="17">
        <v>2004</v>
      </c>
      <c r="T45" s="17">
        <v>2005</v>
      </c>
      <c r="U45" s="17">
        <v>2006</v>
      </c>
      <c r="V45" s="17">
        <v>2007</v>
      </c>
      <c r="W45" s="17">
        <v>2008</v>
      </c>
      <c r="X45" s="17">
        <v>2009</v>
      </c>
      <c r="Y45" s="17">
        <v>2010</v>
      </c>
      <c r="Z45" s="17">
        <v>2011</v>
      </c>
      <c r="AA45" s="17">
        <v>2012</v>
      </c>
      <c r="AB45" s="17">
        <v>2013</v>
      </c>
      <c r="AC45" s="17">
        <v>2014</v>
      </c>
      <c r="AD45" s="17">
        <v>2015</v>
      </c>
      <c r="AE45" s="17">
        <v>2016</v>
      </c>
      <c r="AF45" s="17">
        <v>2017</v>
      </c>
      <c r="AG45" s="17">
        <v>2018</v>
      </c>
      <c r="AH45" s="17">
        <v>2019</v>
      </c>
      <c r="AI45" s="17">
        <v>2020</v>
      </c>
      <c r="AJ45" s="17">
        <v>2021</v>
      </c>
      <c r="AK45" s="17">
        <v>2022</v>
      </c>
      <c r="AL45" s="17">
        <v>2023</v>
      </c>
      <c r="AM45" s="17">
        <v>2024</v>
      </c>
      <c r="AN45" s="17">
        <v>2025</v>
      </c>
      <c r="AO45" s="17">
        <v>2026</v>
      </c>
      <c r="AP45" s="17">
        <v>2027</v>
      </c>
      <c r="AQ45" s="17">
        <v>2028</v>
      </c>
      <c r="AR45" s="17">
        <v>2029</v>
      </c>
      <c r="AS45" s="17">
        <v>2030</v>
      </c>
      <c r="AT45" s="17">
        <v>2031</v>
      </c>
      <c r="AU45" s="17">
        <v>2032</v>
      </c>
      <c r="AV45" s="17">
        <v>2033</v>
      </c>
      <c r="AW45" s="17">
        <v>2034</v>
      </c>
      <c r="AX45" s="17">
        <v>2035</v>
      </c>
      <c r="AY45" s="17">
        <v>2036</v>
      </c>
      <c r="AZ45" s="17">
        <v>2037</v>
      </c>
      <c r="BA45" s="17">
        <v>2038</v>
      </c>
      <c r="BB45" s="17">
        <v>2039</v>
      </c>
      <c r="BC45" s="17">
        <v>2040</v>
      </c>
      <c r="BD45" s="17">
        <v>2041</v>
      </c>
      <c r="BE45" s="17">
        <v>2042</v>
      </c>
      <c r="BF45" s="17">
        <v>2043</v>
      </c>
      <c r="BG45" s="17">
        <v>2044</v>
      </c>
      <c r="BH45" s="17">
        <v>2045</v>
      </c>
      <c r="BI45" s="17">
        <v>2046</v>
      </c>
      <c r="BJ45" s="17">
        <v>2047</v>
      </c>
      <c r="BK45" s="17">
        <v>2048</v>
      </c>
      <c r="BL45" s="17">
        <v>2049</v>
      </c>
      <c r="BM45" s="17">
        <v>2050</v>
      </c>
      <c r="BP45" s="18" t="s">
        <v>312</v>
      </c>
      <c r="BQ45" s="17" t="s">
        <v>286</v>
      </c>
    </row>
    <row r="46" spans="1:69" ht="15.75" x14ac:dyDescent="0.25">
      <c r="A46" s="20" t="s">
        <v>338</v>
      </c>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row>
    <row r="47" spans="1:69" x14ac:dyDescent="0.25">
      <c r="A47" t="s">
        <v>336</v>
      </c>
      <c r="B47" t="s">
        <v>327</v>
      </c>
      <c r="E47">
        <v>1167000</v>
      </c>
      <c r="F47">
        <v>1153000</v>
      </c>
      <c r="G47">
        <v>1174000</v>
      </c>
      <c r="H47">
        <v>1092000</v>
      </c>
      <c r="I47">
        <v>1088000</v>
      </c>
      <c r="J47">
        <v>1397000</v>
      </c>
      <c r="K47">
        <v>1487000</v>
      </c>
      <c r="L47">
        <v>1571000</v>
      </c>
      <c r="M47">
        <v>1608000</v>
      </c>
      <c r="N47">
        <v>1606000</v>
      </c>
      <c r="O47">
        <v>1284000</v>
      </c>
      <c r="P47">
        <v>1575000</v>
      </c>
      <c r="Q47">
        <v>1611000</v>
      </c>
      <c r="R47">
        <v>1528000</v>
      </c>
      <c r="S47">
        <v>1626000</v>
      </c>
      <c r="T47">
        <v>1835000</v>
      </c>
      <c r="U47">
        <v>1697000</v>
      </c>
      <c r="V47">
        <v>1799000</v>
      </c>
      <c r="W47">
        <v>1819000</v>
      </c>
      <c r="X47">
        <v>1788000</v>
      </c>
      <c r="Y47">
        <v>1868000</v>
      </c>
      <c r="Z47">
        <v>1852000</v>
      </c>
      <c r="AA47">
        <v>1916000</v>
      </c>
      <c r="AB47">
        <v>1931000</v>
      </c>
      <c r="AC47">
        <v>1976000</v>
      </c>
      <c r="AD47">
        <v>2121000</v>
      </c>
      <c r="AE47">
        <v>2126000</v>
      </c>
      <c r="AF47">
        <v>2207000</v>
      </c>
      <c r="AG47">
        <v>2252000</v>
      </c>
      <c r="AH47">
        <v>1006000</v>
      </c>
    </row>
    <row r="48" spans="1:69" x14ac:dyDescent="0.25">
      <c r="A48" t="s">
        <v>346</v>
      </c>
      <c r="B48" t="s">
        <v>327</v>
      </c>
      <c r="E48">
        <v>2119000</v>
      </c>
      <c r="F48">
        <v>2163000</v>
      </c>
      <c r="G48">
        <v>2107000</v>
      </c>
      <c r="H48">
        <v>2002000</v>
      </c>
      <c r="I48">
        <v>2006000</v>
      </c>
      <c r="J48">
        <v>2297000</v>
      </c>
      <c r="K48">
        <v>2450000</v>
      </c>
      <c r="L48">
        <v>2437000</v>
      </c>
      <c r="M48">
        <v>2501000</v>
      </c>
      <c r="N48">
        <v>2543000</v>
      </c>
      <c r="O48">
        <v>2370000</v>
      </c>
      <c r="P48">
        <v>2358000</v>
      </c>
      <c r="Q48">
        <v>2457000</v>
      </c>
      <c r="R48">
        <v>2354000</v>
      </c>
      <c r="S48">
        <v>2505000</v>
      </c>
      <c r="T48">
        <v>2657000</v>
      </c>
      <c r="U48">
        <v>2513000</v>
      </c>
      <c r="V48">
        <v>2559000</v>
      </c>
      <c r="W48">
        <v>2625000</v>
      </c>
      <c r="X48">
        <v>2587000</v>
      </c>
      <c r="Y48">
        <v>2711000</v>
      </c>
      <c r="Z48">
        <v>2720000</v>
      </c>
      <c r="AA48">
        <v>2843000</v>
      </c>
      <c r="AB48">
        <v>2906000</v>
      </c>
      <c r="AC48">
        <v>2983000</v>
      </c>
      <c r="AD48">
        <v>3173000</v>
      </c>
      <c r="AE48">
        <v>3158000</v>
      </c>
    </row>
    <row r="49" spans="1:33" x14ac:dyDescent="0.25">
      <c r="A49" t="s">
        <v>5</v>
      </c>
      <c r="B49" t="s">
        <v>142</v>
      </c>
      <c r="E49">
        <v>887480</v>
      </c>
      <c r="F49">
        <v>1021720.0000000001</v>
      </c>
      <c r="G49">
        <v>883920</v>
      </c>
      <c r="H49">
        <v>937480</v>
      </c>
      <c r="I49">
        <v>869680</v>
      </c>
      <c r="J49">
        <v>930360</v>
      </c>
      <c r="K49">
        <v>933920</v>
      </c>
      <c r="L49">
        <v>900360</v>
      </c>
      <c r="M49">
        <v>889680.00000000012</v>
      </c>
      <c r="N49">
        <v>873920</v>
      </c>
      <c r="O49">
        <v>1125280</v>
      </c>
      <c r="P49">
        <v>1121720</v>
      </c>
      <c r="Q49">
        <v>978160.00000000012</v>
      </c>
      <c r="R49">
        <v>889680.00000000012</v>
      </c>
      <c r="S49">
        <v>859000</v>
      </c>
      <c r="T49">
        <v>919680</v>
      </c>
      <c r="U49">
        <v>899680</v>
      </c>
      <c r="V49">
        <v>893240.00000000012</v>
      </c>
      <c r="W49">
        <v>1093920</v>
      </c>
      <c r="X49">
        <v>1121040</v>
      </c>
      <c r="Y49">
        <v>1121040</v>
      </c>
      <c r="Z49">
        <v>1080360</v>
      </c>
      <c r="AA49">
        <v>1040360.0000000001</v>
      </c>
      <c r="AB49">
        <v>1121720</v>
      </c>
      <c r="AC49">
        <v>1060360.0000000002</v>
      </c>
      <c r="AD49">
        <v>1073240</v>
      </c>
      <c r="AE49">
        <v>1113240.0000000002</v>
      </c>
      <c r="AF49">
        <v>1197480.0000000002</v>
      </c>
    </row>
    <row r="50" spans="1:33" x14ac:dyDescent="0.25">
      <c r="A50" t="str">
        <f>'Intermediate calcs'!A4</f>
        <v>Wealth (GVA)</v>
      </c>
      <c r="B50" t="str">
        <f>'Intermediate calcs'!B4</f>
        <v>GVA/capita</v>
      </c>
      <c r="E50">
        <f>'Intermediate calcs'!C4</f>
        <v>7.3995172186341224E-6</v>
      </c>
      <c r="F50">
        <f>'Intermediate calcs'!D4</f>
        <v>8.3160321270873128E-6</v>
      </c>
      <c r="G50">
        <f>'Intermediate calcs'!E4</f>
        <v>9.1809688444329608E-6</v>
      </c>
      <c r="H50">
        <f>'Intermediate calcs'!F4</f>
        <v>1.0183063676790614E-5</v>
      </c>
      <c r="I50">
        <f>'Intermediate calcs'!G4</f>
        <v>1.1198558803003417E-5</v>
      </c>
      <c r="J50">
        <f>'Intermediate calcs'!H4</f>
        <v>1.2456004786976505E-5</v>
      </c>
      <c r="K50">
        <f>'Intermediate calcs'!I4</f>
        <v>1.5023575074943164E-5</v>
      </c>
      <c r="L50">
        <f>'Intermediate calcs'!J4</f>
        <v>1.4993976964585091E-5</v>
      </c>
      <c r="M50">
        <f>'Intermediate calcs'!K4</f>
        <v>1.5889974557177216E-5</v>
      </c>
      <c r="N50">
        <f>'Intermediate calcs'!L4</f>
        <v>1.7139534783540361E-5</v>
      </c>
      <c r="O50">
        <f>'Intermediate calcs'!M4</f>
        <v>1.9178073296508686E-5</v>
      </c>
      <c r="P50">
        <f>'Intermediate calcs'!N4</f>
        <v>2.0941920561623974E-5</v>
      </c>
      <c r="Q50">
        <f>'Intermediate calcs'!O4</f>
        <v>2.4092156096673536E-5</v>
      </c>
      <c r="R50">
        <f>'Intermediate calcs'!P4</f>
        <v>2.5864721644610491E-5</v>
      </c>
      <c r="S50">
        <f>'Intermediate calcs'!Q4</f>
        <v>2.816463639110616E-5</v>
      </c>
      <c r="T50">
        <f>'Intermediate calcs'!R4</f>
        <v>3.0685475313895917E-5</v>
      </c>
      <c r="U50">
        <f>'Intermediate calcs'!S4</f>
        <v>3.3867608215633009E-5</v>
      </c>
      <c r="V50">
        <f>'Intermediate calcs'!T4</f>
        <v>3.8369935813406575E-5</v>
      </c>
      <c r="W50">
        <f>'Intermediate calcs'!U4</f>
        <v>4.2933160137438985E-5</v>
      </c>
      <c r="X50">
        <f>'Intermediate calcs'!V4</f>
        <v>4.5112536477249022E-5</v>
      </c>
      <c r="Y50">
        <f>'Intermediate calcs'!W4</f>
        <v>4.8711594853611398E-5</v>
      </c>
      <c r="Z50">
        <f>'Intermediate calcs'!X4</f>
        <v>5.2388104554380752E-5</v>
      </c>
      <c r="AA50">
        <f>'Intermediate calcs'!Y4</f>
        <v>7.2008674666107316E-5</v>
      </c>
      <c r="AB50">
        <f>'Intermediate calcs'!Z4</f>
        <v>7.3128862350936422E-5</v>
      </c>
      <c r="AC50">
        <f>'Intermediate calcs'!AA4</f>
        <v>7.3832053087208803E-5</v>
      </c>
      <c r="AD50">
        <f>'Intermediate calcs'!AB4</f>
        <v>7.4099569652362116E-5</v>
      </c>
      <c r="AE50">
        <f>'Intermediate calcs'!AC4</f>
        <v>7.3966728660027013E-5</v>
      </c>
      <c r="AF50">
        <f>'Intermediate calcs'!AD4</f>
        <v>7.4125058503467776E-5</v>
      </c>
      <c r="AG50">
        <f>'Intermediate calcs'!AE4</f>
        <v>7.4164408302538267E-5</v>
      </c>
    </row>
    <row r="51" spans="1:33" x14ac:dyDescent="0.25">
      <c r="A51" t="s">
        <v>336</v>
      </c>
      <c r="B51" t="s">
        <v>328</v>
      </c>
      <c r="E51">
        <f>E47/Drivers!D4</f>
        <v>3.1711517903189872E-2</v>
      </c>
      <c r="F51">
        <f>F47/Drivers!E4</f>
        <v>3.0568189199328188E-2</v>
      </c>
      <c r="G51">
        <f>G47/Drivers!F4</f>
        <v>3.035740517829584E-2</v>
      </c>
      <c r="H51">
        <f>H47/Drivers!G4</f>
        <v>2.7552275522755229E-2</v>
      </c>
      <c r="I51">
        <f>I47/Drivers!H4</f>
        <v>2.6821773432486134E-2</v>
      </c>
      <c r="J51">
        <f>J47/Drivers!I4</f>
        <v>3.3714841176550943E-2</v>
      </c>
      <c r="K51">
        <f>K47/Drivers!J4</f>
        <v>3.5202755918886504E-2</v>
      </c>
      <c r="L51">
        <f>L47/Drivers!K4</f>
        <v>3.654554057053986E-2</v>
      </c>
      <c r="M51">
        <f>M47/Drivers!L4</f>
        <v>3.6811282200142577E-2</v>
      </c>
      <c r="N51">
        <f>N47/Drivers!M4</f>
        <v>3.6221307497632478E-2</v>
      </c>
      <c r="O51">
        <f>O47/Drivers!N4</f>
        <v>2.855382355711792E-2</v>
      </c>
      <c r="P51">
        <f>P47/Drivers!O4</f>
        <v>3.4561245753190924E-2</v>
      </c>
      <c r="Q51">
        <f>Q47/Drivers!P4</f>
        <v>3.4907218411908775E-2</v>
      </c>
      <c r="R51">
        <f>R47/Drivers!Q4</f>
        <v>3.2706042287200317E-2</v>
      </c>
      <c r="S51">
        <f>S47/Drivers!R4</f>
        <v>3.4382420052943855E-2</v>
      </c>
      <c r="T51">
        <f>T47/Drivers!S4</f>
        <v>3.8324498057156799E-2</v>
      </c>
      <c r="U51">
        <f>U47/Drivers!T4</f>
        <v>3.4997297041404404E-2</v>
      </c>
      <c r="V51">
        <f>V47/Drivers!U4</f>
        <v>3.6624772527894527E-2</v>
      </c>
      <c r="W51">
        <f>W47/Drivers!V4</f>
        <v>3.6541167743626687E-2</v>
      </c>
      <c r="X51">
        <f>X47/Drivers!W4</f>
        <v>3.5422065700364075E-2</v>
      </c>
      <c r="Y51">
        <f>Y47/Drivers!X4</f>
        <v>3.6472290704306486E-2</v>
      </c>
      <c r="Z51">
        <f>Z47/Drivers!Y4</f>
        <v>3.5612527394917472E-2</v>
      </c>
      <c r="AA51">
        <f>AA47/Drivers!Z4</f>
        <v>3.612886454695606E-2</v>
      </c>
      <c r="AB51">
        <f>AB47/Drivers!AA4</f>
        <v>3.6084010283265432E-2</v>
      </c>
      <c r="AC51">
        <f>AC47/Drivers!AB4</f>
        <v>3.6592592592592593E-2</v>
      </c>
      <c r="AD51">
        <f>AD47/Drivers!AC4</f>
        <v>3.8924283294934525E-2</v>
      </c>
      <c r="AE51">
        <f>AE47/Drivers!AD4</f>
        <v>3.863705968416687E-2</v>
      </c>
      <c r="AF51">
        <f>AF47/Drivers!AE4</f>
        <v>3.9723268224488482E-2</v>
      </c>
      <c r="AG51">
        <f>AG47/Drivers!AF4</f>
        <v>4.0146995636002679E-2</v>
      </c>
    </row>
    <row r="52" spans="1:33" x14ac:dyDescent="0.25">
      <c r="A52" t="s">
        <v>5</v>
      </c>
      <c r="B52" t="s">
        <v>142</v>
      </c>
      <c r="E52">
        <v>887480</v>
      </c>
      <c r="F52">
        <v>1021720.0000000001</v>
      </c>
      <c r="G52">
        <v>883920</v>
      </c>
      <c r="H52">
        <v>937480</v>
      </c>
      <c r="I52">
        <v>869680</v>
      </c>
      <c r="J52">
        <v>930360</v>
      </c>
      <c r="K52">
        <v>933920</v>
      </c>
      <c r="L52">
        <v>900360</v>
      </c>
      <c r="M52">
        <v>889680.00000000012</v>
      </c>
      <c r="N52">
        <v>873920</v>
      </c>
      <c r="O52">
        <v>1125280</v>
      </c>
      <c r="P52">
        <v>1121720</v>
      </c>
      <c r="Q52">
        <v>978160.00000000012</v>
      </c>
      <c r="R52">
        <v>889680.00000000012</v>
      </c>
      <c r="S52">
        <v>859000</v>
      </c>
      <c r="T52">
        <v>919680</v>
      </c>
      <c r="U52">
        <v>899680</v>
      </c>
      <c r="V52">
        <v>893240.00000000012</v>
      </c>
      <c r="W52">
        <v>1093920</v>
      </c>
      <c r="X52">
        <v>1121040</v>
      </c>
      <c r="Y52">
        <v>1121040</v>
      </c>
      <c r="Z52">
        <v>1080360</v>
      </c>
      <c r="AA52">
        <v>1040360.0000000001</v>
      </c>
      <c r="AB52">
        <v>1121720</v>
      </c>
      <c r="AC52">
        <v>1060360.0000000002</v>
      </c>
      <c r="AD52">
        <v>1073240</v>
      </c>
      <c r="AE52">
        <v>1113240.0000000002</v>
      </c>
      <c r="AF52">
        <v>1197480.0000000002</v>
      </c>
    </row>
    <row r="53" spans="1:33" x14ac:dyDescent="0.25">
      <c r="A53" t="s">
        <v>529</v>
      </c>
      <c r="B53" t="s">
        <v>142</v>
      </c>
      <c r="E53">
        <v>585792.9</v>
      </c>
      <c r="F53">
        <v>665847.14000000013</v>
      </c>
      <c r="G53">
        <v>575959.50999999989</v>
      </c>
      <c r="H53">
        <v>602759.85000000009</v>
      </c>
      <c r="I53">
        <v>536625.95000000007</v>
      </c>
      <c r="J53">
        <v>583093.06999999995</v>
      </c>
      <c r="K53">
        <v>592926.46</v>
      </c>
      <c r="L53">
        <v>572912.89999999991</v>
      </c>
      <c r="M53">
        <v>543412.73</v>
      </c>
      <c r="N53">
        <v>572566.12</v>
      </c>
      <c r="O53">
        <v>709614.43</v>
      </c>
      <c r="P53">
        <v>699781.04</v>
      </c>
      <c r="Q53">
        <v>642440.19000000006</v>
      </c>
      <c r="R53">
        <v>543412.73</v>
      </c>
      <c r="S53">
        <v>507125.77999999997</v>
      </c>
      <c r="T53">
        <v>553592.9</v>
      </c>
      <c r="U53">
        <v>546806.12</v>
      </c>
      <c r="V53">
        <v>553246.12</v>
      </c>
      <c r="W53">
        <v>647220.70000000019</v>
      </c>
      <c r="X53">
        <v>673674.26</v>
      </c>
      <c r="Y53">
        <v>673674.26</v>
      </c>
      <c r="Z53">
        <v>633993.92000000016</v>
      </c>
      <c r="AA53">
        <v>620420.36</v>
      </c>
      <c r="AB53">
        <v>699781.04</v>
      </c>
      <c r="AC53">
        <v>627207.14</v>
      </c>
      <c r="AD53">
        <v>614327.14</v>
      </c>
      <c r="AE53">
        <v>627900.70000000007</v>
      </c>
      <c r="AF53">
        <v>690987.99</v>
      </c>
    </row>
    <row r="55" spans="1:33" x14ac:dyDescent="0.25">
      <c r="A55" t="s">
        <v>1</v>
      </c>
      <c r="B55">
        <f>SLOPE(Y51:AG51,Y50:AG50)</f>
        <v>90.947114364286918</v>
      </c>
      <c r="G55" t="s">
        <v>1</v>
      </c>
      <c r="H55">
        <f>SLOPE(Y48:AE48,Y47:AE47)</f>
        <v>1.6504385156311727</v>
      </c>
      <c r="M55" t="s">
        <v>1</v>
      </c>
      <c r="N55">
        <f>SLOPE(Y49:AE49,Y48:AE48)</f>
        <v>-7.5034444088430546E-3</v>
      </c>
      <c r="S55" t="s">
        <v>1</v>
      </c>
      <c r="T55">
        <f>SLOPE(Y53:AF53,Y52:AF52)</f>
        <v>0.54894559244258645</v>
      </c>
    </row>
    <row r="56" spans="1:33" x14ac:dyDescent="0.25">
      <c r="A56" t="s">
        <v>2</v>
      </c>
      <c r="B56">
        <f>INTERCEPT(Y51:AG51,Y50:AG50)</f>
        <v>3.1362201380125104E-2</v>
      </c>
      <c r="G56" t="s">
        <v>2</v>
      </c>
      <c r="H56">
        <f>INTERCEPT(Y48:AE48,Y47:AE47)</f>
        <v>-323649.59007912455</v>
      </c>
      <c r="M56" t="s">
        <v>2</v>
      </c>
      <c r="N56">
        <f>INTERCEPT(Y49:AE49,Y48:AE48)</f>
        <v>1109156.5128164042</v>
      </c>
      <c r="S56" t="s">
        <v>2</v>
      </c>
      <c r="T56">
        <f>INTERCEPT(E53:AF53,E52:AF52)</f>
        <v>124794.45974036719</v>
      </c>
    </row>
    <row r="75" spans="1:69" s="19" customFormat="1" ht="29.25" customHeight="1" x14ac:dyDescent="0.25">
      <c r="A75" s="17" t="s">
        <v>335</v>
      </c>
      <c r="B75" s="17" t="s">
        <v>0</v>
      </c>
      <c r="C75" s="17" t="s">
        <v>287</v>
      </c>
      <c r="D75" s="18" t="s">
        <v>313</v>
      </c>
      <c r="E75" s="17">
        <v>1990</v>
      </c>
      <c r="F75" s="17">
        <v>1991</v>
      </c>
      <c r="G75" s="17">
        <v>1992</v>
      </c>
      <c r="H75" s="17">
        <v>1993</v>
      </c>
      <c r="I75" s="17">
        <v>1994</v>
      </c>
      <c r="J75" s="17">
        <v>1995</v>
      </c>
      <c r="K75" s="17">
        <v>1996</v>
      </c>
      <c r="L75" s="17">
        <v>1997</v>
      </c>
      <c r="M75" s="17">
        <v>1998</v>
      </c>
      <c r="N75" s="17">
        <v>1999</v>
      </c>
      <c r="O75" s="17">
        <v>2000</v>
      </c>
      <c r="P75" s="17">
        <v>2001</v>
      </c>
      <c r="Q75" s="17">
        <v>2002</v>
      </c>
      <c r="R75" s="17">
        <v>2003</v>
      </c>
      <c r="S75" s="17">
        <v>2004</v>
      </c>
      <c r="T75" s="17">
        <v>2005</v>
      </c>
      <c r="U75" s="17">
        <v>2006</v>
      </c>
      <c r="V75" s="17">
        <v>2007</v>
      </c>
      <c r="W75" s="17">
        <v>2008</v>
      </c>
      <c r="X75" s="17">
        <v>2009</v>
      </c>
      <c r="Y75" s="17">
        <v>2010</v>
      </c>
      <c r="Z75" s="17">
        <v>2011</v>
      </c>
      <c r="AA75" s="17">
        <v>2012</v>
      </c>
      <c r="AB75" s="17">
        <v>2013</v>
      </c>
      <c r="AC75" s="17">
        <v>2014</v>
      </c>
      <c r="AD75" s="17">
        <v>2015</v>
      </c>
      <c r="AE75" s="17">
        <v>2016</v>
      </c>
      <c r="AF75" s="17">
        <v>2017</v>
      </c>
      <c r="AG75" s="17">
        <v>2018</v>
      </c>
      <c r="AH75" s="17">
        <v>2019</v>
      </c>
      <c r="AI75" s="17">
        <v>2020</v>
      </c>
      <c r="AJ75" s="17">
        <v>2021</v>
      </c>
      <c r="AK75" s="17">
        <v>2022</v>
      </c>
      <c r="AL75" s="17">
        <v>2023</v>
      </c>
      <c r="AM75" s="17">
        <v>2024</v>
      </c>
      <c r="AN75" s="17">
        <v>2025</v>
      </c>
      <c r="AO75" s="17">
        <v>2026</v>
      </c>
      <c r="AP75" s="17">
        <v>2027</v>
      </c>
      <c r="AQ75" s="17">
        <v>2028</v>
      </c>
      <c r="AR75" s="17">
        <v>2029</v>
      </c>
      <c r="AS75" s="17">
        <v>2030</v>
      </c>
      <c r="AT75" s="17">
        <v>2031</v>
      </c>
      <c r="AU75" s="17">
        <v>2032</v>
      </c>
      <c r="AV75" s="17">
        <v>2033</v>
      </c>
      <c r="AW75" s="17">
        <v>2034</v>
      </c>
      <c r="AX75" s="17">
        <v>2035</v>
      </c>
      <c r="AY75" s="17">
        <v>2036</v>
      </c>
      <c r="AZ75" s="17">
        <v>2037</v>
      </c>
      <c r="BA75" s="17">
        <v>2038</v>
      </c>
      <c r="BB75" s="17">
        <v>2039</v>
      </c>
      <c r="BC75" s="17">
        <v>2040</v>
      </c>
      <c r="BD75" s="17">
        <v>2041</v>
      </c>
      <c r="BE75" s="17">
        <v>2042</v>
      </c>
      <c r="BF75" s="17">
        <v>2043</v>
      </c>
      <c r="BG75" s="17">
        <v>2044</v>
      </c>
      <c r="BH75" s="17">
        <v>2045</v>
      </c>
      <c r="BI75" s="17">
        <v>2046</v>
      </c>
      <c r="BJ75" s="17">
        <v>2047</v>
      </c>
      <c r="BK75" s="17">
        <v>2048</v>
      </c>
      <c r="BL75" s="17">
        <v>2049</v>
      </c>
      <c r="BM75" s="17">
        <v>2050</v>
      </c>
      <c r="BP75" s="18" t="s">
        <v>312</v>
      </c>
      <c r="BQ75" s="17" t="s">
        <v>286</v>
      </c>
    </row>
    <row r="76" spans="1:69" ht="15.75" x14ac:dyDescent="0.25">
      <c r="A76" s="20" t="s">
        <v>349</v>
      </c>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c r="BL76" s="20"/>
      <c r="BM76" s="20"/>
    </row>
    <row r="77" spans="1:69" x14ac:dyDescent="0.25">
      <c r="A77" t="s">
        <v>353</v>
      </c>
      <c r="B77" t="s">
        <v>327</v>
      </c>
      <c r="C77" t="s">
        <v>351</v>
      </c>
      <c r="E77">
        <v>17700</v>
      </c>
      <c r="F77">
        <v>17300</v>
      </c>
      <c r="G77">
        <v>25100</v>
      </c>
      <c r="H77">
        <v>23600</v>
      </c>
      <c r="I77">
        <v>22700</v>
      </c>
      <c r="J77">
        <v>24900</v>
      </c>
      <c r="K77">
        <v>38100</v>
      </c>
      <c r="L77">
        <v>41100</v>
      </c>
      <c r="M77">
        <v>49400</v>
      </c>
      <c r="N77">
        <v>51100</v>
      </c>
      <c r="O77">
        <v>56800</v>
      </c>
      <c r="P77">
        <v>55100</v>
      </c>
      <c r="Q77">
        <v>42200</v>
      </c>
      <c r="R77">
        <v>33200</v>
      </c>
      <c r="S77">
        <v>34800</v>
      </c>
      <c r="T77">
        <v>35200</v>
      </c>
      <c r="U77">
        <v>43000</v>
      </c>
      <c r="V77">
        <v>44100</v>
      </c>
      <c r="W77">
        <v>30200</v>
      </c>
      <c r="X77">
        <v>19900</v>
      </c>
      <c r="Y77">
        <v>12600</v>
      </c>
      <c r="Z77">
        <v>8100</v>
      </c>
      <c r="AA77">
        <v>9400</v>
      </c>
      <c r="AB77">
        <v>6600</v>
      </c>
      <c r="AC77">
        <v>7700</v>
      </c>
      <c r="AD77">
        <v>10200</v>
      </c>
      <c r="AE77">
        <v>15000</v>
      </c>
      <c r="AF77">
        <v>11000</v>
      </c>
      <c r="AG77">
        <v>13800</v>
      </c>
    </row>
    <row r="78" spans="1:69" x14ac:dyDescent="0.25">
      <c r="A78" t="s">
        <v>354</v>
      </c>
      <c r="B78" t="s">
        <v>327</v>
      </c>
      <c r="C78" t="s">
        <v>351</v>
      </c>
      <c r="E78">
        <f t="shared" ref="E78:AG78" si="4">E80+E77</f>
        <v>174860</v>
      </c>
      <c r="F78">
        <f t="shared" si="4"/>
        <v>196140</v>
      </c>
      <c r="G78">
        <f t="shared" si="4"/>
        <v>189260</v>
      </c>
      <c r="H78">
        <f t="shared" si="4"/>
        <v>179660</v>
      </c>
      <c r="I78">
        <f t="shared" si="4"/>
        <v>148640</v>
      </c>
      <c r="J78">
        <f t="shared" si="4"/>
        <v>112620</v>
      </c>
      <c r="K78">
        <f t="shared" si="4"/>
        <v>135820</v>
      </c>
      <c r="L78">
        <f t="shared" si="4"/>
        <v>135180</v>
      </c>
      <c r="M78">
        <f t="shared" si="4"/>
        <v>137600</v>
      </c>
      <c r="N78">
        <f t="shared" si="4"/>
        <v>146760</v>
      </c>
      <c r="O78">
        <f t="shared" si="4"/>
        <v>155320</v>
      </c>
      <c r="P78">
        <f t="shared" si="4"/>
        <v>150960</v>
      </c>
      <c r="Q78">
        <f t="shared" si="4"/>
        <v>138540</v>
      </c>
      <c r="R78">
        <f t="shared" si="4"/>
        <v>138840</v>
      </c>
      <c r="S78">
        <f t="shared" si="4"/>
        <v>145920</v>
      </c>
      <c r="T78">
        <f t="shared" si="4"/>
        <v>159720</v>
      </c>
      <c r="U78">
        <f t="shared" si="4"/>
        <v>167740</v>
      </c>
      <c r="V78">
        <f t="shared" si="4"/>
        <v>192620</v>
      </c>
      <c r="W78">
        <f t="shared" si="4"/>
        <v>179460</v>
      </c>
      <c r="X78">
        <f t="shared" si="4"/>
        <v>171200</v>
      </c>
      <c r="Y78">
        <f t="shared" si="4"/>
        <v>166060</v>
      </c>
      <c r="Z78">
        <f t="shared" si="4"/>
        <v>147600</v>
      </c>
      <c r="AA78">
        <f t="shared" si="4"/>
        <v>148880</v>
      </c>
      <c r="AB78">
        <f t="shared" si="4"/>
        <v>162640</v>
      </c>
      <c r="AC78">
        <f t="shared" si="4"/>
        <v>179220</v>
      </c>
      <c r="AD78">
        <f t="shared" si="4"/>
        <v>183220</v>
      </c>
      <c r="AE78">
        <f t="shared" si="4"/>
        <v>181240</v>
      </c>
      <c r="AF78">
        <f t="shared" si="4"/>
        <v>11000</v>
      </c>
      <c r="AG78">
        <f t="shared" si="4"/>
        <v>13800</v>
      </c>
    </row>
    <row r="79" spans="1:69" x14ac:dyDescent="0.25">
      <c r="A79" t="s">
        <v>350</v>
      </c>
      <c r="B79" t="s">
        <v>327</v>
      </c>
      <c r="C79" t="s">
        <v>390</v>
      </c>
      <c r="E79" s="21">
        <f t="shared" ref="E79:AF79" si="5">E84-E114</f>
        <v>172960</v>
      </c>
      <c r="F79" s="21">
        <f t="shared" si="5"/>
        <v>193640</v>
      </c>
      <c r="G79" s="21">
        <f t="shared" si="5"/>
        <v>187060</v>
      </c>
      <c r="H79" s="21">
        <f t="shared" si="5"/>
        <v>177660</v>
      </c>
      <c r="I79" s="21">
        <f t="shared" si="5"/>
        <v>146640</v>
      </c>
      <c r="J79" s="21">
        <f t="shared" si="5"/>
        <v>110920</v>
      </c>
      <c r="K79" s="21">
        <f t="shared" si="5"/>
        <v>134420</v>
      </c>
      <c r="L79" s="21">
        <f t="shared" si="5"/>
        <v>133480</v>
      </c>
      <c r="M79" s="21">
        <f t="shared" si="5"/>
        <v>136300</v>
      </c>
      <c r="N79" s="21">
        <f t="shared" si="5"/>
        <v>144760</v>
      </c>
      <c r="O79" s="21">
        <f t="shared" si="5"/>
        <v>153220</v>
      </c>
      <c r="P79" s="21">
        <f t="shared" si="5"/>
        <v>149460</v>
      </c>
      <c r="Q79" s="21">
        <f t="shared" si="5"/>
        <v>137240</v>
      </c>
      <c r="R79" s="21">
        <f t="shared" si="5"/>
        <v>137240</v>
      </c>
      <c r="S79" s="21">
        <f t="shared" si="5"/>
        <v>143820</v>
      </c>
      <c r="T79" s="21">
        <f t="shared" si="5"/>
        <v>157920</v>
      </c>
      <c r="U79" s="21">
        <f t="shared" si="5"/>
        <v>165440</v>
      </c>
      <c r="V79" s="21">
        <f t="shared" si="5"/>
        <v>190820</v>
      </c>
      <c r="W79" s="21">
        <f t="shared" si="5"/>
        <v>177660</v>
      </c>
      <c r="X79" s="21">
        <f t="shared" si="5"/>
        <v>169200</v>
      </c>
      <c r="Y79" s="21">
        <f t="shared" si="5"/>
        <v>163560</v>
      </c>
      <c r="Z79" s="21">
        <f t="shared" si="5"/>
        <v>145700</v>
      </c>
      <c r="AA79" s="21">
        <f t="shared" si="5"/>
        <v>147580</v>
      </c>
      <c r="AB79" s="21">
        <f t="shared" si="5"/>
        <v>160740</v>
      </c>
      <c r="AC79" s="21">
        <f t="shared" si="5"/>
        <v>176720</v>
      </c>
      <c r="AD79" s="21">
        <f t="shared" si="5"/>
        <v>181420</v>
      </c>
      <c r="AE79" s="21">
        <f t="shared" si="5"/>
        <v>179540</v>
      </c>
      <c r="AF79" s="21">
        <f t="shared" si="5"/>
        <v>174840</v>
      </c>
      <c r="AG79" s="21"/>
    </row>
    <row r="80" spans="1:69" x14ac:dyDescent="0.25">
      <c r="A80" t="s">
        <v>352</v>
      </c>
      <c r="B80" t="s">
        <v>327</v>
      </c>
      <c r="C80" t="s">
        <v>390</v>
      </c>
      <c r="E80" s="21">
        <f t="shared" ref="E80:AE80" si="6">E85-E115</f>
        <v>157160</v>
      </c>
      <c r="F80" s="21">
        <f t="shared" si="6"/>
        <v>178840</v>
      </c>
      <c r="G80" s="21">
        <f t="shared" si="6"/>
        <v>164160</v>
      </c>
      <c r="H80" s="21">
        <f t="shared" si="6"/>
        <v>156060</v>
      </c>
      <c r="I80" s="21">
        <f t="shared" si="6"/>
        <v>125940</v>
      </c>
      <c r="J80" s="21">
        <f t="shared" si="6"/>
        <v>87720</v>
      </c>
      <c r="K80" s="21">
        <f t="shared" si="6"/>
        <v>97720</v>
      </c>
      <c r="L80" s="21">
        <f t="shared" si="6"/>
        <v>94080</v>
      </c>
      <c r="M80" s="21">
        <f t="shared" si="6"/>
        <v>88200</v>
      </c>
      <c r="N80" s="21">
        <f t="shared" si="6"/>
        <v>95660</v>
      </c>
      <c r="O80" s="21">
        <f t="shared" si="6"/>
        <v>98520</v>
      </c>
      <c r="P80" s="21">
        <f t="shared" si="6"/>
        <v>95860</v>
      </c>
      <c r="Q80" s="21">
        <f t="shared" si="6"/>
        <v>96340</v>
      </c>
      <c r="R80" s="21">
        <f t="shared" si="6"/>
        <v>105640</v>
      </c>
      <c r="S80" s="21">
        <f t="shared" si="6"/>
        <v>111120</v>
      </c>
      <c r="T80" s="21">
        <f t="shared" si="6"/>
        <v>124520</v>
      </c>
      <c r="U80" s="21">
        <f t="shared" si="6"/>
        <v>124740</v>
      </c>
      <c r="V80" s="21">
        <f t="shared" si="6"/>
        <v>148520</v>
      </c>
      <c r="W80" s="21">
        <f t="shared" si="6"/>
        <v>149260</v>
      </c>
      <c r="X80" s="21">
        <f t="shared" si="6"/>
        <v>151300</v>
      </c>
      <c r="Y80" s="21">
        <f t="shared" si="6"/>
        <v>153460</v>
      </c>
      <c r="Z80" s="21">
        <f t="shared" si="6"/>
        <v>139500</v>
      </c>
      <c r="AA80" s="21">
        <f t="shared" si="6"/>
        <v>139480</v>
      </c>
      <c r="AB80" s="21">
        <f t="shared" si="6"/>
        <v>156040</v>
      </c>
      <c r="AC80" s="21">
        <f t="shared" si="6"/>
        <v>171520</v>
      </c>
      <c r="AD80" s="21">
        <f t="shared" si="6"/>
        <v>173020</v>
      </c>
      <c r="AE80" s="21">
        <f t="shared" si="6"/>
        <v>166240</v>
      </c>
      <c r="AF80" s="21"/>
      <c r="AG80" s="21"/>
    </row>
    <row r="81" spans="1:33" x14ac:dyDescent="0.25">
      <c r="A81" t="s">
        <v>356</v>
      </c>
      <c r="B81" t="s">
        <v>142</v>
      </c>
      <c r="E81">
        <v>29979000</v>
      </c>
      <c r="F81">
        <v>28631000</v>
      </c>
      <c r="G81">
        <v>27448000</v>
      </c>
      <c r="H81">
        <v>25670000</v>
      </c>
      <c r="I81">
        <v>25851000</v>
      </c>
      <c r="J81">
        <v>25481000</v>
      </c>
      <c r="K81">
        <v>25566000</v>
      </c>
      <c r="L81">
        <v>25010000</v>
      </c>
      <c r="M81">
        <v>25079000</v>
      </c>
      <c r="N81">
        <v>24463000</v>
      </c>
      <c r="O81">
        <v>23586000</v>
      </c>
      <c r="P81">
        <v>22998000</v>
      </c>
      <c r="Q81">
        <v>22614000</v>
      </c>
      <c r="R81">
        <v>22693000</v>
      </c>
      <c r="S81">
        <v>22289000</v>
      </c>
      <c r="T81">
        <v>22236000</v>
      </c>
      <c r="U81">
        <v>21945000</v>
      </c>
      <c r="V81">
        <v>21924000</v>
      </c>
      <c r="W81">
        <v>21995000</v>
      </c>
      <c r="X81">
        <v>21917000</v>
      </c>
      <c r="Y81">
        <v>21493000</v>
      </c>
      <c r="Z81">
        <v>21325000</v>
      </c>
      <c r="AA81">
        <v>21427000</v>
      </c>
      <c r="AB81">
        <v>21589000</v>
      </c>
      <c r="AC81">
        <v>21202000</v>
      </c>
      <c r="AD81">
        <v>21033000</v>
      </c>
      <c r="AE81">
        <v>20438000</v>
      </c>
      <c r="AF81">
        <v>19942000</v>
      </c>
    </row>
    <row r="82" spans="1:33" x14ac:dyDescent="0.25">
      <c r="A82" t="str">
        <f>'Intermediate calcs'!A4</f>
        <v>Wealth (GVA)</v>
      </c>
      <c r="B82" t="str">
        <f>'Intermediate calcs'!B4</f>
        <v>GVA/capita</v>
      </c>
      <c r="E82">
        <f>'Intermediate calcs'!C4</f>
        <v>7.3995172186341224E-6</v>
      </c>
      <c r="F82">
        <f>'Intermediate calcs'!D4</f>
        <v>8.3160321270873128E-6</v>
      </c>
      <c r="G82">
        <f>'Intermediate calcs'!E4</f>
        <v>9.1809688444329608E-6</v>
      </c>
      <c r="H82">
        <f>'Intermediate calcs'!F4</f>
        <v>1.0183063676790614E-5</v>
      </c>
      <c r="I82">
        <f>'Intermediate calcs'!G4</f>
        <v>1.1198558803003417E-5</v>
      </c>
      <c r="J82">
        <f>'Intermediate calcs'!H4</f>
        <v>1.2456004786976505E-5</v>
      </c>
      <c r="K82">
        <f>'Intermediate calcs'!I4</f>
        <v>1.5023575074943164E-5</v>
      </c>
      <c r="L82">
        <f>'Intermediate calcs'!J4</f>
        <v>1.4993976964585091E-5</v>
      </c>
      <c r="M82">
        <f>'Intermediate calcs'!K4</f>
        <v>1.5889974557177216E-5</v>
      </c>
      <c r="N82">
        <f>'Intermediate calcs'!L4</f>
        <v>1.7139534783540361E-5</v>
      </c>
      <c r="O82">
        <f>'Intermediate calcs'!M4</f>
        <v>1.9178073296508686E-5</v>
      </c>
      <c r="P82">
        <f>'Intermediate calcs'!N4</f>
        <v>2.0941920561623974E-5</v>
      </c>
      <c r="Q82">
        <f>'Intermediate calcs'!O4</f>
        <v>2.4092156096673536E-5</v>
      </c>
      <c r="R82">
        <f>'Intermediate calcs'!P4</f>
        <v>2.5864721644610491E-5</v>
      </c>
      <c r="S82">
        <f>'Intermediate calcs'!Q4</f>
        <v>2.816463639110616E-5</v>
      </c>
      <c r="T82">
        <f>'Intermediate calcs'!R4</f>
        <v>3.0685475313895917E-5</v>
      </c>
      <c r="U82">
        <f>'Intermediate calcs'!S4</f>
        <v>3.3867608215633009E-5</v>
      </c>
      <c r="V82">
        <f>'Intermediate calcs'!T4</f>
        <v>3.8369935813406575E-5</v>
      </c>
      <c r="W82">
        <f>'Intermediate calcs'!U4</f>
        <v>4.2933160137438985E-5</v>
      </c>
      <c r="X82">
        <f>'Intermediate calcs'!V4</f>
        <v>4.5112536477249022E-5</v>
      </c>
      <c r="Y82">
        <f>'Intermediate calcs'!W4</f>
        <v>4.8711594853611398E-5</v>
      </c>
      <c r="Z82">
        <f>'Intermediate calcs'!X4</f>
        <v>5.2388104554380752E-5</v>
      </c>
      <c r="AA82">
        <f>'Intermediate calcs'!Y4</f>
        <v>7.2008674666107316E-5</v>
      </c>
      <c r="AB82">
        <f>'Intermediate calcs'!Z4</f>
        <v>7.3128862350936422E-5</v>
      </c>
      <c r="AC82">
        <f>'Intermediate calcs'!AA4</f>
        <v>7.3832053087208803E-5</v>
      </c>
      <c r="AD82">
        <f>'Intermediate calcs'!AB4</f>
        <v>7.4099569652362116E-5</v>
      </c>
      <c r="AE82">
        <f>'Intermediate calcs'!AC4</f>
        <v>7.3966728660027013E-5</v>
      </c>
      <c r="AF82">
        <f>'Intermediate calcs'!AD4</f>
        <v>7.4125058503467776E-5</v>
      </c>
      <c r="AG82">
        <f>'Intermediate calcs'!AE4</f>
        <v>7.4164408302538267E-5</v>
      </c>
    </row>
    <row r="83" spans="1:33" x14ac:dyDescent="0.25">
      <c r="A83" t="s">
        <v>350</v>
      </c>
      <c r="B83" t="s">
        <v>328</v>
      </c>
      <c r="E83">
        <f>E79/Drivers!D4</f>
        <v>4.6999349927469751E-3</v>
      </c>
      <c r="F83">
        <f>F79/Drivers!E4</f>
        <v>5.1337590256356549E-3</v>
      </c>
      <c r="G83">
        <f>G79/Drivers!F4</f>
        <v>4.8370155133322145E-3</v>
      </c>
      <c r="H83">
        <f>H79/Drivers!G4</f>
        <v>4.4825432869713315E-3</v>
      </c>
      <c r="I83">
        <f>I79/Drivers!H4</f>
        <v>3.615022845716697E-3</v>
      </c>
      <c r="J83">
        <f>J79/Drivers!I4</f>
        <v>2.6769149486779026E-3</v>
      </c>
      <c r="K83">
        <f>K79/Drivers!J4</f>
        <v>3.1822155014234865E-3</v>
      </c>
      <c r="L83">
        <f>L79/Drivers!K4</f>
        <v>3.1050915056369576E-3</v>
      </c>
      <c r="M83">
        <f>M79/Drivers!L4</f>
        <v>3.1202598034076076E-3</v>
      </c>
      <c r="N83">
        <f>N79/Drivers!M4</f>
        <v>3.2648794977318042E-3</v>
      </c>
      <c r="O83">
        <f>O79/Drivers!N4</f>
        <v>3.4073339917613768E-3</v>
      </c>
      <c r="P83">
        <f>P79/Drivers!O4</f>
        <v>3.2796976446170891E-3</v>
      </c>
      <c r="Q83">
        <f>Q79/Drivers!P4</f>
        <v>2.9737223183428679E-3</v>
      </c>
      <c r="R83">
        <f>R79/Drivers!Q4</f>
        <v>2.9375505520257668E-3</v>
      </c>
      <c r="S83">
        <f>S79/Drivers!R4</f>
        <v>3.0411313973028199E-3</v>
      </c>
      <c r="T83">
        <f>T79/Drivers!S4</f>
        <v>3.2982042142704099E-3</v>
      </c>
      <c r="U83">
        <f>U79/Drivers!T4</f>
        <v>3.4118755583558893E-3</v>
      </c>
      <c r="V83">
        <f>V79/Drivers!U4</f>
        <v>3.8847910471221979E-3</v>
      </c>
      <c r="W83">
        <f>W79/Drivers!V4</f>
        <v>3.5689411002378874E-3</v>
      </c>
      <c r="X83">
        <f>X79/Drivers!W4</f>
        <v>3.3520209823834457E-3</v>
      </c>
      <c r="Y83">
        <f>Y79/Drivers!X4</f>
        <v>3.1934731625248227E-3</v>
      </c>
      <c r="Z83">
        <f>Z79/Drivers!Y4</f>
        <v>2.8016982945137554E-3</v>
      </c>
      <c r="AA83">
        <f>AA79/Drivers!Z4</f>
        <v>2.7828276773694026E-3</v>
      </c>
      <c r="AB83">
        <f>AB79/Drivers!AA4</f>
        <v>3.0036995406173411E-3</v>
      </c>
      <c r="AC83">
        <f>AC79/Drivers!AB4</f>
        <v>3.2725925925925926E-3</v>
      </c>
      <c r="AD83">
        <f>AD79/Drivers!AC4</f>
        <v>3.3293934348736548E-3</v>
      </c>
      <c r="AE83">
        <f>AE79/Drivers!AD4</f>
        <v>3.2628869688124738E-3</v>
      </c>
      <c r="AF83">
        <f>AF79/Drivers!AE4</f>
        <v>3.146903586936822E-3</v>
      </c>
      <c r="AG83">
        <f>AG79/Drivers!AF4</f>
        <v>0</v>
      </c>
    </row>
    <row r="84" spans="1:33" x14ac:dyDescent="0.25">
      <c r="A84" t="s">
        <v>384</v>
      </c>
      <c r="B84" t="s">
        <v>327</v>
      </c>
      <c r="E84">
        <v>184000</v>
      </c>
      <c r="F84">
        <v>206000</v>
      </c>
      <c r="G84">
        <v>199000</v>
      </c>
      <c r="H84">
        <v>189000</v>
      </c>
      <c r="I84">
        <v>156000</v>
      </c>
      <c r="J84">
        <v>118000</v>
      </c>
      <c r="K84">
        <v>143000</v>
      </c>
      <c r="L84">
        <v>142000</v>
      </c>
      <c r="M84">
        <v>145000</v>
      </c>
      <c r="N84">
        <v>154000</v>
      </c>
      <c r="O84">
        <v>163000</v>
      </c>
      <c r="P84">
        <v>159000</v>
      </c>
      <c r="Q84">
        <v>146000</v>
      </c>
      <c r="R84">
        <v>146000</v>
      </c>
      <c r="S84">
        <v>153000</v>
      </c>
      <c r="T84">
        <v>168000</v>
      </c>
      <c r="U84">
        <v>176000</v>
      </c>
      <c r="V84">
        <v>203000</v>
      </c>
      <c r="W84">
        <v>189000</v>
      </c>
      <c r="X84">
        <v>180000</v>
      </c>
      <c r="Y84">
        <v>174000</v>
      </c>
      <c r="Z84">
        <v>155000</v>
      </c>
      <c r="AA84">
        <v>157000</v>
      </c>
      <c r="AB84">
        <v>171000</v>
      </c>
      <c r="AC84">
        <v>188000</v>
      </c>
      <c r="AD84">
        <v>193000</v>
      </c>
      <c r="AE84">
        <v>191000</v>
      </c>
      <c r="AF84">
        <v>186000</v>
      </c>
      <c r="AG84">
        <v>183000</v>
      </c>
    </row>
    <row r="85" spans="1:33" x14ac:dyDescent="0.25">
      <c r="A85" t="s">
        <v>391</v>
      </c>
      <c r="B85" t="s">
        <v>327</v>
      </c>
      <c r="E85">
        <v>168200</v>
      </c>
      <c r="F85">
        <v>191200</v>
      </c>
      <c r="G85">
        <v>176100</v>
      </c>
      <c r="H85">
        <v>167400</v>
      </c>
      <c r="I85">
        <v>135300</v>
      </c>
      <c r="J85">
        <v>94800</v>
      </c>
      <c r="K85">
        <v>106300</v>
      </c>
      <c r="L85">
        <v>102600</v>
      </c>
      <c r="M85">
        <v>96900</v>
      </c>
      <c r="N85">
        <v>104900</v>
      </c>
      <c r="O85">
        <v>108300</v>
      </c>
      <c r="P85">
        <v>105400</v>
      </c>
      <c r="Q85">
        <v>105100</v>
      </c>
      <c r="R85">
        <v>114400</v>
      </c>
      <c r="S85">
        <v>120300</v>
      </c>
      <c r="T85">
        <v>134600</v>
      </c>
      <c r="U85">
        <v>135300</v>
      </c>
      <c r="V85">
        <v>160700</v>
      </c>
      <c r="W85">
        <v>160600</v>
      </c>
      <c r="X85">
        <v>162100</v>
      </c>
      <c r="Y85">
        <v>163900</v>
      </c>
      <c r="Z85">
        <v>148800</v>
      </c>
      <c r="AA85">
        <v>148900</v>
      </c>
      <c r="AB85">
        <v>166300</v>
      </c>
      <c r="AC85">
        <v>182800</v>
      </c>
      <c r="AD85">
        <v>184600</v>
      </c>
      <c r="AE85">
        <v>177700</v>
      </c>
      <c r="AF85">
        <v>177300</v>
      </c>
      <c r="AG85">
        <v>170700</v>
      </c>
    </row>
    <row r="86" spans="1:33" x14ac:dyDescent="0.25">
      <c r="A86" t="s">
        <v>350</v>
      </c>
      <c r="B86" t="s">
        <v>327</v>
      </c>
      <c r="C86" t="s">
        <v>390</v>
      </c>
      <c r="E86" s="21">
        <f>E79</f>
        <v>172960</v>
      </c>
      <c r="F86" s="21">
        <f t="shared" ref="F86:AF86" si="7">F79</f>
        <v>193640</v>
      </c>
      <c r="G86" s="21">
        <f t="shared" si="7"/>
        <v>187060</v>
      </c>
      <c r="H86" s="21">
        <f t="shared" si="7"/>
        <v>177660</v>
      </c>
      <c r="I86" s="21">
        <f t="shared" si="7"/>
        <v>146640</v>
      </c>
      <c r="J86" s="21">
        <f t="shared" si="7"/>
        <v>110920</v>
      </c>
      <c r="K86" s="21">
        <f t="shared" si="7"/>
        <v>134420</v>
      </c>
      <c r="L86" s="21">
        <f t="shared" si="7"/>
        <v>133480</v>
      </c>
      <c r="M86" s="21">
        <f t="shared" si="7"/>
        <v>136300</v>
      </c>
      <c r="N86" s="21">
        <f t="shared" si="7"/>
        <v>144760</v>
      </c>
      <c r="O86" s="21">
        <f t="shared" si="7"/>
        <v>153220</v>
      </c>
      <c r="P86" s="21">
        <f t="shared" si="7"/>
        <v>149460</v>
      </c>
      <c r="Q86" s="21">
        <f t="shared" si="7"/>
        <v>137240</v>
      </c>
      <c r="R86" s="21">
        <f t="shared" si="7"/>
        <v>137240</v>
      </c>
      <c r="S86" s="21">
        <f t="shared" si="7"/>
        <v>143820</v>
      </c>
      <c r="T86" s="21">
        <f t="shared" si="7"/>
        <v>157920</v>
      </c>
      <c r="U86" s="21">
        <f t="shared" si="7"/>
        <v>165440</v>
      </c>
      <c r="V86" s="21">
        <f t="shared" si="7"/>
        <v>190820</v>
      </c>
      <c r="W86" s="21">
        <f t="shared" si="7"/>
        <v>177660</v>
      </c>
      <c r="X86" s="21">
        <f t="shared" si="7"/>
        <v>169200</v>
      </c>
      <c r="Y86" s="21">
        <f t="shared" si="7"/>
        <v>163560</v>
      </c>
      <c r="Z86" s="21">
        <f t="shared" si="7"/>
        <v>145700</v>
      </c>
      <c r="AA86" s="21">
        <f t="shared" si="7"/>
        <v>147580</v>
      </c>
      <c r="AB86" s="21">
        <f t="shared" si="7"/>
        <v>160740</v>
      </c>
      <c r="AC86" s="21">
        <f t="shared" si="7"/>
        <v>176720</v>
      </c>
      <c r="AD86" s="21">
        <f t="shared" si="7"/>
        <v>181420</v>
      </c>
      <c r="AE86" s="21">
        <f t="shared" si="7"/>
        <v>179540</v>
      </c>
      <c r="AF86" s="21">
        <f t="shared" si="7"/>
        <v>174840</v>
      </c>
      <c r="AG86" s="21"/>
    </row>
    <row r="87" spans="1:33" x14ac:dyDescent="0.25">
      <c r="A87" t="s">
        <v>356</v>
      </c>
      <c r="B87" t="s">
        <v>142</v>
      </c>
      <c r="E87">
        <v>29979000</v>
      </c>
      <c r="F87">
        <v>28631000</v>
      </c>
      <c r="G87">
        <v>27448000</v>
      </c>
      <c r="H87">
        <v>25670000</v>
      </c>
      <c r="I87">
        <v>25851000</v>
      </c>
      <c r="J87">
        <v>25481000</v>
      </c>
      <c r="K87">
        <v>25566000</v>
      </c>
      <c r="L87">
        <v>25010000</v>
      </c>
      <c r="M87">
        <v>25079000</v>
      </c>
      <c r="N87">
        <v>24463000</v>
      </c>
      <c r="O87">
        <v>23586000</v>
      </c>
      <c r="P87">
        <v>22998000</v>
      </c>
      <c r="Q87">
        <v>22614000</v>
      </c>
      <c r="R87">
        <v>22693000</v>
      </c>
      <c r="S87">
        <v>22289000</v>
      </c>
      <c r="T87">
        <v>22236000</v>
      </c>
      <c r="U87">
        <v>21945000</v>
      </c>
      <c r="V87">
        <v>21924000</v>
      </c>
      <c r="W87">
        <v>21995000</v>
      </c>
      <c r="X87">
        <v>21917000</v>
      </c>
      <c r="Y87">
        <v>21493000</v>
      </c>
      <c r="Z87">
        <v>21325000</v>
      </c>
      <c r="AA87">
        <v>21427000</v>
      </c>
      <c r="AB87">
        <v>21589000</v>
      </c>
      <c r="AC87">
        <v>21202000</v>
      </c>
      <c r="AD87">
        <v>21033000</v>
      </c>
      <c r="AE87">
        <v>20438000</v>
      </c>
      <c r="AF87">
        <v>19942000</v>
      </c>
    </row>
    <row r="88" spans="1:33" x14ac:dyDescent="0.25">
      <c r="A88" t="s">
        <v>6</v>
      </c>
      <c r="B88" t="s">
        <v>530</v>
      </c>
      <c r="E88" s="11">
        <v>4183862.7657327033</v>
      </c>
      <c r="F88" s="11">
        <v>3995736.176846893</v>
      </c>
      <c r="G88" s="11">
        <v>3830636.9523276691</v>
      </c>
      <c r="H88" s="11">
        <v>3582499.6563046947</v>
      </c>
      <c r="I88" s="11">
        <v>3607759.9772159201</v>
      </c>
      <c r="J88" s="11">
        <v>3556122.8571211505</v>
      </c>
      <c r="K88" s="11">
        <v>3567985.4387645442</v>
      </c>
      <c r="L88" s="11">
        <v>3490390.1988383494</v>
      </c>
      <c r="M88" s="11">
        <v>3500019.8239371148</v>
      </c>
      <c r="N88" s="11">
        <v>3414050.9969685255</v>
      </c>
      <c r="O88" s="11">
        <v>3291657.0663655167</v>
      </c>
      <c r="P88" s="11">
        <v>3209595.9133500443</v>
      </c>
      <c r="Q88" s="11">
        <v>3156004.9562787162</v>
      </c>
      <c r="R88" s="11">
        <v>3167030.179217869</v>
      </c>
      <c r="S88" s="11">
        <v>3110648.0264657424</v>
      </c>
      <c r="T88" s="11">
        <v>3103251.3579116263</v>
      </c>
      <c r="U88" s="11">
        <v>3062639.4607560108</v>
      </c>
      <c r="V88" s="11">
        <v>3059708.705291172</v>
      </c>
      <c r="W88" s="11">
        <v>3069617.4499580064</v>
      </c>
      <c r="X88" s="11">
        <v>3058731.7868028935</v>
      </c>
      <c r="Y88" s="11">
        <v>2999558.4383699675</v>
      </c>
      <c r="Z88" s="11">
        <v>2976112.3946512612</v>
      </c>
      <c r="AA88" s="11">
        <v>2990347.4926233329</v>
      </c>
      <c r="AB88" s="11">
        <v>3012956.1776378001</v>
      </c>
      <c r="AC88" s="11">
        <v>2958946.5412143515</v>
      </c>
      <c r="AD88" s="11">
        <v>2935360.9377116049</v>
      </c>
      <c r="AE88" s="11">
        <v>2852322.866207853</v>
      </c>
      <c r="AF88" s="11">
        <v>2783101.2133240537</v>
      </c>
    </row>
    <row r="90" spans="1:33" x14ac:dyDescent="0.25">
      <c r="A90" t="s">
        <v>1</v>
      </c>
      <c r="B90">
        <f>SLOPE(Y83:AF83,Y82:AF82)</f>
        <v>5.9247714039861563</v>
      </c>
      <c r="G90" t="s">
        <v>1</v>
      </c>
      <c r="H90">
        <f>SLOPE(Y80:AF80,Y79:AF79)</f>
        <v>0.92784876332596466</v>
      </c>
      <c r="M90" t="s">
        <v>1</v>
      </c>
      <c r="N90">
        <f>SLOPE(Y81:AE81,Y80:AE80)</f>
        <v>-14.638801506662722</v>
      </c>
      <c r="R90" t="s">
        <v>1</v>
      </c>
      <c r="S90">
        <f>SLOPE(Y88:AF88,Y87:AF87)</f>
        <v>0.13955978403991884</v>
      </c>
    </row>
    <row r="91" spans="1:33" x14ac:dyDescent="0.25">
      <c r="A91" t="s">
        <v>2</v>
      </c>
      <c r="B91">
        <f>INTERCEPT(Y83:AF83,Y82:AF82)</f>
        <v>2.6975881109211346E-3</v>
      </c>
      <c r="G91" t="s">
        <v>2</v>
      </c>
      <c r="H91">
        <f>INTERCEPT(Y80:AF80,Y79:AF79)</f>
        <v>3907.6339542923088</v>
      </c>
      <c r="M91" t="s">
        <v>2</v>
      </c>
      <c r="N91">
        <f>INTERCEPT(Y81:AE81,Y80:AE80)</f>
        <v>23514121.277744863</v>
      </c>
      <c r="R91" t="s">
        <v>2</v>
      </c>
      <c r="S91">
        <f>INTERCEPT(E88:AF88,E87:AF87)</f>
        <v>4.0046870708465576E-8</v>
      </c>
    </row>
    <row r="109" spans="1:69" s="19" customFormat="1" ht="29.25" customHeight="1" x14ac:dyDescent="0.25">
      <c r="A109" s="17" t="s">
        <v>335</v>
      </c>
      <c r="B109" s="17" t="s">
        <v>0</v>
      </c>
      <c r="C109" s="17" t="s">
        <v>287</v>
      </c>
      <c r="D109" s="18" t="s">
        <v>313</v>
      </c>
      <c r="E109" s="17">
        <v>1990</v>
      </c>
      <c r="F109" s="17">
        <v>1991</v>
      </c>
      <c r="G109" s="17">
        <v>1992</v>
      </c>
      <c r="H109" s="17">
        <v>1993</v>
      </c>
      <c r="I109" s="17">
        <v>1994</v>
      </c>
      <c r="J109" s="17">
        <v>1995</v>
      </c>
      <c r="K109" s="17">
        <v>1996</v>
      </c>
      <c r="L109" s="17">
        <v>1997</v>
      </c>
      <c r="M109" s="17">
        <v>1998</v>
      </c>
      <c r="N109" s="17">
        <v>1999</v>
      </c>
      <c r="O109" s="17">
        <v>2000</v>
      </c>
      <c r="P109" s="17">
        <v>2001</v>
      </c>
      <c r="Q109" s="17">
        <v>2002</v>
      </c>
      <c r="R109" s="17">
        <v>2003</v>
      </c>
      <c r="S109" s="17">
        <v>2004</v>
      </c>
      <c r="T109" s="17">
        <v>2005</v>
      </c>
      <c r="U109" s="17">
        <v>2006</v>
      </c>
      <c r="V109" s="17">
        <v>2007</v>
      </c>
      <c r="W109" s="17">
        <v>2008</v>
      </c>
      <c r="X109" s="17">
        <v>2009</v>
      </c>
      <c r="Y109" s="17">
        <v>2010</v>
      </c>
      <c r="Z109" s="17">
        <v>2011</v>
      </c>
      <c r="AA109" s="17">
        <v>2012</v>
      </c>
      <c r="AB109" s="17">
        <v>2013</v>
      </c>
      <c r="AC109" s="17">
        <v>2014</v>
      </c>
      <c r="AD109" s="17">
        <v>2015</v>
      </c>
      <c r="AE109" s="17">
        <v>2016</v>
      </c>
      <c r="AF109" s="17">
        <v>2017</v>
      </c>
      <c r="AG109" s="17">
        <v>2018</v>
      </c>
      <c r="AH109" s="17">
        <v>2019</v>
      </c>
      <c r="AI109" s="17">
        <v>2020</v>
      </c>
      <c r="AJ109" s="17">
        <v>2021</v>
      </c>
      <c r="AK109" s="17">
        <v>2022</v>
      </c>
      <c r="AL109" s="17">
        <v>2023</v>
      </c>
      <c r="AM109" s="17">
        <v>2024</v>
      </c>
      <c r="AN109" s="17">
        <v>2025</v>
      </c>
      <c r="AO109" s="17">
        <v>2026</v>
      </c>
      <c r="AP109" s="17">
        <v>2027</v>
      </c>
      <c r="AQ109" s="17">
        <v>2028</v>
      </c>
      <c r="AR109" s="17">
        <v>2029</v>
      </c>
      <c r="AS109" s="17">
        <v>2030</v>
      </c>
      <c r="AT109" s="17">
        <v>2031</v>
      </c>
      <c r="AU109" s="17">
        <v>2032</v>
      </c>
      <c r="AV109" s="17">
        <v>2033</v>
      </c>
      <c r="AW109" s="17">
        <v>2034</v>
      </c>
      <c r="AX109" s="17">
        <v>2035</v>
      </c>
      <c r="AY109" s="17">
        <v>2036</v>
      </c>
      <c r="AZ109" s="17">
        <v>2037</v>
      </c>
      <c r="BA109" s="17">
        <v>2038</v>
      </c>
      <c r="BB109" s="17">
        <v>2039</v>
      </c>
      <c r="BC109" s="17">
        <v>2040</v>
      </c>
      <c r="BD109" s="17">
        <v>2041</v>
      </c>
      <c r="BE109" s="17">
        <v>2042</v>
      </c>
      <c r="BF109" s="17">
        <v>2043</v>
      </c>
      <c r="BG109" s="17">
        <v>2044</v>
      </c>
      <c r="BH109" s="17">
        <v>2045</v>
      </c>
      <c r="BI109" s="17">
        <v>2046</v>
      </c>
      <c r="BJ109" s="17">
        <v>2047</v>
      </c>
      <c r="BK109" s="17">
        <v>2048</v>
      </c>
      <c r="BL109" s="17">
        <v>2049</v>
      </c>
      <c r="BM109" s="17">
        <v>2050</v>
      </c>
      <c r="BP109" s="18" t="s">
        <v>312</v>
      </c>
      <c r="BQ109" s="17" t="s">
        <v>286</v>
      </c>
    </row>
    <row r="110" spans="1:69" ht="15.75" x14ac:dyDescent="0.25">
      <c r="A110" s="20" t="s">
        <v>157</v>
      </c>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c r="AN110" s="20"/>
      <c r="AO110" s="20"/>
      <c r="AP110" s="20"/>
      <c r="AQ110" s="20"/>
      <c r="AR110" s="20"/>
      <c r="AS110" s="20"/>
      <c r="AT110" s="20"/>
      <c r="AU110" s="20"/>
      <c r="AV110" s="20"/>
      <c r="AW110" s="20"/>
      <c r="AX110" s="20"/>
      <c r="AY110" s="20"/>
      <c r="AZ110" s="20"/>
      <c r="BA110" s="20"/>
      <c r="BB110" s="20"/>
      <c r="BC110" s="20"/>
      <c r="BD110" s="20"/>
      <c r="BE110" s="20"/>
      <c r="BF110" s="20"/>
      <c r="BG110" s="20"/>
      <c r="BH110" s="20"/>
      <c r="BI110" s="20"/>
      <c r="BJ110" s="20"/>
      <c r="BK110" s="20"/>
      <c r="BL110" s="20"/>
      <c r="BM110" s="20"/>
    </row>
    <row r="111" spans="1:69" x14ac:dyDescent="0.25">
      <c r="A111" t="s">
        <v>383</v>
      </c>
      <c r="E111">
        <v>1</v>
      </c>
      <c r="F111">
        <v>2</v>
      </c>
      <c r="G111">
        <v>3</v>
      </c>
      <c r="H111">
        <v>4</v>
      </c>
      <c r="I111">
        <v>5</v>
      </c>
      <c r="J111">
        <v>6</v>
      </c>
      <c r="K111">
        <v>7</v>
      </c>
      <c r="L111">
        <v>8</v>
      </c>
      <c r="M111">
        <v>9</v>
      </c>
      <c r="N111">
        <v>10</v>
      </c>
      <c r="O111">
        <v>11</v>
      </c>
      <c r="P111">
        <v>12</v>
      </c>
      <c r="Q111">
        <v>13</v>
      </c>
      <c r="R111">
        <v>14</v>
      </c>
      <c r="S111">
        <v>15</v>
      </c>
      <c r="T111">
        <v>16</v>
      </c>
      <c r="U111">
        <v>17</v>
      </c>
      <c r="V111">
        <v>18</v>
      </c>
      <c r="W111">
        <v>19</v>
      </c>
      <c r="X111">
        <v>20</v>
      </c>
      <c r="Y111">
        <v>21</v>
      </c>
      <c r="Z111">
        <v>22</v>
      </c>
      <c r="AA111">
        <v>23</v>
      </c>
      <c r="AB111">
        <v>24</v>
      </c>
      <c r="AC111">
        <v>25</v>
      </c>
      <c r="AD111">
        <v>26</v>
      </c>
      <c r="AE111">
        <v>27</v>
      </c>
      <c r="AF111">
        <v>28</v>
      </c>
      <c r="AG111">
        <v>29</v>
      </c>
    </row>
    <row r="112" spans="1:69" x14ac:dyDescent="0.25">
      <c r="A112" t="s">
        <v>379</v>
      </c>
      <c r="B112" t="s">
        <v>327</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row>
    <row r="113" spans="1:33" x14ac:dyDescent="0.25">
      <c r="A113" t="s">
        <v>380</v>
      </c>
      <c r="B113" t="s">
        <v>327</v>
      </c>
      <c r="E113">
        <f t="shared" ref="E113:AF113" si="8">E115+E112</f>
        <v>11040</v>
      </c>
      <c r="F113">
        <f t="shared" si="8"/>
        <v>12360</v>
      </c>
      <c r="G113">
        <f t="shared" si="8"/>
        <v>11940</v>
      </c>
      <c r="H113">
        <f t="shared" si="8"/>
        <v>11340</v>
      </c>
      <c r="I113">
        <f t="shared" si="8"/>
        <v>9360</v>
      </c>
      <c r="J113">
        <f t="shared" si="8"/>
        <v>7080</v>
      </c>
      <c r="K113">
        <f t="shared" si="8"/>
        <v>8580</v>
      </c>
      <c r="L113">
        <f t="shared" si="8"/>
        <v>8520</v>
      </c>
      <c r="M113">
        <f t="shared" si="8"/>
        <v>8700</v>
      </c>
      <c r="N113">
        <f t="shared" si="8"/>
        <v>9240</v>
      </c>
      <c r="O113">
        <f t="shared" si="8"/>
        <v>9780</v>
      </c>
      <c r="P113">
        <f t="shared" si="8"/>
        <v>9540</v>
      </c>
      <c r="Q113">
        <f t="shared" si="8"/>
        <v>8760</v>
      </c>
      <c r="R113">
        <f t="shared" si="8"/>
        <v>8760</v>
      </c>
      <c r="S113">
        <f t="shared" si="8"/>
        <v>9180</v>
      </c>
      <c r="T113">
        <f t="shared" si="8"/>
        <v>10080</v>
      </c>
      <c r="U113">
        <f t="shared" si="8"/>
        <v>10560</v>
      </c>
      <c r="V113">
        <f t="shared" si="8"/>
        <v>12180</v>
      </c>
      <c r="W113">
        <f t="shared" si="8"/>
        <v>11340</v>
      </c>
      <c r="X113">
        <f t="shared" si="8"/>
        <v>10800</v>
      </c>
      <c r="Y113">
        <f t="shared" si="8"/>
        <v>10440</v>
      </c>
      <c r="Z113">
        <f t="shared" si="8"/>
        <v>9300</v>
      </c>
      <c r="AA113">
        <f t="shared" si="8"/>
        <v>9420</v>
      </c>
      <c r="AB113">
        <f t="shared" si="8"/>
        <v>10260</v>
      </c>
      <c r="AC113">
        <f t="shared" si="8"/>
        <v>11280</v>
      </c>
      <c r="AD113">
        <f t="shared" si="8"/>
        <v>11580</v>
      </c>
      <c r="AE113">
        <f t="shared" si="8"/>
        <v>11460</v>
      </c>
      <c r="AF113">
        <f t="shared" si="8"/>
        <v>11160</v>
      </c>
    </row>
    <row r="114" spans="1:33" x14ac:dyDescent="0.25">
      <c r="A114" t="s">
        <v>378</v>
      </c>
      <c r="B114" t="s">
        <v>327</v>
      </c>
      <c r="E114" s="21">
        <f>E119*0.06</f>
        <v>11040</v>
      </c>
      <c r="F114" s="21">
        <f t="shared" ref="F114:AF114" si="9">F119*0.06</f>
        <v>12360</v>
      </c>
      <c r="G114" s="21">
        <f t="shared" si="9"/>
        <v>11940</v>
      </c>
      <c r="H114" s="21">
        <f t="shared" si="9"/>
        <v>11340</v>
      </c>
      <c r="I114" s="21">
        <f t="shared" si="9"/>
        <v>9360</v>
      </c>
      <c r="J114" s="21">
        <f t="shared" si="9"/>
        <v>7080</v>
      </c>
      <c r="K114" s="21">
        <f t="shared" si="9"/>
        <v>8580</v>
      </c>
      <c r="L114" s="21">
        <f t="shared" si="9"/>
        <v>8520</v>
      </c>
      <c r="M114" s="21">
        <f t="shared" si="9"/>
        <v>8700</v>
      </c>
      <c r="N114" s="21">
        <f t="shared" si="9"/>
        <v>9240</v>
      </c>
      <c r="O114" s="21">
        <f t="shared" si="9"/>
        <v>9780</v>
      </c>
      <c r="P114" s="21">
        <f t="shared" si="9"/>
        <v>9540</v>
      </c>
      <c r="Q114" s="21">
        <f t="shared" si="9"/>
        <v>8760</v>
      </c>
      <c r="R114" s="21">
        <f t="shared" si="9"/>
        <v>8760</v>
      </c>
      <c r="S114" s="21">
        <f t="shared" si="9"/>
        <v>9180</v>
      </c>
      <c r="T114" s="21">
        <f t="shared" si="9"/>
        <v>10080</v>
      </c>
      <c r="U114" s="21">
        <f t="shared" si="9"/>
        <v>10560</v>
      </c>
      <c r="V114" s="21">
        <f t="shared" si="9"/>
        <v>12180</v>
      </c>
      <c r="W114" s="21">
        <f t="shared" si="9"/>
        <v>11340</v>
      </c>
      <c r="X114" s="21">
        <f t="shared" si="9"/>
        <v>10800</v>
      </c>
      <c r="Y114" s="21">
        <f t="shared" si="9"/>
        <v>10440</v>
      </c>
      <c r="Z114" s="21">
        <f t="shared" si="9"/>
        <v>9300</v>
      </c>
      <c r="AA114" s="21">
        <f t="shared" si="9"/>
        <v>9420</v>
      </c>
      <c r="AB114" s="21">
        <f t="shared" si="9"/>
        <v>10260</v>
      </c>
      <c r="AC114" s="21">
        <f t="shared" si="9"/>
        <v>11280</v>
      </c>
      <c r="AD114" s="21">
        <f t="shared" si="9"/>
        <v>11580</v>
      </c>
      <c r="AE114" s="21">
        <f t="shared" si="9"/>
        <v>11460</v>
      </c>
      <c r="AF114" s="21">
        <f t="shared" si="9"/>
        <v>11160</v>
      </c>
    </row>
    <row r="115" spans="1:33" x14ac:dyDescent="0.25">
      <c r="A115" t="s">
        <v>381</v>
      </c>
      <c r="B115" t="s">
        <v>327</v>
      </c>
      <c r="E115" s="21">
        <f t="shared" ref="E115:AF115" si="10">E114</f>
        <v>11040</v>
      </c>
      <c r="F115" s="21">
        <f t="shared" si="10"/>
        <v>12360</v>
      </c>
      <c r="G115" s="21">
        <f t="shared" si="10"/>
        <v>11940</v>
      </c>
      <c r="H115" s="21">
        <f t="shared" si="10"/>
        <v>11340</v>
      </c>
      <c r="I115" s="21">
        <f t="shared" si="10"/>
        <v>9360</v>
      </c>
      <c r="J115" s="21">
        <f t="shared" si="10"/>
        <v>7080</v>
      </c>
      <c r="K115" s="21">
        <f t="shared" si="10"/>
        <v>8580</v>
      </c>
      <c r="L115" s="21">
        <f t="shared" si="10"/>
        <v>8520</v>
      </c>
      <c r="M115" s="21">
        <f t="shared" si="10"/>
        <v>8700</v>
      </c>
      <c r="N115" s="21">
        <f t="shared" si="10"/>
        <v>9240</v>
      </c>
      <c r="O115" s="21">
        <f t="shared" si="10"/>
        <v>9780</v>
      </c>
      <c r="P115" s="21">
        <f t="shared" si="10"/>
        <v>9540</v>
      </c>
      <c r="Q115" s="21">
        <f t="shared" si="10"/>
        <v>8760</v>
      </c>
      <c r="R115" s="21">
        <f t="shared" si="10"/>
        <v>8760</v>
      </c>
      <c r="S115" s="21">
        <f t="shared" si="10"/>
        <v>9180</v>
      </c>
      <c r="T115" s="21">
        <f t="shared" si="10"/>
        <v>10080</v>
      </c>
      <c r="U115" s="21">
        <f t="shared" si="10"/>
        <v>10560</v>
      </c>
      <c r="V115" s="21">
        <f t="shared" si="10"/>
        <v>12180</v>
      </c>
      <c r="W115" s="21">
        <f t="shared" si="10"/>
        <v>11340</v>
      </c>
      <c r="X115" s="21">
        <f t="shared" si="10"/>
        <v>10800</v>
      </c>
      <c r="Y115" s="21">
        <f t="shared" si="10"/>
        <v>10440</v>
      </c>
      <c r="Z115" s="21">
        <f t="shared" si="10"/>
        <v>9300</v>
      </c>
      <c r="AA115" s="21">
        <f t="shared" si="10"/>
        <v>9420</v>
      </c>
      <c r="AB115" s="21">
        <f t="shared" si="10"/>
        <v>10260</v>
      </c>
      <c r="AC115" s="21">
        <f t="shared" si="10"/>
        <v>11280</v>
      </c>
      <c r="AD115" s="21">
        <f t="shared" si="10"/>
        <v>11580</v>
      </c>
      <c r="AE115" s="21">
        <f t="shared" si="10"/>
        <v>11460</v>
      </c>
      <c r="AF115" s="21">
        <f t="shared" si="10"/>
        <v>11160</v>
      </c>
    </row>
    <row r="116" spans="1:33" x14ac:dyDescent="0.25">
      <c r="A116" t="s">
        <v>382</v>
      </c>
      <c r="B116" t="s">
        <v>142</v>
      </c>
      <c r="E116">
        <v>2774000</v>
      </c>
      <c r="F116">
        <v>2453000</v>
      </c>
      <c r="G116">
        <v>2285000</v>
      </c>
      <c r="H116">
        <v>2159000</v>
      </c>
      <c r="I116">
        <v>2337000</v>
      </c>
      <c r="J116">
        <v>2369000</v>
      </c>
      <c r="K116">
        <v>2406000</v>
      </c>
      <c r="L116">
        <v>2394000</v>
      </c>
      <c r="M116">
        <v>2360000</v>
      </c>
      <c r="N116">
        <v>2325000</v>
      </c>
      <c r="O116">
        <v>2355000</v>
      </c>
      <c r="P116">
        <v>2427000</v>
      </c>
      <c r="Q116">
        <v>2216000</v>
      </c>
      <c r="R116">
        <v>2160000</v>
      </c>
      <c r="S116">
        <v>2164000</v>
      </c>
      <c r="T116">
        <v>2136000</v>
      </c>
      <c r="U116">
        <v>2181000</v>
      </c>
      <c r="V116">
        <v>2116000</v>
      </c>
      <c r="W116">
        <v>2114000</v>
      </c>
      <c r="X116">
        <v>2077000</v>
      </c>
      <c r="Y116">
        <v>2052000</v>
      </c>
      <c r="Z116">
        <v>2033000</v>
      </c>
      <c r="AA116">
        <v>2028000</v>
      </c>
      <c r="AB116">
        <v>2005000</v>
      </c>
      <c r="AC116">
        <v>1987000</v>
      </c>
      <c r="AD116">
        <v>1960000</v>
      </c>
      <c r="AE116">
        <v>1901000</v>
      </c>
      <c r="AF116">
        <v>1843000</v>
      </c>
    </row>
    <row r="117" spans="1:33" x14ac:dyDescent="0.25">
      <c r="A117" t="str">
        <f>'Intermediate calcs'!A4</f>
        <v>Wealth (GVA)</v>
      </c>
      <c r="B117" t="str">
        <f>'Intermediate calcs'!B4</f>
        <v>GVA/capita</v>
      </c>
      <c r="E117">
        <f>'Intermediate calcs'!C4</f>
        <v>7.3995172186341224E-6</v>
      </c>
      <c r="F117">
        <f>'Intermediate calcs'!D4</f>
        <v>8.3160321270873128E-6</v>
      </c>
      <c r="G117">
        <f>'Intermediate calcs'!E4</f>
        <v>9.1809688444329608E-6</v>
      </c>
      <c r="H117">
        <f>'Intermediate calcs'!F4</f>
        <v>1.0183063676790614E-5</v>
      </c>
      <c r="I117">
        <f>'Intermediate calcs'!G4</f>
        <v>1.1198558803003417E-5</v>
      </c>
      <c r="J117">
        <f>'Intermediate calcs'!H4</f>
        <v>1.2456004786976505E-5</v>
      </c>
      <c r="K117">
        <f>'Intermediate calcs'!I4</f>
        <v>1.5023575074943164E-5</v>
      </c>
      <c r="L117">
        <f>'Intermediate calcs'!J4</f>
        <v>1.4993976964585091E-5</v>
      </c>
      <c r="M117">
        <f>'Intermediate calcs'!K4</f>
        <v>1.5889974557177216E-5</v>
      </c>
      <c r="N117">
        <f>'Intermediate calcs'!L4</f>
        <v>1.7139534783540361E-5</v>
      </c>
      <c r="O117">
        <f>'Intermediate calcs'!M4</f>
        <v>1.9178073296508686E-5</v>
      </c>
      <c r="P117">
        <f>'Intermediate calcs'!N4</f>
        <v>2.0941920561623974E-5</v>
      </c>
      <c r="Q117">
        <f>'Intermediate calcs'!O4</f>
        <v>2.4092156096673536E-5</v>
      </c>
      <c r="R117">
        <f>'Intermediate calcs'!P4</f>
        <v>2.5864721644610491E-5</v>
      </c>
      <c r="S117">
        <f>'Intermediate calcs'!Q4</f>
        <v>2.816463639110616E-5</v>
      </c>
      <c r="T117">
        <f>'Intermediate calcs'!R4</f>
        <v>3.0685475313895917E-5</v>
      </c>
      <c r="U117">
        <f>'Intermediate calcs'!S4</f>
        <v>3.3867608215633009E-5</v>
      </c>
      <c r="V117">
        <f>'Intermediate calcs'!T4</f>
        <v>3.8369935813406575E-5</v>
      </c>
      <c r="W117">
        <f>'Intermediate calcs'!U4</f>
        <v>4.2933160137438985E-5</v>
      </c>
      <c r="X117">
        <f>'Intermediate calcs'!V4</f>
        <v>4.5112536477249022E-5</v>
      </c>
      <c r="Y117">
        <f>'Intermediate calcs'!W4</f>
        <v>4.8711594853611398E-5</v>
      </c>
      <c r="Z117">
        <f>'Intermediate calcs'!X4</f>
        <v>5.2388104554380752E-5</v>
      </c>
      <c r="AA117">
        <f>'Intermediate calcs'!Y4</f>
        <v>7.2008674666107316E-5</v>
      </c>
      <c r="AB117">
        <f>'Intermediate calcs'!Z4</f>
        <v>7.3128862350936422E-5</v>
      </c>
      <c r="AC117">
        <f>'Intermediate calcs'!AA4</f>
        <v>7.3832053087208803E-5</v>
      </c>
      <c r="AD117">
        <f>'Intermediate calcs'!AB4</f>
        <v>7.4099569652362116E-5</v>
      </c>
      <c r="AE117">
        <f>'Intermediate calcs'!AC4</f>
        <v>7.3966728660027013E-5</v>
      </c>
      <c r="AF117">
        <f>'Intermediate calcs'!AD4</f>
        <v>7.4125058503467776E-5</v>
      </c>
      <c r="AG117">
        <f>'Intermediate calcs'!AE4</f>
        <v>7.4164408302538267E-5</v>
      </c>
    </row>
    <row r="118" spans="1:33" x14ac:dyDescent="0.25">
      <c r="A118" t="s">
        <v>378</v>
      </c>
      <c r="B118" t="s">
        <v>328</v>
      </c>
      <c r="E118">
        <f>E114/Drivers!D4</f>
        <v>2.9999585060087078E-4</v>
      </c>
      <c r="F118">
        <f>F114/Drivers!E4</f>
        <v>3.2768674631716946E-4</v>
      </c>
      <c r="G118">
        <f>G114/Drivers!F4</f>
        <v>3.0874567106375841E-4</v>
      </c>
      <c r="H118">
        <f>H114/Drivers!G4</f>
        <v>2.8611978427476583E-4</v>
      </c>
      <c r="I118">
        <f>I114/Drivers!H4</f>
        <v>2.3074613908829981E-4</v>
      </c>
      <c r="J118">
        <f>J114/Drivers!I4</f>
        <v>1.7086691161773848E-4</v>
      </c>
      <c r="K118">
        <f>K114/Drivers!J4</f>
        <v>2.0312013838873316E-4</v>
      </c>
      <c r="L118">
        <f>L114/Drivers!K4</f>
        <v>1.9819733014703986E-4</v>
      </c>
      <c r="M118">
        <f>M114/Drivers!L4</f>
        <v>1.9916551936644304E-4</v>
      </c>
      <c r="N118">
        <f>N114/Drivers!M4</f>
        <v>2.0839656368500879E-4</v>
      </c>
      <c r="O118">
        <f>O114/Drivers!N4</f>
        <v>2.1748940372944957E-4</v>
      </c>
      <c r="P118">
        <f>P114/Drivers!O4</f>
        <v>2.093424028478993E-4</v>
      </c>
      <c r="Q118">
        <f>Q114/Drivers!P4</f>
        <v>1.8981206287294901E-4</v>
      </c>
      <c r="R118">
        <f>R114/Drivers!Q4</f>
        <v>1.8750322672504894E-4</v>
      </c>
      <c r="S118">
        <f>S114/Drivers!R4</f>
        <v>1.941147700406055E-4</v>
      </c>
      <c r="T118">
        <f>T114/Drivers!S4</f>
        <v>2.1052367325130275E-4</v>
      </c>
      <c r="U118">
        <f>U114/Drivers!T4</f>
        <v>2.1777929095888654E-4</v>
      </c>
      <c r="V118">
        <f>V114/Drivers!U4</f>
        <v>2.4796538598652329E-4</v>
      </c>
      <c r="W118">
        <f>W114/Drivers!V4</f>
        <v>2.2780475107901408E-4</v>
      </c>
      <c r="X118">
        <f>X114/Drivers!W4</f>
        <v>2.1395878610958166E-4</v>
      </c>
      <c r="Y118">
        <f>Y114/Drivers!X4</f>
        <v>2.0383871250158445E-4</v>
      </c>
      <c r="Z118">
        <f>Z114/Drivers!Y4</f>
        <v>1.788318060327929E-4</v>
      </c>
      <c r="AA118">
        <f>AA114/Drivers!Z4</f>
        <v>1.776272985554938E-4</v>
      </c>
      <c r="AB118">
        <f>AB114/Drivers!AA4</f>
        <v>1.9172550259259624E-4</v>
      </c>
      <c r="AC118">
        <f>AC114/Drivers!AB4</f>
        <v>2.0888888888888888E-4</v>
      </c>
      <c r="AD118">
        <f>AD114/Drivers!AC4</f>
        <v>2.125144745664035E-4</v>
      </c>
      <c r="AE118">
        <f>AE114/Drivers!AD4</f>
        <v>2.0826938098803024E-4</v>
      </c>
      <c r="AF118">
        <f>AF114/Drivers!AE4</f>
        <v>2.0086618640022269E-4</v>
      </c>
      <c r="AG118">
        <f>AG114/Drivers!AF4</f>
        <v>0</v>
      </c>
    </row>
    <row r="119" spans="1:33" x14ac:dyDescent="0.25">
      <c r="A119" t="s">
        <v>384</v>
      </c>
      <c r="B119" t="s">
        <v>327</v>
      </c>
      <c r="E119">
        <f t="shared" ref="E119:AG119" si="11">E84</f>
        <v>184000</v>
      </c>
      <c r="F119">
        <f t="shared" si="11"/>
        <v>206000</v>
      </c>
      <c r="G119">
        <f t="shared" si="11"/>
        <v>199000</v>
      </c>
      <c r="H119">
        <f t="shared" si="11"/>
        <v>189000</v>
      </c>
      <c r="I119">
        <f t="shared" si="11"/>
        <v>156000</v>
      </c>
      <c r="J119">
        <f t="shared" si="11"/>
        <v>118000</v>
      </c>
      <c r="K119">
        <f t="shared" si="11"/>
        <v>143000</v>
      </c>
      <c r="L119">
        <f t="shared" si="11"/>
        <v>142000</v>
      </c>
      <c r="M119">
        <f t="shared" si="11"/>
        <v>145000</v>
      </c>
      <c r="N119">
        <f t="shared" si="11"/>
        <v>154000</v>
      </c>
      <c r="O119">
        <f t="shared" si="11"/>
        <v>163000</v>
      </c>
      <c r="P119">
        <f t="shared" si="11"/>
        <v>159000</v>
      </c>
      <c r="Q119">
        <f t="shared" si="11"/>
        <v>146000</v>
      </c>
      <c r="R119">
        <f t="shared" si="11"/>
        <v>146000</v>
      </c>
      <c r="S119">
        <f t="shared" si="11"/>
        <v>153000</v>
      </c>
      <c r="T119">
        <f t="shared" si="11"/>
        <v>168000</v>
      </c>
      <c r="U119">
        <f t="shared" si="11"/>
        <v>176000</v>
      </c>
      <c r="V119">
        <f t="shared" si="11"/>
        <v>203000</v>
      </c>
      <c r="W119">
        <f t="shared" si="11"/>
        <v>189000</v>
      </c>
      <c r="X119">
        <f t="shared" si="11"/>
        <v>180000</v>
      </c>
      <c r="Y119">
        <f t="shared" si="11"/>
        <v>174000</v>
      </c>
      <c r="Z119">
        <f t="shared" si="11"/>
        <v>155000</v>
      </c>
      <c r="AA119">
        <f t="shared" si="11"/>
        <v>157000</v>
      </c>
      <c r="AB119">
        <f t="shared" si="11"/>
        <v>171000</v>
      </c>
      <c r="AC119">
        <f t="shared" si="11"/>
        <v>188000</v>
      </c>
      <c r="AD119">
        <f t="shared" si="11"/>
        <v>193000</v>
      </c>
      <c r="AE119">
        <f t="shared" si="11"/>
        <v>191000</v>
      </c>
      <c r="AF119">
        <f t="shared" si="11"/>
        <v>186000</v>
      </c>
      <c r="AG119">
        <f t="shared" si="11"/>
        <v>183000</v>
      </c>
    </row>
    <row r="120" spans="1:33" x14ac:dyDescent="0.25">
      <c r="A120" t="s">
        <v>387</v>
      </c>
      <c r="B120" t="s">
        <v>327</v>
      </c>
      <c r="W120">
        <v>10200</v>
      </c>
      <c r="X120">
        <v>10300</v>
      </c>
      <c r="Y120">
        <v>10450</v>
      </c>
      <c r="Z120">
        <v>10500</v>
      </c>
      <c r="AA120">
        <v>10550</v>
      </c>
      <c r="AB120">
        <v>10600</v>
      </c>
      <c r="AC120">
        <v>10690</v>
      </c>
      <c r="AD120">
        <v>10800</v>
      </c>
      <c r="AE120">
        <v>10990</v>
      </c>
      <c r="AF120">
        <v>11125</v>
      </c>
    </row>
    <row r="121" spans="1:33" x14ac:dyDescent="0.25">
      <c r="A121" t="s">
        <v>382</v>
      </c>
      <c r="E121">
        <v>2774000</v>
      </c>
      <c r="F121">
        <v>2453000</v>
      </c>
      <c r="G121">
        <v>2285000</v>
      </c>
      <c r="H121">
        <v>2159000</v>
      </c>
      <c r="I121">
        <v>2337000</v>
      </c>
      <c r="J121">
        <v>2369000</v>
      </c>
      <c r="K121">
        <v>2406000</v>
      </c>
      <c r="L121">
        <v>2394000</v>
      </c>
      <c r="M121">
        <v>2360000</v>
      </c>
      <c r="N121">
        <v>2325000</v>
      </c>
      <c r="O121">
        <v>2355000</v>
      </c>
      <c r="P121">
        <v>2427000</v>
      </c>
      <c r="Q121">
        <v>2216000</v>
      </c>
      <c r="R121">
        <v>2160000</v>
      </c>
      <c r="S121">
        <v>2164000</v>
      </c>
      <c r="T121">
        <v>2136000</v>
      </c>
      <c r="U121">
        <v>2181000</v>
      </c>
      <c r="V121">
        <v>2116000</v>
      </c>
      <c r="W121">
        <v>2114000</v>
      </c>
      <c r="X121">
        <v>2077000</v>
      </c>
      <c r="Y121">
        <v>2052000</v>
      </c>
      <c r="Z121">
        <v>2033000</v>
      </c>
      <c r="AA121">
        <v>2028000</v>
      </c>
      <c r="AB121">
        <v>2005000</v>
      </c>
      <c r="AC121">
        <v>1987000</v>
      </c>
      <c r="AD121">
        <v>1960000</v>
      </c>
      <c r="AE121">
        <v>1901000</v>
      </c>
      <c r="AF121">
        <v>1843000</v>
      </c>
    </row>
    <row r="122" spans="1:33" x14ac:dyDescent="0.25">
      <c r="A122" t="s">
        <v>356</v>
      </c>
      <c r="E122">
        <v>29979000</v>
      </c>
      <c r="F122">
        <v>28631000</v>
      </c>
      <c r="G122">
        <v>27448000</v>
      </c>
      <c r="H122">
        <v>25670000</v>
      </c>
      <c r="I122">
        <v>25851000</v>
      </c>
      <c r="J122">
        <v>25481000</v>
      </c>
      <c r="K122">
        <v>25566000</v>
      </c>
      <c r="L122">
        <v>25010000</v>
      </c>
      <c r="M122">
        <v>25079000</v>
      </c>
      <c r="N122">
        <v>24463000</v>
      </c>
      <c r="O122">
        <v>23586000</v>
      </c>
      <c r="P122">
        <v>22998000</v>
      </c>
      <c r="Q122">
        <v>22614000</v>
      </c>
      <c r="R122">
        <v>22693000</v>
      </c>
      <c r="S122">
        <v>22289000</v>
      </c>
      <c r="T122">
        <v>22236000</v>
      </c>
      <c r="U122">
        <v>21945000</v>
      </c>
      <c r="V122">
        <v>21924000</v>
      </c>
      <c r="W122">
        <v>21995000</v>
      </c>
      <c r="X122">
        <v>21917000</v>
      </c>
      <c r="Y122">
        <v>21493000</v>
      </c>
      <c r="Z122">
        <v>21325000</v>
      </c>
      <c r="AA122">
        <v>21427000</v>
      </c>
      <c r="AB122">
        <v>21589000</v>
      </c>
      <c r="AC122">
        <v>21202000</v>
      </c>
      <c r="AD122">
        <v>21033000</v>
      </c>
      <c r="AE122">
        <v>20438000</v>
      </c>
      <c r="AF122">
        <v>19942000</v>
      </c>
    </row>
    <row r="123" spans="1:33" x14ac:dyDescent="0.25">
      <c r="A123" t="s">
        <v>385</v>
      </c>
      <c r="W123">
        <f t="shared" ref="W123:AF123" si="12">W120/W119</f>
        <v>5.3968253968253971E-2</v>
      </c>
      <c r="X123">
        <f t="shared" si="12"/>
        <v>5.7222222222222223E-2</v>
      </c>
      <c r="Y123">
        <f t="shared" si="12"/>
        <v>6.0057471264367814E-2</v>
      </c>
      <c r="Z123">
        <f t="shared" si="12"/>
        <v>6.7741935483870974E-2</v>
      </c>
      <c r="AA123">
        <f t="shared" si="12"/>
        <v>6.7197452229299362E-2</v>
      </c>
      <c r="AB123">
        <f t="shared" si="12"/>
        <v>6.1988304093567252E-2</v>
      </c>
      <c r="AC123">
        <f t="shared" si="12"/>
        <v>5.6861702127659577E-2</v>
      </c>
      <c r="AD123">
        <f t="shared" si="12"/>
        <v>5.5958549222797929E-2</v>
      </c>
      <c r="AE123">
        <f t="shared" si="12"/>
        <v>5.7539267015706809E-2</v>
      </c>
      <c r="AF123">
        <f t="shared" si="12"/>
        <v>5.981182795698925E-2</v>
      </c>
    </row>
    <row r="124" spans="1:33" x14ac:dyDescent="0.25">
      <c r="A124" t="s">
        <v>778</v>
      </c>
      <c r="B124" t="s">
        <v>779</v>
      </c>
      <c r="E124">
        <f>Drivers!D4</f>
        <v>36800509</v>
      </c>
      <c r="F124">
        <f>Drivers!E4</f>
        <v>37718950</v>
      </c>
      <c r="G124">
        <f>Drivers!F4</f>
        <v>38672607</v>
      </c>
      <c r="H124">
        <f>Drivers!G4</f>
        <v>39633750</v>
      </c>
      <c r="I124">
        <f>Drivers!H4</f>
        <v>40564059</v>
      </c>
      <c r="J124">
        <f>Drivers!I4</f>
        <v>41435758</v>
      </c>
      <c r="K124">
        <f>Drivers!J4</f>
        <v>42241011</v>
      </c>
      <c r="L124">
        <f>Drivers!K4</f>
        <v>42987461</v>
      </c>
      <c r="M124">
        <f>Drivers!L4</f>
        <v>43682260</v>
      </c>
      <c r="N124">
        <f>Drivers!M4</f>
        <v>44338543</v>
      </c>
      <c r="O124">
        <f>Drivers!N4</f>
        <v>44967708</v>
      </c>
      <c r="P124">
        <f>Drivers!O4</f>
        <v>45571274</v>
      </c>
      <c r="Q124">
        <f>Drivers!P4</f>
        <v>46150913</v>
      </c>
      <c r="R124">
        <f>Drivers!Q4</f>
        <v>46719196</v>
      </c>
      <c r="S124">
        <f>Drivers!R4</f>
        <v>47291610</v>
      </c>
      <c r="T124">
        <f>Drivers!S4</f>
        <v>47880601</v>
      </c>
      <c r="U124">
        <f>Drivers!T4</f>
        <v>48489459</v>
      </c>
      <c r="V124">
        <f>Drivers!U4</f>
        <v>49119759</v>
      </c>
      <c r="W124">
        <f>Drivers!V4</f>
        <v>49779471</v>
      </c>
      <c r="X124">
        <f>Drivers!W4</f>
        <v>50477011</v>
      </c>
      <c r="Y124">
        <f>Drivers!X4</f>
        <v>51216964</v>
      </c>
      <c r="Z124">
        <f>Drivers!Y4</f>
        <v>52004172</v>
      </c>
      <c r="AA124">
        <f>Drivers!Z4</f>
        <v>53032389.033699296</v>
      </c>
      <c r="AB124">
        <f>Drivers!AA4</f>
        <v>53514007.585114054</v>
      </c>
      <c r="AC124">
        <f>Drivers!AB4</f>
        <v>54000000</v>
      </c>
      <c r="AD124">
        <f>Drivers!AC4</f>
        <v>54490406</v>
      </c>
      <c r="AE124">
        <f>Drivers!AD4</f>
        <v>55024891.060000002</v>
      </c>
      <c r="AF124">
        <f>Drivers!AE4</f>
        <v>55559376.119999997</v>
      </c>
    </row>
    <row r="125" spans="1:33" x14ac:dyDescent="0.25">
      <c r="A125" t="s">
        <v>844</v>
      </c>
      <c r="B125" t="s">
        <v>779</v>
      </c>
      <c r="E125">
        <f>'Intermediate calcs'!C21</f>
        <v>17590643.302000001</v>
      </c>
      <c r="F125">
        <f>'Intermediate calcs'!D21</f>
        <v>17841063.349999998</v>
      </c>
      <c r="G125">
        <f>'Intermediate calcs'!E21</f>
        <v>18098780.075999998</v>
      </c>
      <c r="H125">
        <f>'Intermediate calcs'!F21</f>
        <v>18350426.25</v>
      </c>
      <c r="I125">
        <f>'Intermediate calcs'!G21</f>
        <v>18578339.022</v>
      </c>
      <c r="J125">
        <f>'Intermediate calcs'!H21</f>
        <v>18770398.373999998</v>
      </c>
      <c r="K125">
        <f>'Intermediate calcs'!I21</f>
        <v>18923972.927999999</v>
      </c>
      <c r="L125">
        <f>'Intermediate calcs'!J21</f>
        <v>19043445.222999997</v>
      </c>
      <c r="M125">
        <f>'Intermediate calcs'!K21</f>
        <v>19132829.879999999</v>
      </c>
      <c r="N125">
        <f>'Intermediate calcs'!L21</f>
        <v>19198589.118999999</v>
      </c>
      <c r="O125">
        <f>'Intermediate calcs'!M21</f>
        <v>19246179.023999996</v>
      </c>
      <c r="P125">
        <f>'Intermediate calcs'!N21</f>
        <v>19276648.901999995</v>
      </c>
      <c r="Q125">
        <f>'Intermediate calcs'!O21</f>
        <v>19291081.633999996</v>
      </c>
      <c r="R125">
        <f>'Intermediate calcs'!P21</f>
        <v>19295027.947999995</v>
      </c>
      <c r="S125">
        <f>'Intermediate calcs'!Q21</f>
        <v>19294976.879999995</v>
      </c>
      <c r="T125">
        <f>'Intermediate calcs'!R21</f>
        <v>19295882.203000002</v>
      </c>
      <c r="U125">
        <f>'Intermediate calcs'!S21</f>
        <v>19298804.682</v>
      </c>
      <c r="V125">
        <f>'Intermediate calcs'!T21</f>
        <v>19304065.287</v>
      </c>
      <c r="W125">
        <f>'Intermediate calcs'!U21</f>
        <v>19314434.748</v>
      </c>
      <c r="X125">
        <f>'Intermediate calcs'!V21</f>
        <v>19332695.213</v>
      </c>
      <c r="Y125">
        <f>'Intermediate calcs'!W21</f>
        <v>19360012.392000001</v>
      </c>
      <c r="Z125">
        <f>'Intermediate calcs'!X21</f>
        <v>19345551.984000001</v>
      </c>
      <c r="AA125">
        <f>'Intermediate calcs'!Y21</f>
        <v>19462886.77536764</v>
      </c>
      <c r="AB125">
        <f>'Intermediate calcs'!Z21</f>
        <v>19372070.745811287</v>
      </c>
      <c r="AC125">
        <f>'Intermediate calcs'!AA21</f>
        <v>19278000</v>
      </c>
      <c r="AD125">
        <f>'Intermediate calcs'!AB21</f>
        <v>19180622.912</v>
      </c>
      <c r="AE125">
        <f>'Intermediate calcs'!AC21</f>
        <v>19093637.19782</v>
      </c>
      <c r="AF125">
        <f>'Intermediate calcs'!AD21</f>
        <v>18945747.256919999</v>
      </c>
    </row>
    <row r="126" spans="1:33" x14ac:dyDescent="0.25">
      <c r="A126" t="s">
        <v>777</v>
      </c>
      <c r="B126" t="s">
        <v>530</v>
      </c>
      <c r="E126">
        <v>5479284.9120494025</v>
      </c>
      <c r="F126">
        <v>4845236.4416932901</v>
      </c>
      <c r="G126">
        <v>4513397.9899181286</v>
      </c>
      <c r="H126">
        <v>4264519.151086757</v>
      </c>
      <c r="I126">
        <v>4616109.8916580593</v>
      </c>
      <c r="J126">
        <v>4679317.2158057094</v>
      </c>
      <c r="K126">
        <v>4752400.6843514293</v>
      </c>
      <c r="L126">
        <v>4728697.93779606</v>
      </c>
      <c r="M126">
        <v>4661540.1558891824</v>
      </c>
      <c r="N126">
        <v>4592407.1451026909</v>
      </c>
      <c r="O126">
        <v>4651664.0114911124</v>
      </c>
      <c r="P126">
        <v>4793880.4908233248</v>
      </c>
      <c r="Q126">
        <v>4377107.1972247576</v>
      </c>
      <c r="R126">
        <v>4266494.3799663708</v>
      </c>
      <c r="S126">
        <v>4274395.295484826</v>
      </c>
      <c r="T126">
        <v>4219088.886855633</v>
      </c>
      <c r="U126">
        <v>4307974.1864382662</v>
      </c>
      <c r="V126">
        <v>4179584.3092633514</v>
      </c>
      <c r="W126">
        <v>4175633.8515041238</v>
      </c>
      <c r="X126">
        <v>4102550.3829584038</v>
      </c>
      <c r="Y126">
        <v>4053169.6609680527</v>
      </c>
      <c r="Z126">
        <v>4015640.3122553849</v>
      </c>
      <c r="AA126">
        <v>4005764.1678573145</v>
      </c>
      <c r="AB126">
        <v>3960333.9036261914</v>
      </c>
      <c r="AC126">
        <v>3924779.7837931383</v>
      </c>
      <c r="AD126">
        <v>3871448.6040435582</v>
      </c>
      <c r="AE126">
        <v>3754910.100146329</v>
      </c>
      <c r="AF126">
        <v>3640346.8251287141</v>
      </c>
    </row>
    <row r="127" spans="1:33" x14ac:dyDescent="0.25">
      <c r="B127" t="s">
        <v>1</v>
      </c>
      <c r="C127">
        <f>SLOPE(Y118:AF118,Y117:AF117)</f>
        <v>0.37817689812677546</v>
      </c>
      <c r="M127" t="s">
        <v>1</v>
      </c>
      <c r="N127">
        <f>SLOPE(O116:AF116,O115:AF115)</f>
        <v>-70.552737449711373</v>
      </c>
    </row>
    <row r="128" spans="1:33" x14ac:dyDescent="0.25">
      <c r="B128" t="s">
        <v>2</v>
      </c>
      <c r="C128">
        <f>INTERCEPT(Y118:AF118,Y117:AF117)</f>
        <v>1.7218647516517886E-4</v>
      </c>
      <c r="M128" t="s">
        <v>2</v>
      </c>
      <c r="N128">
        <f>INTERCEPT(O116:AF116,O115:AF115)</f>
        <v>2826074.6020640195</v>
      </c>
    </row>
    <row r="129" spans="31:32" x14ac:dyDescent="0.25">
      <c r="AE129" t="s">
        <v>386</v>
      </c>
      <c r="AF129">
        <v>5.9834698558473509E-2</v>
      </c>
    </row>
    <row r="146" spans="1:69" s="19" customFormat="1" ht="29.25" customHeight="1" x14ac:dyDescent="0.25">
      <c r="A146" s="17" t="s">
        <v>335</v>
      </c>
      <c r="B146" s="17" t="s">
        <v>0</v>
      </c>
      <c r="C146" s="17" t="s">
        <v>287</v>
      </c>
      <c r="D146" s="18" t="s">
        <v>313</v>
      </c>
      <c r="E146" s="17">
        <v>1990</v>
      </c>
      <c r="F146" s="17">
        <v>1991</v>
      </c>
      <c r="G146" s="17">
        <v>1992</v>
      </c>
      <c r="H146" s="17">
        <v>1993</v>
      </c>
      <c r="I146" s="17">
        <v>1994</v>
      </c>
      <c r="J146" s="17">
        <v>1995</v>
      </c>
      <c r="K146" s="17">
        <v>1996</v>
      </c>
      <c r="L146" s="17">
        <v>1997</v>
      </c>
      <c r="M146" s="17">
        <v>1998</v>
      </c>
      <c r="N146" s="17">
        <v>1999</v>
      </c>
      <c r="O146" s="17">
        <v>2000</v>
      </c>
      <c r="P146" s="17">
        <v>2001</v>
      </c>
      <c r="Q146" s="17">
        <v>2002</v>
      </c>
      <c r="R146" s="17">
        <v>2003</v>
      </c>
      <c r="S146" s="17">
        <v>2004</v>
      </c>
      <c r="T146" s="17">
        <v>2005</v>
      </c>
      <c r="U146" s="17">
        <v>2006</v>
      </c>
      <c r="V146" s="17">
        <v>2007</v>
      </c>
      <c r="W146" s="17">
        <v>2008</v>
      </c>
      <c r="X146" s="17">
        <v>2009</v>
      </c>
      <c r="Y146" s="17">
        <v>2010</v>
      </c>
      <c r="Z146" s="17">
        <v>2011</v>
      </c>
      <c r="AA146" s="17">
        <v>2012</v>
      </c>
      <c r="AB146" s="17">
        <v>2013</v>
      </c>
      <c r="AC146" s="17">
        <v>2014</v>
      </c>
      <c r="AD146" s="17">
        <v>2015</v>
      </c>
      <c r="AE146" s="17">
        <v>2016</v>
      </c>
      <c r="AF146" s="17">
        <v>2017</v>
      </c>
      <c r="AG146" s="17">
        <v>2018</v>
      </c>
      <c r="AH146" s="17">
        <v>2019</v>
      </c>
      <c r="AI146" s="17">
        <v>2020</v>
      </c>
      <c r="AJ146" s="17">
        <v>2021</v>
      </c>
      <c r="AK146" s="17">
        <v>2022</v>
      </c>
      <c r="AL146" s="17">
        <v>2023</v>
      </c>
      <c r="AM146" s="17">
        <v>2024</v>
      </c>
      <c r="AN146" s="17">
        <v>2025</v>
      </c>
      <c r="AO146" s="17">
        <v>2026</v>
      </c>
      <c r="AP146" s="17">
        <v>2027</v>
      </c>
      <c r="AQ146" s="17">
        <v>2028</v>
      </c>
      <c r="AR146" s="17">
        <v>2029</v>
      </c>
      <c r="AS146" s="17">
        <v>2030</v>
      </c>
      <c r="AT146" s="17">
        <v>2031</v>
      </c>
      <c r="AU146" s="17">
        <v>2032</v>
      </c>
      <c r="AV146" s="17">
        <v>2033</v>
      </c>
      <c r="AW146" s="17">
        <v>2034</v>
      </c>
      <c r="AX146" s="17">
        <v>2035</v>
      </c>
      <c r="AY146" s="17">
        <v>2036</v>
      </c>
      <c r="AZ146" s="17">
        <v>2037</v>
      </c>
      <c r="BA146" s="17">
        <v>2038</v>
      </c>
      <c r="BB146" s="17">
        <v>2039</v>
      </c>
      <c r="BC146" s="17">
        <v>2040</v>
      </c>
      <c r="BD146" s="17">
        <v>2041</v>
      </c>
      <c r="BE146" s="17">
        <v>2042</v>
      </c>
      <c r="BF146" s="17">
        <v>2043</v>
      </c>
      <c r="BG146" s="17">
        <v>2044</v>
      </c>
      <c r="BH146" s="17">
        <v>2045</v>
      </c>
      <c r="BI146" s="17">
        <v>2046</v>
      </c>
      <c r="BJ146" s="17">
        <v>2047</v>
      </c>
      <c r="BK146" s="17">
        <v>2048</v>
      </c>
      <c r="BL146" s="17">
        <v>2049</v>
      </c>
      <c r="BM146" s="17">
        <v>2050</v>
      </c>
      <c r="BP146" s="18" t="s">
        <v>312</v>
      </c>
      <c r="BQ146" s="17" t="s">
        <v>286</v>
      </c>
    </row>
    <row r="147" spans="1:69" ht="15.75" x14ac:dyDescent="0.25">
      <c r="A147" s="20" t="s">
        <v>7</v>
      </c>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c r="AG147" s="20"/>
      <c r="AH147" s="20"/>
      <c r="AI147" s="20"/>
      <c r="AJ147" s="20"/>
      <c r="AK147" s="20"/>
      <c r="AL147" s="20"/>
      <c r="AM147" s="20"/>
      <c r="AN147" s="20"/>
      <c r="AO147" s="20"/>
      <c r="AP147" s="20"/>
      <c r="AQ147" s="20"/>
      <c r="AR147" s="20"/>
      <c r="AS147" s="20"/>
      <c r="AT147" s="20"/>
      <c r="AU147" s="20"/>
      <c r="AV147" s="20"/>
      <c r="AW147" s="20"/>
      <c r="AX147" s="20"/>
      <c r="AY147" s="20"/>
      <c r="AZ147" s="20"/>
      <c r="BA147" s="20"/>
      <c r="BB147" s="20"/>
      <c r="BC147" s="20"/>
      <c r="BD147" s="20"/>
      <c r="BE147" s="20"/>
      <c r="BF147" s="20"/>
      <c r="BG147" s="20"/>
      <c r="BH147" s="20"/>
      <c r="BI147" s="20"/>
      <c r="BJ147" s="20"/>
      <c r="BK147" s="20"/>
      <c r="BL147" s="20"/>
      <c r="BM147" s="20"/>
    </row>
    <row r="148" spans="1:69" x14ac:dyDescent="0.25">
      <c r="A148" t="str">
        <f>'Intermediate calcs'!A4</f>
        <v>Wealth (GVA)</v>
      </c>
      <c r="B148" t="str">
        <f>'Intermediate calcs'!B4</f>
        <v>GVA/capita</v>
      </c>
      <c r="E148">
        <f>'Intermediate calcs'!C4</f>
        <v>7.3995172186341224E-6</v>
      </c>
      <c r="F148">
        <f>'Intermediate calcs'!D4</f>
        <v>8.3160321270873128E-6</v>
      </c>
      <c r="G148">
        <f>'Intermediate calcs'!E4</f>
        <v>9.1809688444329608E-6</v>
      </c>
      <c r="H148">
        <f>'Intermediate calcs'!F4</f>
        <v>1.0183063676790614E-5</v>
      </c>
      <c r="I148">
        <f>'Intermediate calcs'!G4</f>
        <v>1.1198558803003417E-5</v>
      </c>
      <c r="J148">
        <f>'Intermediate calcs'!H4</f>
        <v>1.2456004786976505E-5</v>
      </c>
      <c r="K148">
        <f>'Intermediate calcs'!I4</f>
        <v>1.5023575074943164E-5</v>
      </c>
      <c r="L148">
        <f>'Intermediate calcs'!J4</f>
        <v>1.4993976964585091E-5</v>
      </c>
      <c r="M148">
        <f>'Intermediate calcs'!K4</f>
        <v>1.5889974557177216E-5</v>
      </c>
      <c r="N148">
        <f>'Intermediate calcs'!L4</f>
        <v>1.7139534783540361E-5</v>
      </c>
      <c r="O148">
        <f>'Intermediate calcs'!M4</f>
        <v>1.9178073296508686E-5</v>
      </c>
      <c r="P148">
        <f>'Intermediate calcs'!N4</f>
        <v>2.0941920561623974E-5</v>
      </c>
      <c r="Q148">
        <f>'Intermediate calcs'!O4</f>
        <v>2.4092156096673536E-5</v>
      </c>
      <c r="R148">
        <f>'Intermediate calcs'!P4</f>
        <v>2.5864721644610491E-5</v>
      </c>
      <c r="S148">
        <f>'Intermediate calcs'!Q4</f>
        <v>2.816463639110616E-5</v>
      </c>
      <c r="T148">
        <f>'Intermediate calcs'!R4</f>
        <v>3.0685475313895917E-5</v>
      </c>
      <c r="U148">
        <f>'Intermediate calcs'!S4</f>
        <v>3.3867608215633009E-5</v>
      </c>
      <c r="V148">
        <f>'Intermediate calcs'!T4</f>
        <v>3.8369935813406575E-5</v>
      </c>
      <c r="W148">
        <f>'Intermediate calcs'!U4</f>
        <v>4.2933160137438985E-5</v>
      </c>
      <c r="X148">
        <f>'Intermediate calcs'!V4</f>
        <v>4.5112536477249022E-5</v>
      </c>
      <c r="Y148">
        <f>'Intermediate calcs'!W4</f>
        <v>4.8711594853611398E-5</v>
      </c>
      <c r="Z148">
        <f>'Intermediate calcs'!X4</f>
        <v>5.2388104554380752E-5</v>
      </c>
      <c r="AA148">
        <f>'Intermediate calcs'!Y4</f>
        <v>7.2008674666107316E-5</v>
      </c>
      <c r="AB148">
        <f>'Intermediate calcs'!Z4</f>
        <v>7.3128862350936422E-5</v>
      </c>
      <c r="AC148">
        <f>'Intermediate calcs'!AA4</f>
        <v>7.3832053087208803E-5</v>
      </c>
      <c r="AD148">
        <f>'Intermediate calcs'!AB4</f>
        <v>7.4099569652362116E-5</v>
      </c>
      <c r="AE148">
        <f>'Intermediate calcs'!AC4</f>
        <v>7.3966728660027013E-5</v>
      </c>
      <c r="AF148">
        <f>'Intermediate calcs'!AD4</f>
        <v>7.4125058503467776E-5</v>
      </c>
      <c r="AG148">
        <f>'Intermediate calcs'!AE4</f>
        <v>7.4164408302538267E-5</v>
      </c>
    </row>
    <row r="149" spans="1:69" x14ac:dyDescent="0.25">
      <c r="A149" t="s">
        <v>392</v>
      </c>
      <c r="B149" t="s">
        <v>142</v>
      </c>
      <c r="E149">
        <v>230000</v>
      </c>
      <c r="F149">
        <v>230000</v>
      </c>
      <c r="G149">
        <v>230000</v>
      </c>
      <c r="H149">
        <v>235000</v>
      </c>
      <c r="I149">
        <v>240000</v>
      </c>
      <c r="J149">
        <v>245000</v>
      </c>
      <c r="K149">
        <v>250000</v>
      </c>
      <c r="L149">
        <v>255000</v>
      </c>
      <c r="M149">
        <v>260000</v>
      </c>
      <c r="N149">
        <v>258000</v>
      </c>
      <c r="O149">
        <v>270000</v>
      </c>
      <c r="P149">
        <v>270000</v>
      </c>
      <c r="Q149">
        <v>270000</v>
      </c>
      <c r="R149">
        <v>270000</v>
      </c>
      <c r="S149">
        <v>270000</v>
      </c>
      <c r="T149">
        <v>270000</v>
      </c>
      <c r="U149">
        <v>280000</v>
      </c>
      <c r="V149">
        <v>290000</v>
      </c>
      <c r="W149">
        <v>298000</v>
      </c>
      <c r="X149">
        <v>300000</v>
      </c>
      <c r="Y149">
        <v>300000</v>
      </c>
      <c r="Z149">
        <v>305000</v>
      </c>
      <c r="AA149">
        <v>308000</v>
      </c>
      <c r="AB149">
        <v>310000</v>
      </c>
      <c r="AC149">
        <v>312000</v>
      </c>
      <c r="AD149">
        <v>314825</v>
      </c>
      <c r="AE149">
        <v>320860</v>
      </c>
      <c r="AF149">
        <v>322771</v>
      </c>
    </row>
    <row r="168" spans="1:69" s="19" customFormat="1" ht="29.25" customHeight="1" x14ac:dyDescent="0.25">
      <c r="A168" s="17" t="s">
        <v>335</v>
      </c>
      <c r="B168" s="17" t="s">
        <v>0</v>
      </c>
      <c r="C168" s="17" t="s">
        <v>287</v>
      </c>
      <c r="D168" s="18" t="s">
        <v>313</v>
      </c>
      <c r="E168" s="17">
        <v>1990</v>
      </c>
      <c r="F168" s="17">
        <v>1991</v>
      </c>
      <c r="G168" s="17">
        <v>1992</v>
      </c>
      <c r="H168" s="17">
        <v>1993</v>
      </c>
      <c r="I168" s="17">
        <v>1994</v>
      </c>
      <c r="J168" s="17">
        <v>1995</v>
      </c>
      <c r="K168" s="17">
        <v>1996</v>
      </c>
      <c r="L168" s="17">
        <v>1997</v>
      </c>
      <c r="M168" s="17">
        <v>1998</v>
      </c>
      <c r="N168" s="17">
        <v>1999</v>
      </c>
      <c r="O168" s="17">
        <v>2000</v>
      </c>
      <c r="P168" s="17">
        <v>2001</v>
      </c>
      <c r="Q168" s="17">
        <v>2002</v>
      </c>
      <c r="R168" s="17">
        <v>2003</v>
      </c>
      <c r="S168" s="17">
        <v>2004</v>
      </c>
      <c r="T168" s="17">
        <v>2005</v>
      </c>
      <c r="U168" s="17">
        <v>2006</v>
      </c>
      <c r="V168" s="17">
        <v>2007</v>
      </c>
      <c r="W168" s="17">
        <v>2008</v>
      </c>
      <c r="X168" s="17">
        <v>2009</v>
      </c>
      <c r="Y168" s="17">
        <v>2010</v>
      </c>
      <c r="Z168" s="17">
        <v>2011</v>
      </c>
      <c r="AA168" s="17">
        <v>2012</v>
      </c>
      <c r="AB168" s="17">
        <v>2013</v>
      </c>
      <c r="AC168" s="17">
        <v>2014</v>
      </c>
      <c r="AD168" s="17">
        <v>2015</v>
      </c>
      <c r="AE168" s="17">
        <v>2016</v>
      </c>
      <c r="AF168" s="17">
        <v>2017</v>
      </c>
      <c r="AG168" s="17">
        <v>2018</v>
      </c>
      <c r="AH168" s="17">
        <v>2019</v>
      </c>
      <c r="AI168" s="17">
        <v>2020</v>
      </c>
      <c r="AJ168" s="17">
        <v>2021</v>
      </c>
      <c r="AK168" s="17">
        <v>2022</v>
      </c>
      <c r="AL168" s="17">
        <v>2023</v>
      </c>
      <c r="AM168" s="17">
        <v>2024</v>
      </c>
      <c r="AN168" s="17">
        <v>2025</v>
      </c>
      <c r="AO168" s="17">
        <v>2026</v>
      </c>
      <c r="AP168" s="17">
        <v>2027</v>
      </c>
      <c r="AQ168" s="17">
        <v>2028</v>
      </c>
      <c r="AR168" s="17">
        <v>2029</v>
      </c>
      <c r="AS168" s="17">
        <v>2030</v>
      </c>
      <c r="AT168" s="17">
        <v>2031</v>
      </c>
      <c r="AU168" s="17">
        <v>2032</v>
      </c>
      <c r="AV168" s="17">
        <v>2033</v>
      </c>
      <c r="AW168" s="17">
        <v>2034</v>
      </c>
      <c r="AX168" s="17">
        <v>2035</v>
      </c>
      <c r="AY168" s="17">
        <v>2036</v>
      </c>
      <c r="AZ168" s="17">
        <v>2037</v>
      </c>
      <c r="BA168" s="17">
        <v>2038</v>
      </c>
      <c r="BB168" s="17">
        <v>2039</v>
      </c>
      <c r="BC168" s="17">
        <v>2040</v>
      </c>
      <c r="BD168" s="17">
        <v>2041</v>
      </c>
      <c r="BE168" s="17">
        <v>2042</v>
      </c>
      <c r="BF168" s="17">
        <v>2043</v>
      </c>
      <c r="BG168" s="17">
        <v>2044</v>
      </c>
      <c r="BH168" s="17">
        <v>2045</v>
      </c>
      <c r="BI168" s="17">
        <v>2046</v>
      </c>
      <c r="BJ168" s="17">
        <v>2047</v>
      </c>
      <c r="BK168" s="17">
        <v>2048</v>
      </c>
      <c r="BL168" s="17">
        <v>2049</v>
      </c>
      <c r="BM168" s="17">
        <v>2050</v>
      </c>
      <c r="BP168" s="18" t="s">
        <v>312</v>
      </c>
      <c r="BQ168" s="17" t="s">
        <v>286</v>
      </c>
    </row>
    <row r="169" spans="1:69" ht="15.75" x14ac:dyDescent="0.25">
      <c r="A169" s="20" t="s">
        <v>357</v>
      </c>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c r="AG169" s="20"/>
      <c r="AH169" s="20"/>
      <c r="AI169" s="20"/>
      <c r="AJ169" s="20"/>
      <c r="AK169" s="20"/>
      <c r="AL169" s="20"/>
      <c r="AM169" s="20"/>
      <c r="AN169" s="20"/>
      <c r="AO169" s="20"/>
      <c r="AP169" s="20"/>
      <c r="AQ169" s="20"/>
      <c r="AR169" s="20"/>
      <c r="AS169" s="20"/>
      <c r="AT169" s="20"/>
      <c r="AU169" s="20"/>
      <c r="AV169" s="20"/>
      <c r="AW169" s="20"/>
      <c r="AX169" s="20"/>
      <c r="AY169" s="20"/>
      <c r="AZ169" s="20"/>
      <c r="BA169" s="20"/>
      <c r="BB169" s="20"/>
      <c r="BC169" s="20"/>
      <c r="BD169" s="20"/>
      <c r="BE169" s="20"/>
      <c r="BF169" s="20"/>
      <c r="BG169" s="20"/>
      <c r="BH169" s="20"/>
      <c r="BI169" s="20"/>
      <c r="BJ169" s="20"/>
      <c r="BK169" s="20"/>
      <c r="BL169" s="20"/>
      <c r="BM169" s="20"/>
    </row>
    <row r="170" spans="1:69" x14ac:dyDescent="0.25">
      <c r="A170" t="s">
        <v>359</v>
      </c>
      <c r="B170" t="s">
        <v>327</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row>
    <row r="171" spans="1:69" x14ac:dyDescent="0.25">
      <c r="A171" t="s">
        <v>360</v>
      </c>
      <c r="B171" t="s">
        <v>327</v>
      </c>
      <c r="E171">
        <f t="shared" ref="E171:AG171" si="13">E173+E170</f>
        <v>126200</v>
      </c>
      <c r="F171">
        <f t="shared" si="13"/>
        <v>130800</v>
      </c>
      <c r="G171">
        <f t="shared" si="13"/>
        <v>112700</v>
      </c>
      <c r="H171">
        <f t="shared" si="13"/>
        <v>129600</v>
      </c>
      <c r="I171">
        <f t="shared" si="13"/>
        <v>119600</v>
      </c>
      <c r="J171">
        <f t="shared" si="13"/>
        <v>119000</v>
      </c>
      <c r="K171">
        <f t="shared" si="13"/>
        <v>126500</v>
      </c>
      <c r="L171">
        <f t="shared" si="13"/>
        <v>127900</v>
      </c>
      <c r="M171">
        <f t="shared" si="13"/>
        <v>125000</v>
      </c>
      <c r="N171">
        <f t="shared" si="13"/>
        <v>119200</v>
      </c>
      <c r="O171">
        <f t="shared" si="13"/>
        <v>123000</v>
      </c>
      <c r="P171">
        <f t="shared" si="13"/>
        <v>106900</v>
      </c>
      <c r="Q171">
        <f t="shared" si="13"/>
        <v>116600</v>
      </c>
      <c r="R171">
        <f t="shared" si="13"/>
        <v>135000</v>
      </c>
      <c r="S171">
        <f t="shared" si="13"/>
        <v>156800</v>
      </c>
      <c r="T171">
        <f t="shared" si="13"/>
        <v>159700</v>
      </c>
      <c r="U171">
        <f t="shared" si="13"/>
        <v>171400</v>
      </c>
      <c r="V171">
        <f t="shared" si="13"/>
        <v>187100</v>
      </c>
      <c r="W171">
        <f t="shared" si="13"/>
        <v>181700</v>
      </c>
      <c r="X171">
        <f t="shared" si="13"/>
        <v>180700</v>
      </c>
      <c r="Y171">
        <f t="shared" si="13"/>
        <v>191900</v>
      </c>
      <c r="Z171">
        <f t="shared" si="13"/>
        <v>205100</v>
      </c>
      <c r="AA171">
        <f t="shared" si="13"/>
        <v>206000</v>
      </c>
      <c r="AB171">
        <f t="shared" si="13"/>
        <v>213500</v>
      </c>
      <c r="AC171">
        <f t="shared" si="13"/>
        <v>224200</v>
      </c>
      <c r="AD171">
        <f t="shared" si="13"/>
        <v>233000</v>
      </c>
      <c r="AE171">
        <f t="shared" si="13"/>
        <v>243100</v>
      </c>
      <c r="AF171">
        <f t="shared" si="13"/>
        <v>231800</v>
      </c>
      <c r="AG171">
        <f t="shared" si="13"/>
        <v>260000</v>
      </c>
    </row>
    <row r="172" spans="1:69" x14ac:dyDescent="0.25">
      <c r="A172" t="s">
        <v>358</v>
      </c>
      <c r="B172" t="s">
        <v>327</v>
      </c>
      <c r="E172">
        <v>125000</v>
      </c>
      <c r="F172">
        <v>130000</v>
      </c>
      <c r="G172">
        <v>112000</v>
      </c>
      <c r="H172">
        <v>129000</v>
      </c>
      <c r="I172">
        <v>122000</v>
      </c>
      <c r="J172">
        <v>124000</v>
      </c>
      <c r="K172">
        <v>131000</v>
      </c>
      <c r="L172">
        <v>133000</v>
      </c>
      <c r="M172">
        <v>130000</v>
      </c>
      <c r="N172">
        <v>126000</v>
      </c>
      <c r="O172">
        <v>131000</v>
      </c>
      <c r="P172">
        <v>115000</v>
      </c>
      <c r="Q172">
        <v>123000</v>
      </c>
      <c r="R172">
        <v>146000</v>
      </c>
      <c r="S172">
        <v>174000</v>
      </c>
      <c r="T172">
        <v>182000</v>
      </c>
      <c r="U172">
        <v>193000</v>
      </c>
      <c r="V172">
        <v>206000</v>
      </c>
      <c r="W172">
        <v>198000</v>
      </c>
      <c r="X172">
        <v>199000</v>
      </c>
      <c r="Y172">
        <v>215000</v>
      </c>
      <c r="Z172">
        <v>231000</v>
      </c>
      <c r="AA172">
        <v>237000</v>
      </c>
      <c r="AB172">
        <v>245000</v>
      </c>
      <c r="AC172">
        <v>236000</v>
      </c>
      <c r="AD172">
        <v>254000</v>
      </c>
      <c r="AE172">
        <v>263000</v>
      </c>
      <c r="AF172">
        <v>254000</v>
      </c>
      <c r="AG172">
        <v>282000</v>
      </c>
    </row>
    <row r="173" spans="1:69" x14ac:dyDescent="0.25">
      <c r="A173" t="s">
        <v>361</v>
      </c>
      <c r="B173" t="s">
        <v>327</v>
      </c>
      <c r="E173">
        <v>126200</v>
      </c>
      <c r="F173">
        <v>130800</v>
      </c>
      <c r="G173">
        <v>112700</v>
      </c>
      <c r="H173">
        <v>129600</v>
      </c>
      <c r="I173">
        <v>119600</v>
      </c>
      <c r="J173">
        <v>119000</v>
      </c>
      <c r="K173">
        <v>126500</v>
      </c>
      <c r="L173">
        <v>127900</v>
      </c>
      <c r="M173">
        <v>125000</v>
      </c>
      <c r="N173">
        <v>119200</v>
      </c>
      <c r="O173">
        <v>123000</v>
      </c>
      <c r="P173">
        <v>106900</v>
      </c>
      <c r="Q173">
        <v>116600</v>
      </c>
      <c r="R173">
        <v>135000</v>
      </c>
      <c r="S173">
        <v>156800</v>
      </c>
      <c r="T173">
        <v>159700</v>
      </c>
      <c r="U173">
        <v>171400</v>
      </c>
      <c r="V173">
        <v>187100</v>
      </c>
      <c r="W173">
        <v>181700</v>
      </c>
      <c r="X173">
        <v>180700</v>
      </c>
      <c r="Y173">
        <v>191900</v>
      </c>
      <c r="Z173">
        <v>205100</v>
      </c>
      <c r="AA173">
        <v>206000</v>
      </c>
      <c r="AB173">
        <v>213500</v>
      </c>
      <c r="AC173">
        <v>224200</v>
      </c>
      <c r="AD173">
        <v>233000</v>
      </c>
      <c r="AE173">
        <v>243100</v>
      </c>
      <c r="AF173">
        <v>231800</v>
      </c>
      <c r="AG173">
        <v>260000</v>
      </c>
    </row>
    <row r="174" spans="1:69" x14ac:dyDescent="0.25">
      <c r="A174" t="s">
        <v>362</v>
      </c>
      <c r="B174" t="s">
        <v>142</v>
      </c>
      <c r="E174">
        <v>1524000</v>
      </c>
      <c r="F174">
        <v>1665000</v>
      </c>
      <c r="G174">
        <v>1654000</v>
      </c>
      <c r="H174">
        <v>1653000</v>
      </c>
      <c r="I174">
        <v>1570000</v>
      </c>
      <c r="J174">
        <v>1585000</v>
      </c>
      <c r="K174">
        <v>1707000</v>
      </c>
      <c r="L174">
        <v>1699000</v>
      </c>
      <c r="M174">
        <v>1736000</v>
      </c>
      <c r="N174">
        <v>1780000</v>
      </c>
      <c r="O174">
        <v>1647000</v>
      </c>
      <c r="P174">
        <v>1678000</v>
      </c>
      <c r="Q174">
        <v>1710000</v>
      </c>
      <c r="R174">
        <v>1663000</v>
      </c>
      <c r="S174">
        <v>1663000</v>
      </c>
      <c r="T174">
        <v>1651000</v>
      </c>
      <c r="U174">
        <v>1622000</v>
      </c>
      <c r="V174">
        <v>1651000</v>
      </c>
      <c r="W174">
        <v>1615000</v>
      </c>
      <c r="X174">
        <v>1613000</v>
      </c>
      <c r="Y174">
        <v>1594000</v>
      </c>
      <c r="Z174">
        <v>1584000</v>
      </c>
      <c r="AA174">
        <v>1579000</v>
      </c>
      <c r="AB174">
        <v>1574000</v>
      </c>
      <c r="AC174">
        <v>1562000</v>
      </c>
      <c r="AD174">
        <v>1523000</v>
      </c>
      <c r="AE174">
        <v>1512000</v>
      </c>
      <c r="AF174">
        <v>1481000</v>
      </c>
    </row>
    <row r="175" spans="1:69" x14ac:dyDescent="0.25">
      <c r="A175" t="str">
        <f>'Intermediate calcs'!A4</f>
        <v>Wealth (GVA)</v>
      </c>
      <c r="B175" t="str">
        <f>'Intermediate calcs'!B4</f>
        <v>GVA/capita</v>
      </c>
      <c r="E175">
        <f>'Intermediate calcs'!C4</f>
        <v>7.3995172186341224E-6</v>
      </c>
      <c r="F175">
        <f>'Intermediate calcs'!D4</f>
        <v>8.3160321270873128E-6</v>
      </c>
      <c r="G175">
        <f>'Intermediate calcs'!E4</f>
        <v>9.1809688444329608E-6</v>
      </c>
      <c r="H175">
        <f>'Intermediate calcs'!F4</f>
        <v>1.0183063676790614E-5</v>
      </c>
      <c r="I175">
        <f>'Intermediate calcs'!G4</f>
        <v>1.1198558803003417E-5</v>
      </c>
      <c r="J175">
        <f>'Intermediate calcs'!H4</f>
        <v>1.2456004786976505E-5</v>
      </c>
      <c r="K175">
        <f>'Intermediate calcs'!I4</f>
        <v>1.5023575074943164E-5</v>
      </c>
      <c r="L175">
        <f>'Intermediate calcs'!J4</f>
        <v>1.4993976964585091E-5</v>
      </c>
      <c r="M175">
        <f>'Intermediate calcs'!K4</f>
        <v>1.5889974557177216E-5</v>
      </c>
      <c r="N175">
        <f>'Intermediate calcs'!L4</f>
        <v>1.7139534783540361E-5</v>
      </c>
      <c r="O175">
        <f>'Intermediate calcs'!M4</f>
        <v>1.9178073296508686E-5</v>
      </c>
      <c r="P175">
        <f>'Intermediate calcs'!N4</f>
        <v>2.0941920561623974E-5</v>
      </c>
      <c r="Q175">
        <f>'Intermediate calcs'!O4</f>
        <v>2.4092156096673536E-5</v>
      </c>
      <c r="R175">
        <f>'Intermediate calcs'!P4</f>
        <v>2.5864721644610491E-5</v>
      </c>
      <c r="S175">
        <f>'Intermediate calcs'!Q4</f>
        <v>2.816463639110616E-5</v>
      </c>
      <c r="T175">
        <f>'Intermediate calcs'!R4</f>
        <v>3.0685475313895917E-5</v>
      </c>
      <c r="U175">
        <f>'Intermediate calcs'!S4</f>
        <v>3.3867608215633009E-5</v>
      </c>
      <c r="V175">
        <f>'Intermediate calcs'!T4</f>
        <v>3.8369935813406575E-5</v>
      </c>
      <c r="W175">
        <f>'Intermediate calcs'!U4</f>
        <v>4.2933160137438985E-5</v>
      </c>
      <c r="X175">
        <f>'Intermediate calcs'!V4</f>
        <v>4.5112536477249022E-5</v>
      </c>
      <c r="Y175">
        <f>'Intermediate calcs'!W4</f>
        <v>4.8711594853611398E-5</v>
      </c>
      <c r="Z175">
        <f>'Intermediate calcs'!X4</f>
        <v>5.2388104554380752E-5</v>
      </c>
      <c r="AA175">
        <f>'Intermediate calcs'!Y4</f>
        <v>7.2008674666107316E-5</v>
      </c>
      <c r="AB175">
        <f>'Intermediate calcs'!Z4</f>
        <v>7.3128862350936422E-5</v>
      </c>
      <c r="AC175">
        <f>'Intermediate calcs'!AA4</f>
        <v>7.3832053087208803E-5</v>
      </c>
      <c r="AD175">
        <f>'Intermediate calcs'!AB4</f>
        <v>7.4099569652362116E-5</v>
      </c>
      <c r="AE175">
        <f>'Intermediate calcs'!AC4</f>
        <v>7.3966728660027013E-5</v>
      </c>
      <c r="AF175">
        <f>'Intermediate calcs'!AD4</f>
        <v>7.4125058503467776E-5</v>
      </c>
      <c r="AG175">
        <f>'Intermediate calcs'!AE4</f>
        <v>7.4164408302538267E-5</v>
      </c>
    </row>
    <row r="176" spans="1:69" x14ac:dyDescent="0.25">
      <c r="A176" t="s">
        <v>358</v>
      </c>
      <c r="B176" t="s">
        <v>328</v>
      </c>
      <c r="E176">
        <f>E172/Drivers!D4</f>
        <v>3.3966921490134823E-3</v>
      </c>
      <c r="F176">
        <f>F172/Drivers!E4</f>
        <v>3.446543448319744E-3</v>
      </c>
      <c r="G176">
        <f>G172/Drivers!F4</f>
        <v>2.8961067972479849E-3</v>
      </c>
      <c r="H176">
        <f>H172/Drivers!G4</f>
        <v>3.2548017787870187E-3</v>
      </c>
      <c r="I176">
        <f>I172/Drivers!H4</f>
        <v>3.0075885650398052E-3</v>
      </c>
      <c r="J176">
        <f>J172/Drivers!I4</f>
        <v>2.9925843277683012E-3</v>
      </c>
      <c r="K176">
        <f>K172/Drivers!J4</f>
        <v>3.1012515301776277E-3</v>
      </c>
      <c r="L176">
        <f>L172/Drivers!K4</f>
        <v>3.0939254588681106E-3</v>
      </c>
      <c r="M176">
        <f>M172/Drivers!L4</f>
        <v>2.9760364962801832E-3</v>
      </c>
      <c r="N176">
        <f>N172/Drivers!M4</f>
        <v>2.8417713229773925E-3</v>
      </c>
      <c r="O176">
        <f>O172/Drivers!N4</f>
        <v>2.9132016245969217E-3</v>
      </c>
      <c r="P176">
        <f>P172/Drivers!O4</f>
        <v>2.5235195311853692E-3</v>
      </c>
      <c r="Q176">
        <f>Q172/Drivers!P4</f>
        <v>2.665169375955791E-3</v>
      </c>
      <c r="R176">
        <f>R172/Drivers!Q4</f>
        <v>3.125053778750816E-3</v>
      </c>
      <c r="S176">
        <f>S172/Drivers!R4</f>
        <v>3.6792995628611501E-3</v>
      </c>
      <c r="T176">
        <f>T172/Drivers!S4</f>
        <v>3.801121878148522E-3</v>
      </c>
      <c r="U176">
        <f>U172/Drivers!T4</f>
        <v>3.9802465108963164E-3</v>
      </c>
      <c r="V176">
        <f>V172/Drivers!U4</f>
        <v>4.1938316513320025E-3</v>
      </c>
      <c r="W176">
        <f>W172/Drivers!V4</f>
        <v>3.9775432728081823E-3</v>
      </c>
      <c r="X176">
        <f>X172/Drivers!W4</f>
        <v>3.9423887440561802E-3</v>
      </c>
      <c r="Y176">
        <f>Y172/Drivers!X4</f>
        <v>4.1978278915556179E-3</v>
      </c>
      <c r="Z176">
        <f>Z172/Drivers!Y4</f>
        <v>4.4419513111371139E-3</v>
      </c>
      <c r="AA176">
        <f>AA172/Drivers!Z4</f>
        <v>4.4689670655681558E-3</v>
      </c>
      <c r="AB176">
        <f>AB172/Drivers!AA4</f>
        <v>4.578240558984998E-3</v>
      </c>
      <c r="AC176">
        <f>AC172/Drivers!AB4</f>
        <v>4.3703703703703699E-3</v>
      </c>
      <c r="AD176">
        <f>AD172/Drivers!AC4</f>
        <v>4.6613710310765529E-3</v>
      </c>
      <c r="AE176">
        <f>AE172/Drivers!AD4</f>
        <v>4.7796550785211131E-3</v>
      </c>
      <c r="AF176">
        <f>AF172/Drivers!AE4</f>
        <v>4.5716856044495128E-3</v>
      </c>
      <c r="AG176">
        <f>AG172/Drivers!AF4</f>
        <v>5.0272880858582393E-3</v>
      </c>
    </row>
    <row r="178" spans="1:2" x14ac:dyDescent="0.25">
      <c r="A178" t="s">
        <v>527</v>
      </c>
      <c r="B178">
        <f>SLOPE(Y176:AG176,Y175:AG175)</f>
        <v>14.677481212383457</v>
      </c>
    </row>
    <row r="179" spans="1:2" x14ac:dyDescent="0.25">
      <c r="A179" t="s">
        <v>528</v>
      </c>
      <c r="B179">
        <f>INTERCEPT(Y176:AG176,Y175:AG175)</f>
        <v>3.5610877599264457E-3</v>
      </c>
    </row>
    <row r="197" spans="1:69" s="19" customFormat="1" ht="29.25" customHeight="1" x14ac:dyDescent="0.25">
      <c r="A197" s="17" t="s">
        <v>335</v>
      </c>
      <c r="B197" s="17" t="s">
        <v>0</v>
      </c>
      <c r="C197" s="17" t="s">
        <v>287</v>
      </c>
      <c r="D197" s="18" t="s">
        <v>313</v>
      </c>
      <c r="E197" s="17">
        <v>1990</v>
      </c>
      <c r="F197" s="17">
        <v>1991</v>
      </c>
      <c r="G197" s="17">
        <v>1992</v>
      </c>
      <c r="H197" s="17">
        <v>1993</v>
      </c>
      <c r="I197" s="17">
        <v>1994</v>
      </c>
      <c r="J197" s="17">
        <v>1995</v>
      </c>
      <c r="K197" s="17">
        <v>1996</v>
      </c>
      <c r="L197" s="17">
        <v>1997</v>
      </c>
      <c r="M197" s="17">
        <v>1998</v>
      </c>
      <c r="N197" s="17">
        <v>1999</v>
      </c>
      <c r="O197" s="17">
        <v>2000</v>
      </c>
      <c r="P197" s="17">
        <v>2001</v>
      </c>
      <c r="Q197" s="17">
        <v>2002</v>
      </c>
      <c r="R197" s="17">
        <v>2003</v>
      </c>
      <c r="S197" s="17">
        <v>2004</v>
      </c>
      <c r="T197" s="17">
        <v>2005</v>
      </c>
      <c r="U197" s="17">
        <v>2006</v>
      </c>
      <c r="V197" s="17">
        <v>2007</v>
      </c>
      <c r="W197" s="17">
        <v>2008</v>
      </c>
      <c r="X197" s="17">
        <v>2009</v>
      </c>
      <c r="Y197" s="17">
        <v>2010</v>
      </c>
      <c r="Z197" s="17">
        <v>2011</v>
      </c>
      <c r="AA197" s="17">
        <v>2012</v>
      </c>
      <c r="AB197" s="17">
        <v>2013</v>
      </c>
      <c r="AC197" s="17">
        <v>2014</v>
      </c>
      <c r="AD197" s="17">
        <v>2015</v>
      </c>
      <c r="AE197" s="17">
        <v>2016</v>
      </c>
      <c r="AF197" s="17">
        <v>2017</v>
      </c>
      <c r="AG197" s="17">
        <v>2018</v>
      </c>
      <c r="AH197" s="17">
        <v>2019</v>
      </c>
      <c r="AI197" s="17">
        <v>2020</v>
      </c>
      <c r="AJ197" s="17">
        <v>2021</v>
      </c>
      <c r="AK197" s="17">
        <v>2022</v>
      </c>
      <c r="AL197" s="17">
        <v>2023</v>
      </c>
      <c r="AM197" s="17">
        <v>2024</v>
      </c>
      <c r="AN197" s="17">
        <v>2025</v>
      </c>
      <c r="AO197" s="17">
        <v>2026</v>
      </c>
      <c r="AP197" s="17">
        <v>2027</v>
      </c>
      <c r="AQ197" s="17">
        <v>2028</v>
      </c>
      <c r="AR197" s="17">
        <v>2029</v>
      </c>
      <c r="AS197" s="17">
        <v>2030</v>
      </c>
      <c r="AT197" s="17">
        <v>2031</v>
      </c>
      <c r="AU197" s="17">
        <v>2032</v>
      </c>
      <c r="AV197" s="17">
        <v>2033</v>
      </c>
      <c r="AW197" s="17">
        <v>2034</v>
      </c>
      <c r="AX197" s="17">
        <v>2035</v>
      </c>
      <c r="AY197" s="17">
        <v>2036</v>
      </c>
      <c r="AZ197" s="17">
        <v>2037</v>
      </c>
      <c r="BA197" s="17">
        <v>2038</v>
      </c>
      <c r="BB197" s="17">
        <v>2039</v>
      </c>
      <c r="BC197" s="17">
        <v>2040</v>
      </c>
      <c r="BD197" s="17">
        <v>2041</v>
      </c>
      <c r="BE197" s="17">
        <v>2042</v>
      </c>
      <c r="BF197" s="17">
        <v>2043</v>
      </c>
      <c r="BG197" s="17">
        <v>2044</v>
      </c>
      <c r="BH197" s="17">
        <v>2045</v>
      </c>
      <c r="BI197" s="17">
        <v>2046</v>
      </c>
      <c r="BJ197" s="17">
        <v>2047</v>
      </c>
      <c r="BK197" s="17">
        <v>2048</v>
      </c>
      <c r="BL197" s="17">
        <v>2049</v>
      </c>
      <c r="BM197" s="17">
        <v>2050</v>
      </c>
      <c r="BP197" s="18" t="s">
        <v>312</v>
      </c>
      <c r="BQ197" s="17" t="s">
        <v>286</v>
      </c>
    </row>
    <row r="198" spans="1:69" ht="15.75" x14ac:dyDescent="0.25">
      <c r="A198" s="20" t="s">
        <v>364</v>
      </c>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c r="AG198" s="20"/>
      <c r="AH198" s="20"/>
      <c r="AI198" s="20"/>
      <c r="AJ198" s="20"/>
      <c r="AK198" s="20"/>
      <c r="AL198" s="20"/>
      <c r="AM198" s="20"/>
      <c r="AN198" s="20"/>
      <c r="AO198" s="20"/>
      <c r="AP198" s="20"/>
      <c r="AQ198" s="20"/>
      <c r="AR198" s="20"/>
      <c r="AS198" s="20"/>
      <c r="AT198" s="20"/>
      <c r="AU198" s="20"/>
      <c r="AV198" s="20"/>
      <c r="AW198" s="20"/>
      <c r="AX198" s="20"/>
      <c r="AY198" s="20"/>
      <c r="AZ198" s="20"/>
      <c r="BA198" s="20"/>
      <c r="BB198" s="20"/>
      <c r="BC198" s="20"/>
      <c r="BD198" s="20"/>
      <c r="BE198" s="20"/>
      <c r="BF198" s="20"/>
      <c r="BG198" s="20"/>
      <c r="BH198" s="20"/>
      <c r="BI198" s="20"/>
      <c r="BJ198" s="20"/>
      <c r="BK198" s="20"/>
      <c r="BL198" s="20"/>
      <c r="BM198" s="20"/>
    </row>
    <row r="199" spans="1:69" x14ac:dyDescent="0.25">
      <c r="A199" t="s">
        <v>365</v>
      </c>
      <c r="B199" t="s">
        <v>327</v>
      </c>
      <c r="E199">
        <v>0</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row>
    <row r="200" spans="1:69" x14ac:dyDescent="0.25">
      <c r="A200" t="s">
        <v>366</v>
      </c>
      <c r="B200" t="s">
        <v>327</v>
      </c>
      <c r="E200">
        <f t="shared" ref="E200:AG200" si="14">E202+E199</f>
        <v>224000</v>
      </c>
      <c r="F200">
        <f t="shared" si="14"/>
        <v>232000</v>
      </c>
      <c r="G200">
        <f t="shared" si="14"/>
        <v>238000</v>
      </c>
      <c r="H200">
        <f t="shared" si="14"/>
        <v>235000</v>
      </c>
      <c r="I200">
        <f t="shared" si="14"/>
        <v>251000</v>
      </c>
      <c r="J200">
        <f t="shared" si="14"/>
        <v>290000</v>
      </c>
      <c r="K200">
        <f t="shared" si="14"/>
        <v>282000</v>
      </c>
      <c r="L200">
        <f t="shared" si="14"/>
        <v>314000</v>
      </c>
      <c r="M200">
        <f t="shared" si="14"/>
        <v>323000</v>
      </c>
      <c r="N200">
        <f t="shared" si="14"/>
        <v>318000</v>
      </c>
      <c r="O200">
        <f t="shared" si="14"/>
        <v>329000</v>
      </c>
      <c r="P200">
        <f t="shared" si="14"/>
        <v>330000</v>
      </c>
      <c r="Q200">
        <f t="shared" si="14"/>
        <v>340000</v>
      </c>
      <c r="R200">
        <f t="shared" si="14"/>
        <v>328000</v>
      </c>
      <c r="S200">
        <f t="shared" si="14"/>
        <v>348000</v>
      </c>
      <c r="T200">
        <f t="shared" si="14"/>
        <v>375000</v>
      </c>
      <c r="U200">
        <f t="shared" si="14"/>
        <v>412000</v>
      </c>
      <c r="V200">
        <f t="shared" si="14"/>
        <v>438000</v>
      </c>
      <c r="W200">
        <f t="shared" si="14"/>
        <v>426000</v>
      </c>
      <c r="X200">
        <f t="shared" si="14"/>
        <v>404000</v>
      </c>
      <c r="Y200">
        <f t="shared" si="14"/>
        <v>413000</v>
      </c>
      <c r="Z200">
        <f t="shared" si="14"/>
        <v>452000</v>
      </c>
      <c r="AA200">
        <f t="shared" si="14"/>
        <v>477000</v>
      </c>
      <c r="AB200">
        <f t="shared" si="14"/>
        <v>468000</v>
      </c>
      <c r="AC200">
        <f t="shared" si="14"/>
        <v>453000</v>
      </c>
      <c r="AD200">
        <f t="shared" si="14"/>
        <v>477000</v>
      </c>
      <c r="AE200">
        <f t="shared" si="14"/>
        <v>478000</v>
      </c>
      <c r="AF200">
        <f t="shared" si="14"/>
        <v>445000</v>
      </c>
      <c r="AG200">
        <f t="shared" si="14"/>
        <v>454000</v>
      </c>
    </row>
    <row r="201" spans="1:69" x14ac:dyDescent="0.25">
      <c r="A201" t="s">
        <v>367</v>
      </c>
      <c r="B201" t="s">
        <v>327</v>
      </c>
      <c r="E201">
        <v>209000</v>
      </c>
      <c r="F201">
        <v>214000</v>
      </c>
      <c r="G201">
        <v>223000</v>
      </c>
      <c r="H201">
        <v>218000</v>
      </c>
      <c r="I201">
        <v>233000</v>
      </c>
      <c r="J201">
        <v>272000</v>
      </c>
      <c r="K201">
        <v>263000</v>
      </c>
      <c r="L201">
        <v>293000</v>
      </c>
      <c r="M201">
        <v>302000</v>
      </c>
      <c r="N201">
        <v>299000</v>
      </c>
      <c r="O201">
        <v>310000</v>
      </c>
      <c r="P201">
        <v>308000</v>
      </c>
      <c r="Q201">
        <v>313000</v>
      </c>
      <c r="R201">
        <v>305000</v>
      </c>
      <c r="S201">
        <v>329000</v>
      </c>
      <c r="T201">
        <v>357000</v>
      </c>
      <c r="U201">
        <v>392000</v>
      </c>
      <c r="V201">
        <v>416000</v>
      </c>
      <c r="W201">
        <v>404000</v>
      </c>
      <c r="X201">
        <v>379000</v>
      </c>
      <c r="Y201">
        <v>386000</v>
      </c>
      <c r="Z201">
        <v>426000</v>
      </c>
      <c r="AA201">
        <v>447000</v>
      </c>
      <c r="AB201">
        <v>433000</v>
      </c>
      <c r="AC201">
        <v>418000</v>
      </c>
      <c r="AD201">
        <v>438000</v>
      </c>
      <c r="AE201">
        <v>441000</v>
      </c>
      <c r="AF201">
        <v>412000</v>
      </c>
      <c r="AG201">
        <v>423000</v>
      </c>
    </row>
    <row r="202" spans="1:69" x14ac:dyDescent="0.25">
      <c r="A202" t="s">
        <v>368</v>
      </c>
      <c r="B202" t="s">
        <v>327</v>
      </c>
      <c r="E202">
        <v>224000</v>
      </c>
      <c r="F202">
        <v>232000</v>
      </c>
      <c r="G202">
        <v>238000</v>
      </c>
      <c r="H202">
        <v>235000</v>
      </c>
      <c r="I202">
        <v>251000</v>
      </c>
      <c r="J202">
        <v>290000</v>
      </c>
      <c r="K202">
        <v>282000</v>
      </c>
      <c r="L202">
        <v>314000</v>
      </c>
      <c r="M202">
        <v>323000</v>
      </c>
      <c r="N202">
        <v>318000</v>
      </c>
      <c r="O202">
        <v>329000</v>
      </c>
      <c r="P202">
        <v>330000</v>
      </c>
      <c r="Q202">
        <v>340000</v>
      </c>
      <c r="R202">
        <v>328000</v>
      </c>
      <c r="S202">
        <v>348000</v>
      </c>
      <c r="T202">
        <v>375000</v>
      </c>
      <c r="U202">
        <v>412000</v>
      </c>
      <c r="V202">
        <v>438000</v>
      </c>
      <c r="W202">
        <v>426000</v>
      </c>
      <c r="X202">
        <v>404000</v>
      </c>
      <c r="Y202">
        <v>413000</v>
      </c>
      <c r="Z202">
        <v>452000</v>
      </c>
      <c r="AA202">
        <v>477000</v>
      </c>
      <c r="AB202">
        <v>468000</v>
      </c>
      <c r="AC202">
        <v>453000</v>
      </c>
      <c r="AD202">
        <v>477000</v>
      </c>
      <c r="AE202">
        <v>478000</v>
      </c>
      <c r="AF202">
        <v>445000</v>
      </c>
      <c r="AG202">
        <v>454000</v>
      </c>
    </row>
    <row r="203" spans="1:69" x14ac:dyDescent="0.25">
      <c r="A203" t="s">
        <v>369</v>
      </c>
      <c r="B203" t="s">
        <v>142</v>
      </c>
      <c r="E203" s="11">
        <v>14643674.931267885</v>
      </c>
      <c r="F203" s="11">
        <v>14226110.812328145</v>
      </c>
      <c r="G203" s="11">
        <v>13492476.52712371</v>
      </c>
      <c r="H203" s="11">
        <v>13280331.082668224</v>
      </c>
      <c r="I203" s="11">
        <v>12702684.496371185</v>
      </c>
      <c r="J203" s="11">
        <v>13860209.809151115</v>
      </c>
      <c r="K203" s="11">
        <v>14640611.562802857</v>
      </c>
      <c r="L203" s="11">
        <v>14688755.298092401</v>
      </c>
      <c r="M203" s="11">
        <v>16538299.007411262</v>
      </c>
      <c r="N203" s="11">
        <v>17730716.13950536</v>
      </c>
      <c r="O203" s="11">
        <v>17355030.714458548</v>
      </c>
      <c r="P203" s="11">
        <v>17818001.024886843</v>
      </c>
      <c r="Q203" s="11">
        <v>17678155.288284503</v>
      </c>
      <c r="R203" s="11">
        <v>16972399.104253348</v>
      </c>
      <c r="S203" s="11">
        <v>17587835.89054852</v>
      </c>
      <c r="T203" s="11">
        <v>18648391.6209228</v>
      </c>
      <c r="U203" s="11">
        <v>20580691.805783488</v>
      </c>
      <c r="V203" s="11">
        <v>22776081.657241259</v>
      </c>
      <c r="W203" s="11">
        <v>23076039.863330547</v>
      </c>
      <c r="X203" s="11">
        <v>22225308.649488669</v>
      </c>
      <c r="Y203" s="11">
        <v>23091061.215630483</v>
      </c>
      <c r="Z203" s="11">
        <v>24156882.687047753</v>
      </c>
      <c r="AA203" s="11">
        <v>25036870.403128054</v>
      </c>
      <c r="AB203" s="11">
        <v>24549576.616170555</v>
      </c>
      <c r="AC203" s="11">
        <v>24340499.841357533</v>
      </c>
      <c r="AD203" s="11">
        <v>24851160.720602136</v>
      </c>
      <c r="AE203" s="11">
        <v>24800000</v>
      </c>
      <c r="AF203" s="11">
        <v>23160000</v>
      </c>
    </row>
    <row r="204" spans="1:69" x14ac:dyDescent="0.25">
      <c r="A204" t="str">
        <f>'Intermediate calcs'!A4</f>
        <v>Wealth (GVA)</v>
      </c>
      <c r="B204" t="str">
        <f>'Intermediate calcs'!B4</f>
        <v>GVA/capita</v>
      </c>
      <c r="E204">
        <f>'Intermediate calcs'!C4</f>
        <v>7.3995172186341224E-6</v>
      </c>
      <c r="F204">
        <f>'Intermediate calcs'!D4</f>
        <v>8.3160321270873128E-6</v>
      </c>
      <c r="G204">
        <f>'Intermediate calcs'!E4</f>
        <v>9.1809688444329608E-6</v>
      </c>
      <c r="H204">
        <f>'Intermediate calcs'!F4</f>
        <v>1.0183063676790614E-5</v>
      </c>
      <c r="I204">
        <f>'Intermediate calcs'!G4</f>
        <v>1.1198558803003417E-5</v>
      </c>
      <c r="J204">
        <f>'Intermediate calcs'!H4</f>
        <v>1.2456004786976505E-5</v>
      </c>
      <c r="K204">
        <f>'Intermediate calcs'!I4</f>
        <v>1.5023575074943164E-5</v>
      </c>
      <c r="L204">
        <f>'Intermediate calcs'!J4</f>
        <v>1.4993976964585091E-5</v>
      </c>
      <c r="M204">
        <f>'Intermediate calcs'!K4</f>
        <v>1.5889974557177216E-5</v>
      </c>
      <c r="N204">
        <f>'Intermediate calcs'!L4</f>
        <v>1.7139534783540361E-5</v>
      </c>
      <c r="O204">
        <f>'Intermediate calcs'!M4</f>
        <v>1.9178073296508686E-5</v>
      </c>
      <c r="P204">
        <f>'Intermediate calcs'!N4</f>
        <v>2.0941920561623974E-5</v>
      </c>
      <c r="Q204">
        <f>'Intermediate calcs'!O4</f>
        <v>2.4092156096673536E-5</v>
      </c>
      <c r="R204">
        <f>'Intermediate calcs'!P4</f>
        <v>2.5864721644610491E-5</v>
      </c>
      <c r="S204">
        <f>'Intermediate calcs'!Q4</f>
        <v>2.816463639110616E-5</v>
      </c>
      <c r="T204">
        <f>'Intermediate calcs'!R4</f>
        <v>3.0685475313895917E-5</v>
      </c>
      <c r="U204">
        <f>'Intermediate calcs'!S4</f>
        <v>3.3867608215633009E-5</v>
      </c>
      <c r="V204">
        <f>'Intermediate calcs'!T4</f>
        <v>3.8369935813406575E-5</v>
      </c>
      <c r="W204">
        <f>'Intermediate calcs'!U4</f>
        <v>4.2933160137438985E-5</v>
      </c>
      <c r="X204">
        <f>'Intermediate calcs'!V4</f>
        <v>4.5112536477249022E-5</v>
      </c>
      <c r="Y204">
        <f>'Intermediate calcs'!W4</f>
        <v>4.8711594853611398E-5</v>
      </c>
      <c r="Z204">
        <f>'Intermediate calcs'!X4</f>
        <v>5.2388104554380752E-5</v>
      </c>
      <c r="AA204">
        <f>'Intermediate calcs'!Y4</f>
        <v>7.2008674666107316E-5</v>
      </c>
      <c r="AB204">
        <f>'Intermediate calcs'!Z4</f>
        <v>7.3128862350936422E-5</v>
      </c>
      <c r="AC204">
        <f>'Intermediate calcs'!AA4</f>
        <v>7.3832053087208803E-5</v>
      </c>
      <c r="AD204">
        <f>'Intermediate calcs'!AB4</f>
        <v>7.4099569652362116E-5</v>
      </c>
      <c r="AE204">
        <f>'Intermediate calcs'!AC4</f>
        <v>7.3966728660027013E-5</v>
      </c>
      <c r="AF204">
        <f>'Intermediate calcs'!AD4</f>
        <v>7.4125058503467776E-5</v>
      </c>
      <c r="AG204">
        <f>'Intermediate calcs'!AE4</f>
        <v>7.4164408302538267E-5</v>
      </c>
    </row>
    <row r="205" spans="1:69" x14ac:dyDescent="0.25">
      <c r="A205" t="s">
        <v>367</v>
      </c>
      <c r="B205" t="s">
        <v>328</v>
      </c>
      <c r="E205">
        <f>E201/Drivers!D4</f>
        <v>5.6792692731505428E-3</v>
      </c>
      <c r="F205">
        <f>F201/Drivers!E4</f>
        <v>5.6735407533878863E-3</v>
      </c>
      <c r="G205">
        <f>G201/Drivers!F4</f>
        <v>5.7663554980919695E-3</v>
      </c>
      <c r="H205">
        <f>H201/Drivers!G4</f>
        <v>5.5003626959346519E-3</v>
      </c>
      <c r="I205">
        <f>I201/Drivers!H4</f>
        <v>5.7440011119202841E-3</v>
      </c>
      <c r="J205">
        <f>J201/Drivers!I4</f>
        <v>6.5643785254272408E-3</v>
      </c>
      <c r="K205">
        <f>K201/Drivers!J4</f>
        <v>6.2261767361581379E-3</v>
      </c>
      <c r="L205">
        <f>L201/Drivers!K4</f>
        <v>6.8159410484838825E-3</v>
      </c>
      <c r="M205">
        <f>M201/Drivers!L4</f>
        <v>6.9135617067431947E-3</v>
      </c>
      <c r="N205">
        <f>N201/Drivers!M4</f>
        <v>6.7435684569066689E-3</v>
      </c>
      <c r="O205">
        <f>O201/Drivers!N4</f>
        <v>6.8938359055347002E-3</v>
      </c>
      <c r="P205">
        <f>P201/Drivers!O4</f>
        <v>6.7586436139573363E-3</v>
      </c>
      <c r="Q205">
        <f>Q201/Drivers!P4</f>
        <v>6.7820976802777447E-3</v>
      </c>
      <c r="R205">
        <f>R201/Drivers!Q4</f>
        <v>6.5283657706780738E-3</v>
      </c>
      <c r="S205">
        <f>S201/Drivers!R4</f>
        <v>6.9568365297776923E-3</v>
      </c>
      <c r="T205">
        <f>T201/Drivers!S4</f>
        <v>7.456046760983639E-3</v>
      </c>
      <c r="U205">
        <f>U201/Drivers!T4</f>
        <v>8.0842312552920001E-3</v>
      </c>
      <c r="V205">
        <f>V201/Drivers!U4</f>
        <v>8.4690969269617146E-3</v>
      </c>
      <c r="W205">
        <f>W201/Drivers!V4</f>
        <v>8.1157953647197252E-3</v>
      </c>
      <c r="X205">
        <f>X201/Drivers!W4</f>
        <v>7.5083685125492076E-3</v>
      </c>
      <c r="Y205">
        <f>Y201/Drivers!X4</f>
        <v>7.5365654239091563E-3</v>
      </c>
      <c r="Z205">
        <f>Z201/Drivers!Y4</f>
        <v>8.191650469889223E-3</v>
      </c>
      <c r="AA205">
        <f>AA201/Drivers!Z4</f>
        <v>8.4288113008817115E-3</v>
      </c>
      <c r="AB205">
        <f>AB201/Drivers!AA4</f>
        <v>8.0913394369000174E-3</v>
      </c>
      <c r="AC205">
        <f>AC201/Drivers!AB4</f>
        <v>7.7407407407407407E-3</v>
      </c>
      <c r="AD205">
        <f>AD201/Drivers!AC4</f>
        <v>8.0381122504390948E-3</v>
      </c>
      <c r="AE205">
        <f>AE201/Drivers!AD4</f>
        <v>8.0145547134137293E-3</v>
      </c>
      <c r="AF205">
        <f>AF201/Drivers!AE4</f>
        <v>7.4154900355637762E-3</v>
      </c>
      <c r="AG205">
        <f>AG201/Drivers!AF4</f>
        <v>7.5409321287873594E-3</v>
      </c>
    </row>
    <row r="224" spans="1:69" s="19" customFormat="1" ht="29.25" customHeight="1" x14ac:dyDescent="0.25">
      <c r="A224" s="17" t="s">
        <v>335</v>
      </c>
      <c r="B224" s="17" t="s">
        <v>0</v>
      </c>
      <c r="C224" s="17" t="s">
        <v>287</v>
      </c>
      <c r="D224" s="18" t="s">
        <v>313</v>
      </c>
      <c r="E224" s="17">
        <v>1990</v>
      </c>
      <c r="F224" s="17">
        <v>1991</v>
      </c>
      <c r="G224" s="17">
        <v>1992</v>
      </c>
      <c r="H224" s="17">
        <v>1993</v>
      </c>
      <c r="I224" s="17">
        <v>1994</v>
      </c>
      <c r="J224" s="17">
        <v>1995</v>
      </c>
      <c r="K224" s="17">
        <v>1996</v>
      </c>
      <c r="L224" s="17">
        <v>1997</v>
      </c>
      <c r="M224" s="17">
        <v>1998</v>
      </c>
      <c r="N224" s="17">
        <v>1999</v>
      </c>
      <c r="O224" s="17">
        <v>2000</v>
      </c>
      <c r="P224" s="17">
        <v>2001</v>
      </c>
      <c r="Q224" s="17">
        <v>2002</v>
      </c>
      <c r="R224" s="17">
        <v>2003</v>
      </c>
      <c r="S224" s="17">
        <v>2004</v>
      </c>
      <c r="T224" s="17">
        <v>2005</v>
      </c>
      <c r="U224" s="17">
        <v>2006</v>
      </c>
      <c r="V224" s="17">
        <v>2007</v>
      </c>
      <c r="W224" s="17">
        <v>2008</v>
      </c>
      <c r="X224" s="17">
        <v>2009</v>
      </c>
      <c r="Y224" s="17">
        <v>2010</v>
      </c>
      <c r="Z224" s="17">
        <v>2011</v>
      </c>
      <c r="AA224" s="17">
        <v>2012</v>
      </c>
      <c r="AB224" s="17">
        <v>2013</v>
      </c>
      <c r="AC224" s="17">
        <v>2014</v>
      </c>
      <c r="AD224" s="17">
        <v>2015</v>
      </c>
      <c r="AE224" s="17">
        <v>2016</v>
      </c>
      <c r="AF224" s="17">
        <v>2017</v>
      </c>
      <c r="AG224" s="17">
        <v>2018</v>
      </c>
      <c r="AH224" s="17">
        <v>2019</v>
      </c>
      <c r="AI224" s="17">
        <v>2020</v>
      </c>
      <c r="AJ224" s="17">
        <v>2021</v>
      </c>
      <c r="AK224" s="17">
        <v>2022</v>
      </c>
      <c r="AL224" s="17">
        <v>2023</v>
      </c>
      <c r="AM224" s="17">
        <v>2024</v>
      </c>
      <c r="AN224" s="17">
        <v>2025</v>
      </c>
      <c r="AO224" s="17">
        <v>2026</v>
      </c>
      <c r="AP224" s="17">
        <v>2027</v>
      </c>
      <c r="AQ224" s="17">
        <v>2028</v>
      </c>
      <c r="AR224" s="17">
        <v>2029</v>
      </c>
      <c r="AS224" s="17">
        <v>2030</v>
      </c>
      <c r="AT224" s="17">
        <v>2031</v>
      </c>
      <c r="AU224" s="17">
        <v>2032</v>
      </c>
      <c r="AV224" s="17">
        <v>2033</v>
      </c>
      <c r="AW224" s="17">
        <v>2034</v>
      </c>
      <c r="AX224" s="17">
        <v>2035</v>
      </c>
      <c r="AY224" s="17">
        <v>2036</v>
      </c>
      <c r="AZ224" s="17">
        <v>2037</v>
      </c>
      <c r="BA224" s="17">
        <v>2038</v>
      </c>
      <c r="BB224" s="17">
        <v>2039</v>
      </c>
      <c r="BC224" s="17">
        <v>2040</v>
      </c>
      <c r="BD224" s="17">
        <v>2041</v>
      </c>
      <c r="BE224" s="17">
        <v>2042</v>
      </c>
      <c r="BF224" s="17">
        <v>2043</v>
      </c>
      <c r="BG224" s="17">
        <v>2044</v>
      </c>
      <c r="BH224" s="17">
        <v>2045</v>
      </c>
      <c r="BI224" s="17">
        <v>2046</v>
      </c>
      <c r="BJ224" s="17">
        <v>2047</v>
      </c>
      <c r="BK224" s="17">
        <v>2048</v>
      </c>
      <c r="BL224" s="17">
        <v>2049</v>
      </c>
      <c r="BM224" s="17">
        <v>2050</v>
      </c>
      <c r="BP224" s="18" t="s">
        <v>312</v>
      </c>
      <c r="BQ224" s="17" t="s">
        <v>286</v>
      </c>
    </row>
    <row r="225" spans="1:65" ht="15.75" x14ac:dyDescent="0.25">
      <c r="A225" s="20" t="s">
        <v>371</v>
      </c>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c r="AG225" s="20"/>
      <c r="AH225" s="20"/>
      <c r="AI225" s="20"/>
      <c r="AJ225" s="20"/>
      <c r="AK225" s="20"/>
      <c r="AL225" s="20"/>
      <c r="AM225" s="20"/>
      <c r="AN225" s="20"/>
      <c r="AO225" s="20"/>
      <c r="AP225" s="20"/>
      <c r="AQ225" s="20"/>
      <c r="AR225" s="20"/>
      <c r="AS225" s="20"/>
      <c r="AT225" s="20"/>
      <c r="AU225" s="20"/>
      <c r="AV225" s="20"/>
      <c r="AW225" s="20"/>
      <c r="AX225" s="20"/>
      <c r="AY225" s="20"/>
      <c r="AZ225" s="20"/>
      <c r="BA225" s="20"/>
      <c r="BB225" s="20"/>
      <c r="BC225" s="20"/>
      <c r="BD225" s="20"/>
      <c r="BE225" s="20"/>
      <c r="BF225" s="20"/>
      <c r="BG225" s="20"/>
      <c r="BH225" s="20"/>
      <c r="BI225" s="20"/>
      <c r="BJ225" s="20"/>
      <c r="BK225" s="20"/>
      <c r="BL225" s="20"/>
      <c r="BM225" s="20"/>
    </row>
    <row r="226" spans="1:65" x14ac:dyDescent="0.25">
      <c r="A226" t="s">
        <v>372</v>
      </c>
      <c r="B226" t="s">
        <v>327</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row>
    <row r="227" spans="1:65" x14ac:dyDescent="0.25">
      <c r="A227" t="s">
        <v>373</v>
      </c>
      <c r="B227" t="s">
        <v>327</v>
      </c>
      <c r="E227">
        <f t="shared" ref="E227:AG227" si="15">E230+E226</f>
        <v>609000</v>
      </c>
      <c r="F227">
        <f t="shared" si="15"/>
        <v>593000</v>
      </c>
      <c r="G227">
        <f t="shared" si="15"/>
        <v>564000</v>
      </c>
      <c r="H227">
        <f t="shared" si="15"/>
        <v>577000</v>
      </c>
      <c r="I227">
        <f t="shared" si="15"/>
        <v>607000</v>
      </c>
      <c r="J227">
        <f t="shared" si="15"/>
        <v>647000</v>
      </c>
      <c r="K227">
        <f t="shared" si="15"/>
        <v>699000</v>
      </c>
      <c r="L227">
        <f t="shared" si="15"/>
        <v>753000</v>
      </c>
      <c r="M227">
        <f t="shared" si="15"/>
        <v>777000</v>
      </c>
      <c r="N227">
        <f t="shared" si="15"/>
        <v>803000</v>
      </c>
      <c r="O227">
        <f t="shared" si="15"/>
        <v>850000</v>
      </c>
      <c r="P227">
        <f t="shared" si="15"/>
        <v>869000</v>
      </c>
      <c r="Q227">
        <f t="shared" si="15"/>
        <v>896000</v>
      </c>
      <c r="R227">
        <f t="shared" si="15"/>
        <v>925000</v>
      </c>
      <c r="S227">
        <f t="shared" si="15"/>
        <v>1043000</v>
      </c>
      <c r="T227">
        <f t="shared" si="15"/>
        <v>1273000</v>
      </c>
      <c r="U227">
        <f t="shared" si="15"/>
        <v>1427000</v>
      </c>
      <c r="V227">
        <f t="shared" si="15"/>
        <v>1499000</v>
      </c>
      <c r="W227">
        <f t="shared" si="15"/>
        <v>1584000</v>
      </c>
      <c r="X227">
        <f t="shared" si="15"/>
        <v>1644000</v>
      </c>
      <c r="Y227">
        <f t="shared" si="15"/>
        <v>1681000</v>
      </c>
      <c r="Z227">
        <f t="shared" si="15"/>
        <v>1721000</v>
      </c>
      <c r="AA227">
        <f t="shared" si="15"/>
        <v>1681000</v>
      </c>
      <c r="AB227">
        <f t="shared" si="15"/>
        <v>1691000</v>
      </c>
      <c r="AC227">
        <f t="shared" si="15"/>
        <v>1668000</v>
      </c>
      <c r="AD227">
        <f t="shared" si="15"/>
        <v>1709000</v>
      </c>
      <c r="AE227">
        <f t="shared" si="15"/>
        <v>1704000</v>
      </c>
      <c r="AF227">
        <f t="shared" si="15"/>
        <v>1663000</v>
      </c>
      <c r="AG227">
        <f t="shared" si="15"/>
        <v>1702000</v>
      </c>
    </row>
    <row r="228" spans="1:65" x14ac:dyDescent="0.25">
      <c r="A228" t="s">
        <v>3</v>
      </c>
      <c r="B228" t="s">
        <v>779</v>
      </c>
      <c r="E228">
        <f>Drivers!D4</f>
        <v>36800509</v>
      </c>
      <c r="F228">
        <f>Drivers!E4</f>
        <v>37718950</v>
      </c>
      <c r="G228">
        <f>Drivers!F4</f>
        <v>38672607</v>
      </c>
      <c r="H228">
        <f>Drivers!G4</f>
        <v>39633750</v>
      </c>
      <c r="I228">
        <f>Drivers!H4</f>
        <v>40564059</v>
      </c>
      <c r="J228">
        <f>Drivers!I4</f>
        <v>41435758</v>
      </c>
      <c r="K228">
        <f>Drivers!J4</f>
        <v>42241011</v>
      </c>
      <c r="L228">
        <f>Drivers!K4</f>
        <v>42987461</v>
      </c>
      <c r="M228">
        <f>Drivers!L4</f>
        <v>43682260</v>
      </c>
      <c r="N228">
        <f>Drivers!M4</f>
        <v>44338543</v>
      </c>
      <c r="O228">
        <f>Drivers!N4</f>
        <v>44967708</v>
      </c>
      <c r="P228">
        <f>Drivers!O4</f>
        <v>45571274</v>
      </c>
      <c r="Q228">
        <f>Drivers!P4</f>
        <v>46150913</v>
      </c>
      <c r="R228">
        <f>Drivers!Q4</f>
        <v>46719196</v>
      </c>
      <c r="S228">
        <f>Drivers!R4</f>
        <v>47291610</v>
      </c>
      <c r="T228">
        <f>Drivers!S4</f>
        <v>47880601</v>
      </c>
      <c r="U228">
        <f>Drivers!T4</f>
        <v>48489459</v>
      </c>
      <c r="V228">
        <f>Drivers!U4</f>
        <v>49119759</v>
      </c>
      <c r="W228">
        <f>Drivers!V4</f>
        <v>49779471</v>
      </c>
      <c r="X228">
        <f>Drivers!W4</f>
        <v>50477011</v>
      </c>
      <c r="Y228">
        <f>Drivers!X4</f>
        <v>51216964</v>
      </c>
      <c r="Z228">
        <f>Drivers!Y4</f>
        <v>52004172</v>
      </c>
      <c r="AA228">
        <f>Drivers!Z4</f>
        <v>53032389.033699296</v>
      </c>
      <c r="AB228">
        <f>Drivers!AA4</f>
        <v>53514007.585114054</v>
      </c>
      <c r="AC228">
        <f>Drivers!AB4</f>
        <v>54000000</v>
      </c>
      <c r="AD228">
        <f>Drivers!AC4</f>
        <v>54490406</v>
      </c>
      <c r="AE228">
        <f>Drivers!AD4</f>
        <v>55024891.060000002</v>
      </c>
      <c r="AF228">
        <f>Drivers!AE4</f>
        <v>55559376.119999997</v>
      </c>
      <c r="AG228">
        <f>Drivers!AF4</f>
        <v>56093861.18</v>
      </c>
    </row>
    <row r="229" spans="1:65" x14ac:dyDescent="0.25">
      <c r="A229" t="s">
        <v>374</v>
      </c>
      <c r="B229" t="s">
        <v>327</v>
      </c>
      <c r="E229">
        <v>605000</v>
      </c>
      <c r="F229">
        <v>593000</v>
      </c>
      <c r="G229">
        <v>571000</v>
      </c>
      <c r="H229">
        <v>580000</v>
      </c>
      <c r="I229">
        <v>609000</v>
      </c>
      <c r="J229">
        <v>662000</v>
      </c>
      <c r="K229">
        <v>738000</v>
      </c>
      <c r="L229">
        <v>826000</v>
      </c>
      <c r="M229">
        <v>854000</v>
      </c>
      <c r="N229">
        <v>874000</v>
      </c>
      <c r="O229">
        <v>927000</v>
      </c>
      <c r="P229">
        <v>938000</v>
      </c>
      <c r="Q229">
        <v>965000</v>
      </c>
      <c r="R229">
        <v>1032000</v>
      </c>
      <c r="S229">
        <v>1196000</v>
      </c>
      <c r="T229">
        <v>1455000</v>
      </c>
      <c r="U229">
        <v>1664000</v>
      </c>
      <c r="V229">
        <v>1767000</v>
      </c>
      <c r="W229">
        <v>1813000</v>
      </c>
      <c r="X229">
        <v>1841000</v>
      </c>
      <c r="Y229">
        <v>1887000</v>
      </c>
      <c r="Z229">
        <v>1987000</v>
      </c>
      <c r="AA229">
        <v>2048000</v>
      </c>
      <c r="AB229">
        <v>2061000</v>
      </c>
      <c r="AC229">
        <v>2015000</v>
      </c>
      <c r="AD229">
        <v>2076000</v>
      </c>
      <c r="AE229">
        <v>2200000</v>
      </c>
      <c r="AF229">
        <v>2155000</v>
      </c>
      <c r="AG229">
        <v>2392000</v>
      </c>
    </row>
    <row r="230" spans="1:65" x14ac:dyDescent="0.25">
      <c r="A230" t="s">
        <v>375</v>
      </c>
      <c r="B230" t="s">
        <v>327</v>
      </c>
      <c r="E230">
        <v>609000</v>
      </c>
      <c r="F230">
        <v>593000</v>
      </c>
      <c r="G230">
        <v>564000</v>
      </c>
      <c r="H230">
        <v>577000</v>
      </c>
      <c r="I230">
        <v>607000</v>
      </c>
      <c r="J230">
        <v>647000</v>
      </c>
      <c r="K230">
        <v>699000</v>
      </c>
      <c r="L230">
        <v>753000</v>
      </c>
      <c r="M230">
        <v>777000</v>
      </c>
      <c r="N230">
        <v>803000</v>
      </c>
      <c r="O230">
        <v>850000</v>
      </c>
      <c r="P230">
        <v>869000</v>
      </c>
      <c r="Q230">
        <v>896000</v>
      </c>
      <c r="R230">
        <v>925000</v>
      </c>
      <c r="S230">
        <v>1043000</v>
      </c>
      <c r="T230">
        <v>1273000</v>
      </c>
      <c r="U230">
        <v>1427000</v>
      </c>
      <c r="V230">
        <v>1499000</v>
      </c>
      <c r="W230">
        <v>1584000</v>
      </c>
      <c r="X230">
        <v>1644000</v>
      </c>
      <c r="Y230">
        <v>1681000</v>
      </c>
      <c r="Z230">
        <v>1721000</v>
      </c>
      <c r="AA230">
        <v>1681000</v>
      </c>
      <c r="AB230">
        <v>1691000</v>
      </c>
      <c r="AC230">
        <v>1668000</v>
      </c>
      <c r="AD230">
        <v>1709000</v>
      </c>
      <c r="AE230">
        <v>1704000</v>
      </c>
      <c r="AF230">
        <v>1663000</v>
      </c>
      <c r="AG230">
        <v>1702000</v>
      </c>
    </row>
    <row r="231" spans="1:65" x14ac:dyDescent="0.25">
      <c r="A231" t="s">
        <v>376</v>
      </c>
      <c r="B231" t="s">
        <v>142</v>
      </c>
      <c r="E231" s="11">
        <v>40304488.125775687</v>
      </c>
      <c r="F231" s="11">
        <v>37886218.887128815</v>
      </c>
      <c r="G231" s="11">
        <v>35805187.036307976</v>
      </c>
      <c r="H231" s="11">
        <v>40268107.368938237</v>
      </c>
      <c r="I231" s="11">
        <v>39890443.299430735</v>
      </c>
      <c r="J231" s="11">
        <v>45660443.796231762</v>
      </c>
      <c r="K231" s="11">
        <v>53091326.838711366</v>
      </c>
      <c r="L231" s="11">
        <v>54040901.985378392</v>
      </c>
      <c r="M231" s="11">
        <v>59214394.697576575</v>
      </c>
      <c r="N231" s="11">
        <v>61819163.842046939</v>
      </c>
      <c r="O231" s="11">
        <v>66512864.907880791</v>
      </c>
      <c r="P231" s="11">
        <v>64225159.968942329</v>
      </c>
      <c r="Q231" s="11">
        <v>71182309.580183759</v>
      </c>
      <c r="R231" s="11">
        <v>67705122.244331256</v>
      </c>
      <c r="S231" s="11">
        <v>69339582.95804137</v>
      </c>
      <c r="T231" s="11">
        <v>76722494.212373629</v>
      </c>
      <c r="U231" s="11">
        <v>82061878.307196394</v>
      </c>
      <c r="V231" s="11">
        <v>85859218.536646262</v>
      </c>
      <c r="W231" s="11">
        <v>91416754.470852047</v>
      </c>
      <c r="X231" s="11">
        <v>86261715.79298</v>
      </c>
      <c r="Y231" s="11">
        <v>88431266.728296682</v>
      </c>
      <c r="Z231" s="11">
        <v>91461113.859690607</v>
      </c>
      <c r="AA231" s="11">
        <v>93498642.184348121</v>
      </c>
      <c r="AB231" s="11">
        <v>91051385.328801513</v>
      </c>
      <c r="AC231" s="11">
        <v>95192509.839774087</v>
      </c>
      <c r="AD231" s="11">
        <v>99033153.399708137</v>
      </c>
      <c r="AE231" s="11">
        <v>92093884</v>
      </c>
      <c r="AF231" s="11">
        <v>91976041</v>
      </c>
    </row>
    <row r="232" spans="1:65" x14ac:dyDescent="0.25">
      <c r="A232" t="str">
        <f>'Intermediate calcs'!A4</f>
        <v>Wealth (GVA)</v>
      </c>
      <c r="B232" t="str">
        <f>'Intermediate calcs'!B4</f>
        <v>GVA/capita</v>
      </c>
      <c r="E232">
        <f>'Intermediate calcs'!C4</f>
        <v>7.3995172186341224E-6</v>
      </c>
      <c r="F232">
        <f>'Intermediate calcs'!D4</f>
        <v>8.3160321270873128E-6</v>
      </c>
      <c r="G232">
        <f>'Intermediate calcs'!E4</f>
        <v>9.1809688444329608E-6</v>
      </c>
      <c r="H232">
        <f>'Intermediate calcs'!F4</f>
        <v>1.0183063676790614E-5</v>
      </c>
      <c r="I232">
        <f>'Intermediate calcs'!G4</f>
        <v>1.1198558803003417E-5</v>
      </c>
      <c r="J232">
        <f>'Intermediate calcs'!H4</f>
        <v>1.2456004786976505E-5</v>
      </c>
      <c r="K232">
        <f>'Intermediate calcs'!I4</f>
        <v>1.5023575074943164E-5</v>
      </c>
      <c r="L232">
        <f>'Intermediate calcs'!J4</f>
        <v>1.4993976964585091E-5</v>
      </c>
      <c r="M232">
        <f>'Intermediate calcs'!K4</f>
        <v>1.5889974557177216E-5</v>
      </c>
      <c r="N232">
        <f>'Intermediate calcs'!L4</f>
        <v>1.7139534783540361E-5</v>
      </c>
      <c r="O232">
        <f>'Intermediate calcs'!M4</f>
        <v>1.9178073296508686E-5</v>
      </c>
      <c r="P232">
        <f>'Intermediate calcs'!N4</f>
        <v>2.0941920561623974E-5</v>
      </c>
      <c r="Q232">
        <f>'Intermediate calcs'!O4</f>
        <v>2.4092156096673536E-5</v>
      </c>
      <c r="R232">
        <f>'Intermediate calcs'!P4</f>
        <v>2.5864721644610491E-5</v>
      </c>
      <c r="S232">
        <f>'Intermediate calcs'!Q4</f>
        <v>2.816463639110616E-5</v>
      </c>
      <c r="T232">
        <f>'Intermediate calcs'!R4</f>
        <v>3.0685475313895917E-5</v>
      </c>
      <c r="U232">
        <f>'Intermediate calcs'!S4</f>
        <v>3.3867608215633009E-5</v>
      </c>
      <c r="V232">
        <f>'Intermediate calcs'!T4</f>
        <v>3.8369935813406575E-5</v>
      </c>
      <c r="W232">
        <f>'Intermediate calcs'!U4</f>
        <v>4.2933160137438985E-5</v>
      </c>
      <c r="X232">
        <f>'Intermediate calcs'!V4</f>
        <v>4.5112536477249022E-5</v>
      </c>
      <c r="Y232">
        <f>'Intermediate calcs'!W4</f>
        <v>4.8711594853611398E-5</v>
      </c>
      <c r="Z232">
        <f>'Intermediate calcs'!X4</f>
        <v>5.2388104554380752E-5</v>
      </c>
      <c r="AA232">
        <f>'Intermediate calcs'!Y4</f>
        <v>7.2008674666107316E-5</v>
      </c>
      <c r="AB232">
        <f>'Intermediate calcs'!Z4</f>
        <v>7.3128862350936422E-5</v>
      </c>
      <c r="AC232">
        <f>'Intermediate calcs'!AA4</f>
        <v>7.3832053087208803E-5</v>
      </c>
      <c r="AD232">
        <f>'Intermediate calcs'!AB4</f>
        <v>7.4099569652362116E-5</v>
      </c>
      <c r="AE232">
        <f>'Intermediate calcs'!AC4</f>
        <v>7.3966728660027013E-5</v>
      </c>
      <c r="AF232">
        <f>'Intermediate calcs'!AD4</f>
        <v>7.4125058503467776E-5</v>
      </c>
      <c r="AG232">
        <f>'Intermediate calcs'!AE4</f>
        <v>7.4164408302538267E-5</v>
      </c>
    </row>
    <row r="233" spans="1:65" x14ac:dyDescent="0.25">
      <c r="A233" t="s">
        <v>374</v>
      </c>
      <c r="B233" t="s">
        <v>328</v>
      </c>
      <c r="E233">
        <f>E229/Drivers!D4</f>
        <v>1.6439990001225254E-2</v>
      </c>
      <c r="F233">
        <f>F229/Drivers!E4</f>
        <v>1.5721540498873907E-2</v>
      </c>
      <c r="G233">
        <f>G229/Drivers!F4</f>
        <v>1.4764973046683923E-2</v>
      </c>
      <c r="H233">
        <f>H229/Drivers!G4</f>
        <v>1.4633992493771092E-2</v>
      </c>
      <c r="I233">
        <f>I229/Drivers!H4</f>
        <v>1.5013290459911816E-2</v>
      </c>
      <c r="J233">
        <f>J229/Drivers!I4</f>
        <v>1.5976538911150123E-2</v>
      </c>
      <c r="K233">
        <f>K229/Drivers!J4</f>
        <v>1.7471172742527397E-2</v>
      </c>
      <c r="L233">
        <f>L229/Drivers!K4</f>
        <v>1.9214905481391424E-2</v>
      </c>
      <c r="M233">
        <f>M229/Drivers!L4</f>
        <v>1.9550270521717511E-2</v>
      </c>
      <c r="N233">
        <f>N229/Drivers!M4</f>
        <v>1.9711969335573339E-2</v>
      </c>
      <c r="O233">
        <f>O229/Drivers!N4</f>
        <v>2.0614793175582798E-2</v>
      </c>
      <c r="P233">
        <f>P229/Drivers!O4</f>
        <v>2.0583141915233708E-2</v>
      </c>
      <c r="Q233">
        <f>Q229/Drivers!P4</f>
        <v>2.0909662177214131E-2</v>
      </c>
      <c r="R233">
        <f>R229/Drivers!Q4</f>
        <v>2.2089421230622203E-2</v>
      </c>
      <c r="S233">
        <f>S229/Drivers!R4</f>
        <v>2.5289898144723769E-2</v>
      </c>
      <c r="T233">
        <f>T229/Drivers!S4</f>
        <v>3.0388089740143405E-2</v>
      </c>
      <c r="U233">
        <f>U229/Drivers!T4</f>
        <v>3.4316736757157879E-2</v>
      </c>
      <c r="V233">
        <f>V229/Drivers!U4</f>
        <v>3.5973303533512857E-2</v>
      </c>
      <c r="W233">
        <f>W229/Drivers!V4</f>
        <v>3.6420636129299161E-2</v>
      </c>
      <c r="X233">
        <f>X229/Drivers!W4</f>
        <v>3.6472048632198134E-2</v>
      </c>
      <c r="Y233">
        <f>Y229/Drivers!X4</f>
        <v>3.6843261541234656E-2</v>
      </c>
      <c r="Z233">
        <f>Z229/Drivers!Y4</f>
        <v>3.8208472966361234E-2</v>
      </c>
      <c r="AA233">
        <f>AA229/Drivers!Z4</f>
        <v>3.8617909494867438E-2</v>
      </c>
      <c r="AB233">
        <f>AB229/Drivers!AA4</f>
        <v>3.8513280783951352E-2</v>
      </c>
      <c r="AC233">
        <f>AC229/Drivers!AB4</f>
        <v>3.7314814814814815E-2</v>
      </c>
      <c r="AD233">
        <f>AD229/Drivers!AC4</f>
        <v>3.8098449844546946E-2</v>
      </c>
      <c r="AE233">
        <f>AE229/Drivers!AD4</f>
        <v>3.9981905599796384E-2</v>
      </c>
      <c r="AF233">
        <f>AF229/Drivers!AE4</f>
        <v>3.878733258893189E-2</v>
      </c>
      <c r="AG233">
        <f>AG229/Drivers!AF4</f>
        <v>4.2642812416215987E-2</v>
      </c>
    </row>
    <row r="252" spans="1:69" s="19" customFormat="1" ht="29.25" customHeight="1" x14ac:dyDescent="0.25">
      <c r="A252" s="17" t="s">
        <v>335</v>
      </c>
      <c r="B252" s="17" t="s">
        <v>0</v>
      </c>
      <c r="C252" s="17" t="s">
        <v>287</v>
      </c>
      <c r="D252" s="18" t="s">
        <v>313</v>
      </c>
      <c r="E252" s="17">
        <v>1990</v>
      </c>
      <c r="F252" s="17">
        <v>1991</v>
      </c>
      <c r="G252" s="17">
        <v>1992</v>
      </c>
      <c r="H252" s="17">
        <v>1993</v>
      </c>
      <c r="I252" s="17">
        <v>1994</v>
      </c>
      <c r="J252" s="17">
        <v>1995</v>
      </c>
      <c r="K252" s="17">
        <v>1996</v>
      </c>
      <c r="L252" s="17">
        <v>1997</v>
      </c>
      <c r="M252" s="17">
        <v>1998</v>
      </c>
      <c r="N252" s="17">
        <v>1999</v>
      </c>
      <c r="O252" s="17">
        <v>2000</v>
      </c>
      <c r="P252" s="17">
        <v>2001</v>
      </c>
      <c r="Q252" s="17">
        <v>2002</v>
      </c>
      <c r="R252" s="17">
        <v>2003</v>
      </c>
      <c r="S252" s="17">
        <v>2004</v>
      </c>
      <c r="T252" s="17">
        <v>2005</v>
      </c>
      <c r="U252" s="17">
        <v>2006</v>
      </c>
      <c r="V252" s="17">
        <v>2007</v>
      </c>
      <c r="W252" s="17">
        <v>2008</v>
      </c>
      <c r="X252" s="17">
        <v>2009</v>
      </c>
      <c r="Y252" s="17">
        <v>2010</v>
      </c>
      <c r="Z252" s="17">
        <v>2011</v>
      </c>
      <c r="AA252" s="17">
        <v>2012</v>
      </c>
      <c r="AB252" s="17">
        <v>2013</v>
      </c>
      <c r="AC252" s="17">
        <v>2014</v>
      </c>
      <c r="AD252" s="17">
        <v>2015</v>
      </c>
      <c r="AE252" s="17">
        <v>2016</v>
      </c>
      <c r="AF252" s="17">
        <v>2017</v>
      </c>
      <c r="AG252" s="17">
        <v>2018</v>
      </c>
      <c r="AH252" s="17">
        <v>2019</v>
      </c>
      <c r="AI252" s="17">
        <v>2020</v>
      </c>
      <c r="AJ252" s="17">
        <v>2021</v>
      </c>
      <c r="AK252" s="17">
        <v>2022</v>
      </c>
      <c r="AL252" s="17">
        <v>2023</v>
      </c>
      <c r="AM252" s="17">
        <v>2024</v>
      </c>
      <c r="AN252" s="17">
        <v>2025</v>
      </c>
      <c r="AO252" s="17">
        <v>2026</v>
      </c>
      <c r="AP252" s="17">
        <v>2027</v>
      </c>
      <c r="AQ252" s="17">
        <v>2028</v>
      </c>
      <c r="AR252" s="17">
        <v>2029</v>
      </c>
      <c r="AS252" s="17">
        <v>2030</v>
      </c>
      <c r="AT252" s="17">
        <v>2031</v>
      </c>
      <c r="AU252" s="17">
        <v>2032</v>
      </c>
      <c r="AV252" s="17">
        <v>2033</v>
      </c>
      <c r="AW252" s="17">
        <v>2034</v>
      </c>
      <c r="AX252" s="17">
        <v>2035</v>
      </c>
      <c r="AY252" s="17">
        <v>2036</v>
      </c>
      <c r="AZ252" s="17">
        <v>2037</v>
      </c>
      <c r="BA252" s="17">
        <v>2038</v>
      </c>
      <c r="BB252" s="17">
        <v>2039</v>
      </c>
      <c r="BC252" s="17">
        <v>2040</v>
      </c>
      <c r="BD252" s="17">
        <v>2041</v>
      </c>
      <c r="BE252" s="17">
        <v>2042</v>
      </c>
      <c r="BF252" s="17">
        <v>2043</v>
      </c>
      <c r="BG252" s="17">
        <v>2044</v>
      </c>
      <c r="BH252" s="17">
        <v>2045</v>
      </c>
      <c r="BI252" s="17">
        <v>2046</v>
      </c>
      <c r="BJ252" s="17">
        <v>2047</v>
      </c>
      <c r="BK252" s="17">
        <v>2048</v>
      </c>
      <c r="BL252" s="17">
        <v>2049</v>
      </c>
      <c r="BM252" s="17">
        <v>2050</v>
      </c>
      <c r="BP252" s="18" t="s">
        <v>312</v>
      </c>
      <c r="BQ252" s="17" t="s">
        <v>286</v>
      </c>
    </row>
    <row r="253" spans="1:69" ht="15.75" x14ac:dyDescent="0.25">
      <c r="A253" s="20" t="s">
        <v>417</v>
      </c>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c r="AG253" s="20"/>
      <c r="AH253" s="20"/>
      <c r="AI253" s="20"/>
      <c r="AJ253" s="20"/>
      <c r="AK253" s="20"/>
      <c r="AL253" s="20"/>
      <c r="AM253" s="20"/>
      <c r="AN253" s="20"/>
      <c r="AO253" s="20"/>
      <c r="AP253" s="20"/>
      <c r="AQ253" s="20"/>
      <c r="AR253" s="20"/>
      <c r="AS253" s="20"/>
      <c r="AT253" s="20"/>
      <c r="AU253" s="20"/>
      <c r="AV253" s="20"/>
      <c r="AW253" s="20"/>
      <c r="AX253" s="20"/>
      <c r="AY253" s="20"/>
      <c r="AZ253" s="20"/>
      <c r="BA253" s="20"/>
      <c r="BB253" s="20"/>
      <c r="BC253" s="20"/>
      <c r="BD253" s="20"/>
      <c r="BE253" s="20"/>
      <c r="BF253" s="20"/>
      <c r="BG253" s="20"/>
      <c r="BH253" s="20"/>
      <c r="BI253" s="20"/>
      <c r="BJ253" s="20"/>
      <c r="BK253" s="20"/>
      <c r="BL253" s="20"/>
      <c r="BM253" s="20"/>
    </row>
    <row r="254" spans="1:69" x14ac:dyDescent="0.25">
      <c r="A254" t="s">
        <v>850</v>
      </c>
      <c r="E254" s="11">
        <f>SUM('Activity data'!H5:H22)</f>
        <v>116249516.47489038</v>
      </c>
      <c r="F254" s="11">
        <f>SUM('Activity data'!I5:I22)</f>
        <v>111322869.63879211</v>
      </c>
      <c r="G254" s="11">
        <f>SUM('Activity data'!J5:J22)</f>
        <v>106359555.794935</v>
      </c>
      <c r="H254" s="11">
        <f>SUM('Activity data'!K5:K22)</f>
        <v>108051736.84957474</v>
      </c>
      <c r="I254" s="11">
        <f>SUM('Activity data'!L5:L22)</f>
        <v>107003281.83703408</v>
      </c>
      <c r="J254" s="11">
        <f>SUM('Activity data'!M5:M22)</f>
        <v>114097319.81443082</v>
      </c>
      <c r="K254" s="11">
        <f>SUM('Activity data'!N5:N22)</f>
        <v>123413359.25824103</v>
      </c>
      <c r="L254" s="11">
        <f>SUM('Activity data'!O5:O22)</f>
        <v>124139626.11488593</v>
      </c>
      <c r="M254" s="11">
        <f>SUM('Activity data'!P5:P22)</f>
        <v>131751923.34670785</v>
      </c>
      <c r="N254" s="11">
        <f>SUM('Activity data'!Q5:Q22)</f>
        <v>135060238.69443047</v>
      </c>
      <c r="O254" s="11">
        <f>SUM('Activity data'!R5:R22)</f>
        <v>138541204.56803936</v>
      </c>
      <c r="P254" s="11">
        <f>SUM('Activity data'!S5:S22)</f>
        <v>136109031.1249536</v>
      </c>
      <c r="Q254" s="11">
        <f>SUM('Activity data'!T5:T22)</f>
        <v>142033425.34914675</v>
      </c>
      <c r="R254" s="11">
        <f>SUM('Activity data'!U5:U22)</f>
        <v>137505025.69985911</v>
      </c>
      <c r="S254" s="11">
        <f>SUM('Activity data'!V5:V22)</f>
        <v>139250920.70763093</v>
      </c>
      <c r="T254" s="11">
        <f>SUM('Activity data'!W5:W22)</f>
        <v>147971770.34070343</v>
      </c>
      <c r="U254" s="11">
        <f>SUM('Activity data'!X5:X22)</f>
        <v>155308395.04702362</v>
      </c>
      <c r="V254" s="11">
        <f>SUM('Activity data'!Y5:Y22)</f>
        <v>161778836.09422663</v>
      </c>
      <c r="W254" s="11">
        <f>SUM('Activity data'!Z5:Z22)</f>
        <v>168144776.83189645</v>
      </c>
      <c r="X254" s="11">
        <f>SUM('Activity data'!AA5:AA22)</f>
        <v>161627647.86506164</v>
      </c>
      <c r="Y254" s="11">
        <f>SUM('Activity data'!AB5:AB22)</f>
        <v>164112898.94746146</v>
      </c>
      <c r="Z254" s="11">
        <f>SUM('Activity data'!AC5:AC22)</f>
        <v>168066984.05931899</v>
      </c>
      <c r="AA254" s="11">
        <f>SUM('Activity data'!AD5:AD22)</f>
        <v>171365728.24742162</v>
      </c>
      <c r="AB254" s="11">
        <f>SUM('Activity data'!AE5:AE22)</f>
        <v>168543992.65879551</v>
      </c>
      <c r="AC254" s="11">
        <f>SUM('Activity data'!AF5:AF22)</f>
        <v>172035521.73580882</v>
      </c>
      <c r="AD254" s="11">
        <f>SUM('Activity data'!AG5:AG22)</f>
        <v>176053425.40280333</v>
      </c>
      <c r="AE254" s="11">
        <f>SUM('Activity data'!AH5:AH22)</f>
        <v>167642271.77821466</v>
      </c>
      <c r="AF254" s="11">
        <f>SUM('Activity data'!AI5:AI22)</f>
        <v>164750666.63080817</v>
      </c>
      <c r="AG254" s="11">
        <f>SUM('Activity data'!AJ5:AJ22)</f>
        <v>180124322.89400485</v>
      </c>
    </row>
    <row r="255" spans="1:69" x14ac:dyDescent="0.25">
      <c r="A255" t="s">
        <v>421</v>
      </c>
      <c r="B255" t="s">
        <v>327</v>
      </c>
      <c r="E255">
        <f t="shared" ref="E255:AG255" si="16">E258-E257</f>
        <v>4072000</v>
      </c>
      <c r="F255">
        <f t="shared" si="16"/>
        <v>4235000</v>
      </c>
      <c r="G255">
        <f t="shared" si="16"/>
        <v>4455000</v>
      </c>
      <c r="H255">
        <f t="shared" si="16"/>
        <v>4085000</v>
      </c>
      <c r="I255">
        <f t="shared" si="16"/>
        <v>3855000</v>
      </c>
      <c r="J255">
        <f t="shared" si="16"/>
        <v>3877000</v>
      </c>
      <c r="K255">
        <f t="shared" si="16"/>
        <v>4035000</v>
      </c>
      <c r="L255">
        <f t="shared" si="16"/>
        <v>3826000</v>
      </c>
      <c r="M255">
        <f t="shared" si="16"/>
        <v>3001000</v>
      </c>
      <c r="N255">
        <f t="shared" si="16"/>
        <v>2960000</v>
      </c>
      <c r="O255">
        <f t="shared" si="16"/>
        <v>2936000</v>
      </c>
      <c r="P255">
        <f t="shared" si="16"/>
        <v>3263000</v>
      </c>
      <c r="Q255">
        <f t="shared" si="16"/>
        <v>3274000</v>
      </c>
      <c r="R255">
        <f t="shared" si="16"/>
        <v>3275000</v>
      </c>
      <c r="S255">
        <f t="shared" si="16"/>
        <v>3531000</v>
      </c>
      <c r="T255">
        <f t="shared" si="16"/>
        <v>3543000</v>
      </c>
      <c r="U255">
        <f t="shared" si="16"/>
        <v>3637000</v>
      </c>
      <c r="V255">
        <f t="shared" si="16"/>
        <v>3844000</v>
      </c>
      <c r="W255">
        <f t="shared" si="16"/>
        <v>4220000</v>
      </c>
      <c r="X255">
        <f t="shared" si="16"/>
        <v>4089000</v>
      </c>
      <c r="Y255">
        <f t="shared" si="16"/>
        <v>4187000</v>
      </c>
      <c r="Z255">
        <f t="shared" si="16"/>
        <v>4344000</v>
      </c>
      <c r="AA255">
        <f t="shared" si="16"/>
        <v>4429000</v>
      </c>
      <c r="AB255">
        <f t="shared" si="16"/>
        <v>4436000</v>
      </c>
      <c r="AC255">
        <f t="shared" si="16"/>
        <v>4767000</v>
      </c>
      <c r="AD255">
        <f t="shared" si="16"/>
        <v>5087000</v>
      </c>
      <c r="AE255">
        <f t="shared" si="16"/>
        <v>5551000</v>
      </c>
      <c r="AF255">
        <f t="shared" si="16"/>
        <v>5004000</v>
      </c>
      <c r="AG255">
        <f t="shared" si="16"/>
        <v>5277000</v>
      </c>
    </row>
    <row r="256" spans="1:69" x14ac:dyDescent="0.25">
      <c r="A256" t="s">
        <v>3</v>
      </c>
      <c r="B256" t="s">
        <v>779</v>
      </c>
      <c r="E256">
        <f>Drivers!D4</f>
        <v>36800509</v>
      </c>
      <c r="F256">
        <f>Drivers!E4</f>
        <v>37718950</v>
      </c>
      <c r="G256">
        <f>Drivers!F4</f>
        <v>38672607</v>
      </c>
      <c r="H256">
        <f>Drivers!G4</f>
        <v>39633750</v>
      </c>
      <c r="I256">
        <f>Drivers!H4</f>
        <v>40564059</v>
      </c>
      <c r="J256">
        <f>Drivers!I4</f>
        <v>41435758</v>
      </c>
      <c r="K256">
        <f>Drivers!J4</f>
        <v>42241011</v>
      </c>
      <c r="L256">
        <f>Drivers!K4</f>
        <v>42987461</v>
      </c>
      <c r="M256">
        <f>Drivers!L4</f>
        <v>43682260</v>
      </c>
      <c r="N256">
        <f>Drivers!M4</f>
        <v>44338543</v>
      </c>
      <c r="O256">
        <f>Drivers!N4</f>
        <v>44967708</v>
      </c>
      <c r="P256">
        <f>Drivers!O4</f>
        <v>45571274</v>
      </c>
      <c r="Q256">
        <f>Drivers!P4</f>
        <v>46150913</v>
      </c>
      <c r="R256">
        <f>Drivers!Q4</f>
        <v>46719196</v>
      </c>
      <c r="S256">
        <f>Drivers!R4</f>
        <v>47291610</v>
      </c>
      <c r="T256">
        <f>Drivers!S4</f>
        <v>47880601</v>
      </c>
      <c r="U256">
        <f>Drivers!T4</f>
        <v>48489459</v>
      </c>
      <c r="V256">
        <f>Drivers!U4</f>
        <v>49119759</v>
      </c>
      <c r="W256">
        <f>Drivers!V4</f>
        <v>49779471</v>
      </c>
      <c r="X256">
        <f>Drivers!W4</f>
        <v>50477011</v>
      </c>
      <c r="Y256">
        <f>Drivers!X4</f>
        <v>51216964</v>
      </c>
      <c r="Z256">
        <f>Drivers!Y4</f>
        <v>52004172</v>
      </c>
      <c r="AA256">
        <f>Drivers!Z4</f>
        <v>53032389.033699296</v>
      </c>
      <c r="AB256">
        <f>Drivers!AA4</f>
        <v>53514007.585114054</v>
      </c>
      <c r="AC256">
        <f>Drivers!AB4</f>
        <v>54000000</v>
      </c>
      <c r="AD256">
        <f>Drivers!AC4</f>
        <v>54490406</v>
      </c>
      <c r="AE256">
        <f>Drivers!AD4</f>
        <v>55024891.060000002</v>
      </c>
      <c r="AF256">
        <f>Drivers!AE4</f>
        <v>55559376.119999997</v>
      </c>
      <c r="AG256">
        <f>Drivers!AF4</f>
        <v>56093861.18</v>
      </c>
    </row>
    <row r="257" spans="1:33" x14ac:dyDescent="0.25">
      <c r="A257" t="s">
        <v>420</v>
      </c>
      <c r="B257" t="s">
        <v>327</v>
      </c>
      <c r="E257">
        <v>2353000</v>
      </c>
      <c r="F257">
        <v>2534000</v>
      </c>
      <c r="G257">
        <v>2567000</v>
      </c>
      <c r="H257">
        <v>2743000</v>
      </c>
      <c r="I257">
        <v>2918000</v>
      </c>
      <c r="J257">
        <v>2540000</v>
      </c>
      <c r="K257">
        <v>2807000</v>
      </c>
      <c r="L257">
        <v>2912000</v>
      </c>
      <c r="M257">
        <v>3382000</v>
      </c>
      <c r="N257">
        <v>3381000</v>
      </c>
      <c r="O257">
        <v>3426000</v>
      </c>
      <c r="P257">
        <v>3589000</v>
      </c>
      <c r="Q257">
        <v>3877000</v>
      </c>
      <c r="R257">
        <v>3708000</v>
      </c>
      <c r="S257">
        <v>3712000</v>
      </c>
      <c r="T257">
        <v>3740000</v>
      </c>
      <c r="U257">
        <v>3825000</v>
      </c>
      <c r="V257">
        <v>3816000</v>
      </c>
      <c r="W257">
        <v>3809000</v>
      </c>
      <c r="X257">
        <v>4524000</v>
      </c>
      <c r="Y257">
        <v>4471000</v>
      </c>
      <c r="Z257">
        <v>4513000</v>
      </c>
      <c r="AA257">
        <v>4512000</v>
      </c>
      <c r="AB257">
        <v>4499000</v>
      </c>
      <c r="AC257">
        <v>4582000</v>
      </c>
      <c r="AD257">
        <v>4840000</v>
      </c>
      <c r="AE257">
        <v>4698000</v>
      </c>
      <c r="AF257">
        <v>4809000</v>
      </c>
      <c r="AG257">
        <v>4993000</v>
      </c>
    </row>
    <row r="258" spans="1:33" x14ac:dyDescent="0.25">
      <c r="A258" t="s">
        <v>394</v>
      </c>
      <c r="B258" t="s">
        <v>327</v>
      </c>
      <c r="E258">
        <v>6425000</v>
      </c>
      <c r="F258">
        <v>6769000</v>
      </c>
      <c r="G258">
        <v>7022000</v>
      </c>
      <c r="H258">
        <v>6828000</v>
      </c>
      <c r="I258">
        <v>6773000</v>
      </c>
      <c r="J258">
        <v>6417000</v>
      </c>
      <c r="K258">
        <v>6842000</v>
      </c>
      <c r="L258">
        <v>6738000</v>
      </c>
      <c r="M258">
        <v>6383000</v>
      </c>
      <c r="N258">
        <v>6341000</v>
      </c>
      <c r="O258">
        <v>6362000</v>
      </c>
      <c r="P258">
        <v>6852000</v>
      </c>
      <c r="Q258">
        <v>7151000</v>
      </c>
      <c r="R258">
        <v>6983000</v>
      </c>
      <c r="S258">
        <v>7243000</v>
      </c>
      <c r="T258">
        <v>7283000</v>
      </c>
      <c r="U258">
        <v>7462000</v>
      </c>
      <c r="V258">
        <v>7660000</v>
      </c>
      <c r="W258">
        <v>8029000</v>
      </c>
      <c r="X258">
        <v>8613000</v>
      </c>
      <c r="Y258">
        <v>8658000</v>
      </c>
      <c r="Z258">
        <v>8857000</v>
      </c>
      <c r="AA258">
        <v>8941000</v>
      </c>
      <c r="AB258">
        <v>8935000</v>
      </c>
      <c r="AC258">
        <v>9349000</v>
      </c>
      <c r="AD258">
        <v>9927000</v>
      </c>
      <c r="AE258">
        <v>10249000</v>
      </c>
      <c r="AF258">
        <v>9813000</v>
      </c>
      <c r="AG258">
        <v>10270000</v>
      </c>
    </row>
    <row r="259" spans="1:33" x14ac:dyDescent="0.25">
      <c r="A259" t="s">
        <v>418</v>
      </c>
      <c r="B259" t="s">
        <v>411</v>
      </c>
      <c r="E259" s="11">
        <v>4163000</v>
      </c>
      <c r="F259" s="11">
        <v>3816000</v>
      </c>
      <c r="G259" s="11">
        <v>4173000</v>
      </c>
      <c r="H259" s="11">
        <v>4377000</v>
      </c>
      <c r="I259" s="11">
        <v>4661000</v>
      </c>
      <c r="J259" s="11">
        <v>3526000</v>
      </c>
      <c r="K259" s="11">
        <v>3761000</v>
      </c>
      <c r="L259" s="11">
        <v>4023000</v>
      </c>
      <c r="M259" s="11">
        <v>3560000</v>
      </c>
      <c r="N259" s="11">
        <v>3567000</v>
      </c>
      <c r="O259" s="11">
        <v>4013000</v>
      </c>
      <c r="P259" s="11">
        <v>3189000</v>
      </c>
      <c r="Q259" s="11">
        <v>3533000</v>
      </c>
      <c r="R259" s="11">
        <v>3651000</v>
      </c>
      <c r="S259" s="11">
        <v>3204000</v>
      </c>
      <c r="T259" s="11">
        <v>3223000</v>
      </c>
      <c r="U259" s="11"/>
      <c r="V259" s="11">
        <v>2897000</v>
      </c>
      <c r="W259" s="11">
        <v>3297000</v>
      </c>
      <c r="X259" s="11">
        <v>2896000</v>
      </c>
      <c r="Y259" s="11">
        <v>3263000</v>
      </c>
      <c r="Z259" s="11">
        <v>2859000</v>
      </c>
      <c r="AA259" s="11">
        <v>3141000</v>
      </c>
      <c r="AB259" s="11">
        <v>3238000</v>
      </c>
      <c r="AC259" s="11">
        <v>3096000</v>
      </c>
      <c r="AD259" s="11">
        <v>3048000</v>
      </c>
      <c r="AE259" s="11">
        <v>2213000</v>
      </c>
      <c r="AF259" s="11">
        <v>2995000</v>
      </c>
      <c r="AG259" s="11">
        <v>2634000</v>
      </c>
    </row>
    <row r="260" spans="1:33" x14ac:dyDescent="0.25">
      <c r="A260" t="s">
        <v>393</v>
      </c>
      <c r="B260" t="s">
        <v>327</v>
      </c>
      <c r="E260">
        <v>9180000</v>
      </c>
      <c r="F260">
        <v>8614000</v>
      </c>
      <c r="G260">
        <v>3277000</v>
      </c>
      <c r="H260">
        <v>9997000</v>
      </c>
      <c r="I260">
        <v>13275000</v>
      </c>
      <c r="J260">
        <v>4866000</v>
      </c>
      <c r="K260">
        <v>10171000</v>
      </c>
      <c r="L260">
        <v>10136000</v>
      </c>
      <c r="M260">
        <v>7693000</v>
      </c>
      <c r="N260">
        <v>7946000</v>
      </c>
      <c r="O260">
        <v>11455000</v>
      </c>
      <c r="P260">
        <v>7772000</v>
      </c>
      <c r="Q260">
        <v>10076000</v>
      </c>
      <c r="R260">
        <v>9705000</v>
      </c>
      <c r="S260">
        <v>9737000</v>
      </c>
      <c r="T260">
        <v>11749000</v>
      </c>
      <c r="V260">
        <v>7339000</v>
      </c>
      <c r="W260">
        <v>13164000</v>
      </c>
      <c r="X260">
        <v>12567000</v>
      </c>
      <c r="Y260">
        <v>13421000</v>
      </c>
      <c r="Z260">
        <v>10924000</v>
      </c>
      <c r="AA260">
        <v>12759000</v>
      </c>
      <c r="AB260">
        <v>12486000</v>
      </c>
      <c r="AC260">
        <v>14925000</v>
      </c>
      <c r="AD260">
        <v>10629000</v>
      </c>
      <c r="AG260">
        <v>13104000</v>
      </c>
    </row>
    <row r="261" spans="1:33" x14ac:dyDescent="0.25">
      <c r="A261" t="s">
        <v>418</v>
      </c>
      <c r="B261" t="s">
        <v>411</v>
      </c>
      <c r="E261" s="11">
        <v>4163000</v>
      </c>
      <c r="F261" s="11">
        <v>3816000</v>
      </c>
      <c r="G261" s="11">
        <v>4173000</v>
      </c>
      <c r="H261" s="11">
        <v>4377000</v>
      </c>
      <c r="I261" s="11">
        <v>4661000</v>
      </c>
      <c r="J261" s="11">
        <v>3526000</v>
      </c>
      <c r="K261" s="11">
        <v>3761000</v>
      </c>
      <c r="L261" s="11">
        <v>4023000</v>
      </c>
      <c r="M261" s="11">
        <v>3560000</v>
      </c>
      <c r="N261" s="11">
        <v>3567000</v>
      </c>
      <c r="O261" s="11">
        <v>4013000</v>
      </c>
      <c r="P261" s="11">
        <v>3189000</v>
      </c>
      <c r="Q261" s="11">
        <v>3533000</v>
      </c>
      <c r="R261" s="11">
        <v>3651000</v>
      </c>
      <c r="S261" s="11">
        <v>3204000</v>
      </c>
      <c r="T261" s="11">
        <v>3223000</v>
      </c>
      <c r="U261" s="11">
        <v>2032000</v>
      </c>
      <c r="V261" s="11">
        <v>2897000</v>
      </c>
      <c r="W261" s="11">
        <v>3297000</v>
      </c>
      <c r="X261" s="11">
        <v>2896000</v>
      </c>
      <c r="Y261" s="11">
        <v>3263000</v>
      </c>
      <c r="Z261" s="11">
        <v>2859000</v>
      </c>
      <c r="AA261" s="11">
        <v>3141000</v>
      </c>
      <c r="AB261" s="11">
        <v>3238000</v>
      </c>
      <c r="AC261" s="11">
        <v>3096000</v>
      </c>
      <c r="AD261" s="11">
        <v>3048000</v>
      </c>
      <c r="AE261" s="11">
        <v>2213000</v>
      </c>
      <c r="AF261" s="11">
        <v>2995000</v>
      </c>
      <c r="AG261" s="11">
        <v>2634000</v>
      </c>
    </row>
    <row r="262" spans="1:33" x14ac:dyDescent="0.25">
      <c r="A262" t="str">
        <f>'Intermediate calcs'!A4</f>
        <v>Wealth (GVA)</v>
      </c>
      <c r="B262" t="str">
        <f>'Intermediate calcs'!B4</f>
        <v>GVA/capita</v>
      </c>
      <c r="E262">
        <f>'Intermediate calcs'!C4</f>
        <v>7.3995172186341224E-6</v>
      </c>
      <c r="F262">
        <f>'Intermediate calcs'!D4</f>
        <v>8.3160321270873128E-6</v>
      </c>
      <c r="G262">
        <f>'Intermediate calcs'!E4</f>
        <v>9.1809688444329608E-6</v>
      </c>
      <c r="H262">
        <f>'Intermediate calcs'!F4</f>
        <v>1.0183063676790614E-5</v>
      </c>
      <c r="I262">
        <f>'Intermediate calcs'!G4</f>
        <v>1.1198558803003417E-5</v>
      </c>
      <c r="J262">
        <f>'Intermediate calcs'!H4</f>
        <v>1.2456004786976505E-5</v>
      </c>
      <c r="K262">
        <f>'Intermediate calcs'!I4</f>
        <v>1.5023575074943164E-5</v>
      </c>
      <c r="L262">
        <f>'Intermediate calcs'!J4</f>
        <v>1.4993976964585091E-5</v>
      </c>
      <c r="M262">
        <f>'Intermediate calcs'!K4</f>
        <v>1.5889974557177216E-5</v>
      </c>
      <c r="N262">
        <f>'Intermediate calcs'!L4</f>
        <v>1.7139534783540361E-5</v>
      </c>
      <c r="O262">
        <f>'Intermediate calcs'!M4</f>
        <v>1.9178073296508686E-5</v>
      </c>
      <c r="P262">
        <f>'Intermediate calcs'!N4</f>
        <v>2.0941920561623974E-5</v>
      </c>
      <c r="Q262">
        <f>'Intermediate calcs'!O4</f>
        <v>2.4092156096673536E-5</v>
      </c>
      <c r="R262">
        <f>'Intermediate calcs'!P4</f>
        <v>2.5864721644610491E-5</v>
      </c>
      <c r="S262">
        <f>'Intermediate calcs'!Q4</f>
        <v>2.816463639110616E-5</v>
      </c>
      <c r="T262">
        <f>'Intermediate calcs'!R4</f>
        <v>3.0685475313895917E-5</v>
      </c>
      <c r="U262">
        <f>'Intermediate calcs'!S4</f>
        <v>3.3867608215633009E-5</v>
      </c>
      <c r="V262">
        <f>'Intermediate calcs'!T4</f>
        <v>3.8369935813406575E-5</v>
      </c>
      <c r="W262">
        <f>'Intermediate calcs'!U4</f>
        <v>4.2933160137438985E-5</v>
      </c>
      <c r="X262">
        <f>'Intermediate calcs'!V4</f>
        <v>4.5112536477249022E-5</v>
      </c>
      <c r="Y262">
        <f>'Intermediate calcs'!W4</f>
        <v>4.8711594853611398E-5</v>
      </c>
      <c r="Z262">
        <f>'Intermediate calcs'!X4</f>
        <v>5.2388104554380752E-5</v>
      </c>
      <c r="AA262">
        <f>'Intermediate calcs'!Y4</f>
        <v>7.2008674666107316E-5</v>
      </c>
      <c r="AB262">
        <f>'Intermediate calcs'!Z4</f>
        <v>7.3128862350936422E-5</v>
      </c>
      <c r="AC262">
        <f>'Intermediate calcs'!AA4</f>
        <v>7.3832053087208803E-5</v>
      </c>
      <c r="AD262">
        <f>'Intermediate calcs'!AB4</f>
        <v>7.4099569652362116E-5</v>
      </c>
      <c r="AE262">
        <f>'Intermediate calcs'!AC4</f>
        <v>7.3966728660027013E-5</v>
      </c>
      <c r="AF262">
        <f>'Intermediate calcs'!AD4</f>
        <v>7.4125058503467776E-5</v>
      </c>
      <c r="AG262">
        <f>'Intermediate calcs'!AE4</f>
        <v>7.4164408302538267E-5</v>
      </c>
    </row>
    <row r="263" spans="1:33" x14ac:dyDescent="0.25">
      <c r="A263" t="s">
        <v>419</v>
      </c>
      <c r="B263" t="s">
        <v>328</v>
      </c>
      <c r="E263">
        <f>E257/Drivers!D4</f>
        <v>6.3939333013029787E-2</v>
      </c>
      <c r="F263">
        <f>F257/Drivers!E4</f>
        <v>6.7181085369555624E-2</v>
      </c>
      <c r="G263">
        <f>G257/Drivers!F4</f>
        <v>6.6377733469067654E-2</v>
      </c>
      <c r="H263">
        <f>H257/Drivers!G4</f>
        <v>6.9208692086920875E-2</v>
      </c>
      <c r="I263">
        <f>I257/Drivers!H4</f>
        <v>7.1935601908083208E-2</v>
      </c>
      <c r="J263">
        <f>J257/Drivers!I4</f>
        <v>6.1299711230092618E-2</v>
      </c>
      <c r="K263">
        <f>K257/Drivers!J4</f>
        <v>6.6452007978691607E-2</v>
      </c>
      <c r="L263">
        <f>L257/Drivers!K4</f>
        <v>6.7740683731007043E-2</v>
      </c>
      <c r="M263">
        <f>M257/Drivers!L4</f>
        <v>7.7422734080150615E-2</v>
      </c>
      <c r="N263">
        <f>N257/Drivers!M4</f>
        <v>7.6254197166560025E-2</v>
      </c>
      <c r="O263">
        <f>O257/Drivers!N4</f>
        <v>7.6188005846328663E-2</v>
      </c>
      <c r="P263">
        <f>P257/Drivers!O4</f>
        <v>7.8755753021080774E-2</v>
      </c>
      <c r="Q263">
        <f>Q257/Drivers!P4</f>
        <v>8.4007005451874811E-2</v>
      </c>
      <c r="R263">
        <f>R257/Drivers!Q4</f>
        <v>7.9367804189096058E-2</v>
      </c>
      <c r="S263">
        <f>S257/Drivers!R4</f>
        <v>7.8491724007704544E-2</v>
      </c>
      <c r="T263">
        <f>T257/Drivers!S4</f>
        <v>7.8110966067447649E-2</v>
      </c>
      <c r="U263">
        <f>U257/Drivers!T4</f>
        <v>7.8883123855846685E-2</v>
      </c>
      <c r="V263">
        <f>V257/Drivers!U4</f>
        <v>7.7687677580014186E-2</v>
      </c>
      <c r="W263">
        <f>W257/Drivers!V4</f>
        <v>7.6517486495587705E-2</v>
      </c>
      <c r="X263">
        <f>X257/Drivers!W4</f>
        <v>8.9624958181458089E-2</v>
      </c>
      <c r="Y263">
        <f>Y257/Drivers!X4</f>
        <v>8.7295295363465905E-2</v>
      </c>
      <c r="Z263">
        <f>Z257/Drivers!Y4</f>
        <v>8.6781498992042405E-2</v>
      </c>
      <c r="AA263">
        <f>AA257/Drivers!Z4</f>
        <v>8.5080081855879827E-2</v>
      </c>
      <c r="AB263">
        <f>AB257/Drivers!AA4</f>
        <v>8.407144601989186E-2</v>
      </c>
      <c r="AC263">
        <f>AC257/Drivers!AB4</f>
        <v>8.4851851851851845E-2</v>
      </c>
      <c r="AD263">
        <f>AD257/Drivers!AC4</f>
        <v>8.8822975552797306E-2</v>
      </c>
      <c r="AE263">
        <f>AE257/Drivers!AD4</f>
        <v>8.5379542049019735E-2</v>
      </c>
      <c r="AF263">
        <f>AF257/Drivers!AE4</f>
        <v>8.6556047526762617E-2</v>
      </c>
      <c r="AG263">
        <f>AG257/Drivers!AF4</f>
        <v>8.9011522740036125E-2</v>
      </c>
    </row>
    <row r="264" spans="1:33" x14ac:dyDescent="0.25">
      <c r="A264" t="s">
        <v>420</v>
      </c>
      <c r="B264" t="s">
        <v>327</v>
      </c>
      <c r="E264">
        <v>2353000</v>
      </c>
      <c r="F264">
        <v>2534000</v>
      </c>
      <c r="G264">
        <v>2567000</v>
      </c>
      <c r="H264">
        <v>2743000</v>
      </c>
      <c r="I264">
        <v>2918000</v>
      </c>
      <c r="J264">
        <v>2540000</v>
      </c>
      <c r="K264">
        <v>2807000</v>
      </c>
      <c r="L264">
        <v>2912000</v>
      </c>
      <c r="M264">
        <v>3382000</v>
      </c>
      <c r="N264">
        <v>3381000</v>
      </c>
      <c r="O264">
        <v>3426000</v>
      </c>
      <c r="P264">
        <v>3589000</v>
      </c>
      <c r="Q264">
        <v>3877000</v>
      </c>
      <c r="R264">
        <v>3708000</v>
      </c>
      <c r="S264">
        <v>3712000</v>
      </c>
      <c r="T264">
        <v>3740000</v>
      </c>
      <c r="U264">
        <v>3825000</v>
      </c>
      <c r="V264">
        <v>3816000</v>
      </c>
      <c r="W264">
        <v>3809000</v>
      </c>
      <c r="X264">
        <v>4524000</v>
      </c>
      <c r="Y264">
        <v>4471000</v>
      </c>
      <c r="Z264">
        <v>4513000</v>
      </c>
      <c r="AA264">
        <v>4512000</v>
      </c>
      <c r="AB264">
        <v>4499000</v>
      </c>
      <c r="AC264">
        <v>4582000</v>
      </c>
      <c r="AD264">
        <v>4840000</v>
      </c>
      <c r="AE264">
        <v>4698000</v>
      </c>
      <c r="AF264">
        <v>4809000</v>
      </c>
      <c r="AG264">
        <v>4993000</v>
      </c>
    </row>
    <row r="265" spans="1:33" x14ac:dyDescent="0.25">
      <c r="A265" t="s">
        <v>394</v>
      </c>
      <c r="B265" t="s">
        <v>327</v>
      </c>
      <c r="E265">
        <v>6425000</v>
      </c>
      <c r="F265">
        <v>6769000</v>
      </c>
      <c r="G265">
        <v>7022000</v>
      </c>
      <c r="H265">
        <v>6828000</v>
      </c>
      <c r="I265">
        <v>6773000</v>
      </c>
      <c r="J265">
        <v>6417000</v>
      </c>
      <c r="K265">
        <v>6842000</v>
      </c>
      <c r="L265">
        <v>6738000</v>
      </c>
      <c r="M265">
        <v>6383000</v>
      </c>
      <c r="N265">
        <v>6341000</v>
      </c>
      <c r="O265">
        <v>6362000</v>
      </c>
      <c r="P265">
        <v>6852000</v>
      </c>
      <c r="Q265">
        <v>7151000</v>
      </c>
      <c r="R265">
        <v>6983000</v>
      </c>
      <c r="S265">
        <v>7243000</v>
      </c>
      <c r="T265">
        <v>7283000</v>
      </c>
      <c r="U265">
        <v>7462000</v>
      </c>
      <c r="V265">
        <v>7660000</v>
      </c>
      <c r="W265">
        <v>8029000</v>
      </c>
      <c r="X265">
        <v>8613000</v>
      </c>
      <c r="Y265">
        <v>8658000</v>
      </c>
      <c r="Z265">
        <v>8857000</v>
      </c>
      <c r="AA265">
        <v>8941000</v>
      </c>
      <c r="AB265">
        <v>8935000</v>
      </c>
      <c r="AC265">
        <v>9349000</v>
      </c>
      <c r="AD265">
        <v>9927000</v>
      </c>
      <c r="AE265">
        <v>10249000</v>
      </c>
      <c r="AF265">
        <v>9813000</v>
      </c>
      <c r="AG265">
        <v>10270000</v>
      </c>
    </row>
    <row r="266" spans="1:33" x14ac:dyDescent="0.25">
      <c r="A266" t="s">
        <v>424</v>
      </c>
      <c r="B266" t="s">
        <v>327</v>
      </c>
      <c r="E266">
        <v>4909000</v>
      </c>
      <c r="F266">
        <v>1784000</v>
      </c>
      <c r="G266">
        <v>1370000</v>
      </c>
      <c r="H266">
        <v>408000</v>
      </c>
      <c r="I266">
        <v>1447000</v>
      </c>
      <c r="J266">
        <v>4719000</v>
      </c>
      <c r="K266">
        <v>887</v>
      </c>
      <c r="L266">
        <v>2656000</v>
      </c>
      <c r="M266">
        <v>1921000</v>
      </c>
      <c r="N266">
        <v>1388000</v>
      </c>
      <c r="O266">
        <v>652000</v>
      </c>
      <c r="P266">
        <v>1488000</v>
      </c>
      <c r="Q266">
        <v>1335000</v>
      </c>
      <c r="R266">
        <v>1188000</v>
      </c>
      <c r="S266">
        <v>1185000</v>
      </c>
      <c r="T266">
        <v>832000</v>
      </c>
      <c r="U266">
        <v>2237000</v>
      </c>
      <c r="V266">
        <v>597000</v>
      </c>
      <c r="W266">
        <v>534000</v>
      </c>
      <c r="X266">
        <v>2269000</v>
      </c>
      <c r="Y266">
        <v>1796000</v>
      </c>
      <c r="Z266">
        <v>2194000</v>
      </c>
      <c r="AA266">
        <v>2575000</v>
      </c>
      <c r="AB266">
        <v>1946000</v>
      </c>
      <c r="AC266">
        <v>2233000</v>
      </c>
      <c r="AD266">
        <v>2156000</v>
      </c>
      <c r="AE266">
        <v>880000</v>
      </c>
      <c r="AF266">
        <v>1026000</v>
      </c>
      <c r="AG266">
        <v>2258000</v>
      </c>
    </row>
    <row r="267" spans="1:33" x14ac:dyDescent="0.25">
      <c r="A267" t="s">
        <v>425</v>
      </c>
      <c r="B267" t="s">
        <v>327</v>
      </c>
      <c r="E267">
        <f t="shared" ref="E267:AG267" si="17">E258+E266</f>
        <v>11334000</v>
      </c>
      <c r="F267">
        <f t="shared" si="17"/>
        <v>8553000</v>
      </c>
      <c r="G267">
        <f t="shared" si="17"/>
        <v>8392000</v>
      </c>
      <c r="H267">
        <f t="shared" si="17"/>
        <v>7236000</v>
      </c>
      <c r="I267">
        <f t="shared" si="17"/>
        <v>8220000</v>
      </c>
      <c r="J267">
        <f t="shared" si="17"/>
        <v>11136000</v>
      </c>
      <c r="K267">
        <f t="shared" si="17"/>
        <v>6842887</v>
      </c>
      <c r="L267">
        <f t="shared" si="17"/>
        <v>9394000</v>
      </c>
      <c r="M267">
        <f t="shared" si="17"/>
        <v>8304000</v>
      </c>
      <c r="N267">
        <f t="shared" si="17"/>
        <v>7729000</v>
      </c>
      <c r="O267">
        <f t="shared" si="17"/>
        <v>7014000</v>
      </c>
      <c r="P267">
        <f t="shared" si="17"/>
        <v>8340000</v>
      </c>
      <c r="Q267">
        <f t="shared" si="17"/>
        <v>8486000</v>
      </c>
      <c r="R267">
        <f t="shared" si="17"/>
        <v>8171000</v>
      </c>
      <c r="S267">
        <f t="shared" si="17"/>
        <v>8428000</v>
      </c>
      <c r="T267">
        <f t="shared" si="17"/>
        <v>8115000</v>
      </c>
      <c r="U267">
        <f t="shared" si="17"/>
        <v>9699000</v>
      </c>
      <c r="V267">
        <f t="shared" si="17"/>
        <v>8257000</v>
      </c>
      <c r="W267">
        <f t="shared" si="17"/>
        <v>8563000</v>
      </c>
      <c r="X267">
        <f t="shared" si="17"/>
        <v>10882000</v>
      </c>
      <c r="Y267">
        <f t="shared" si="17"/>
        <v>10454000</v>
      </c>
      <c r="Z267">
        <f t="shared" si="17"/>
        <v>11051000</v>
      </c>
      <c r="AA267">
        <f t="shared" si="17"/>
        <v>11516000</v>
      </c>
      <c r="AB267">
        <f t="shared" si="17"/>
        <v>10881000</v>
      </c>
      <c r="AC267">
        <f t="shared" si="17"/>
        <v>11582000</v>
      </c>
      <c r="AD267">
        <f t="shared" si="17"/>
        <v>12083000</v>
      </c>
      <c r="AE267">
        <f t="shared" si="17"/>
        <v>11129000</v>
      </c>
      <c r="AF267">
        <f t="shared" si="17"/>
        <v>10839000</v>
      </c>
      <c r="AG267">
        <f t="shared" si="17"/>
        <v>12528000</v>
      </c>
    </row>
    <row r="268" spans="1:33" x14ac:dyDescent="0.25">
      <c r="A268" t="s">
        <v>393</v>
      </c>
      <c r="B268" t="s">
        <v>327</v>
      </c>
      <c r="E268">
        <v>9180000</v>
      </c>
      <c r="F268">
        <v>8614000</v>
      </c>
      <c r="G268">
        <v>3277000</v>
      </c>
      <c r="H268">
        <v>9997000</v>
      </c>
      <c r="I268">
        <v>13275000</v>
      </c>
      <c r="J268">
        <v>4866000</v>
      </c>
      <c r="K268">
        <v>10171000</v>
      </c>
      <c r="L268">
        <v>10136000</v>
      </c>
      <c r="M268">
        <v>7693000</v>
      </c>
      <c r="N268">
        <v>7946000</v>
      </c>
      <c r="O268">
        <v>11455000</v>
      </c>
      <c r="P268">
        <v>7772000</v>
      </c>
      <c r="Q268">
        <v>10076000</v>
      </c>
      <c r="R268">
        <v>9705000</v>
      </c>
      <c r="S268">
        <v>9737000</v>
      </c>
      <c r="T268">
        <v>11749000</v>
      </c>
      <c r="U268">
        <v>6947000</v>
      </c>
      <c r="V268">
        <v>7339000</v>
      </c>
      <c r="W268">
        <v>13164000</v>
      </c>
      <c r="X268">
        <v>12567000</v>
      </c>
      <c r="Y268">
        <v>13421000</v>
      </c>
      <c r="Z268">
        <v>10924000</v>
      </c>
      <c r="AA268">
        <v>12759000</v>
      </c>
      <c r="AB268">
        <v>12486000</v>
      </c>
      <c r="AC268">
        <v>14925000</v>
      </c>
      <c r="AD268">
        <v>10629000</v>
      </c>
      <c r="AE268">
        <v>8214000</v>
      </c>
      <c r="AF268">
        <v>17551000</v>
      </c>
      <c r="AG268">
        <v>13104000</v>
      </c>
    </row>
    <row r="269" spans="1:33" ht="15.75" x14ac:dyDescent="0.25">
      <c r="E269" s="17">
        <v>1990</v>
      </c>
      <c r="F269" s="17">
        <v>1991</v>
      </c>
      <c r="G269" s="17">
        <v>1992</v>
      </c>
      <c r="H269" s="17">
        <v>1993</v>
      </c>
      <c r="I269" s="17">
        <v>1994</v>
      </c>
      <c r="J269" s="17">
        <v>1995</v>
      </c>
      <c r="K269" s="17">
        <v>1996</v>
      </c>
      <c r="L269" s="17">
        <v>1997</v>
      </c>
      <c r="M269" s="17">
        <v>1998</v>
      </c>
      <c r="N269" s="17">
        <v>1999</v>
      </c>
      <c r="O269" s="17">
        <v>2000</v>
      </c>
      <c r="P269" s="17">
        <v>2001</v>
      </c>
      <c r="Q269" s="17">
        <v>2002</v>
      </c>
      <c r="R269" s="17">
        <v>2003</v>
      </c>
      <c r="S269" s="17">
        <v>2004</v>
      </c>
      <c r="T269" s="17">
        <v>2005</v>
      </c>
      <c r="U269" s="17">
        <v>2006</v>
      </c>
      <c r="V269" s="17">
        <v>2007</v>
      </c>
      <c r="W269" s="17">
        <v>2008</v>
      </c>
      <c r="X269" s="17">
        <v>2009</v>
      </c>
      <c r="Y269" s="17">
        <v>2010</v>
      </c>
      <c r="Z269" s="17">
        <v>2011</v>
      </c>
      <c r="AA269" s="17">
        <v>2012</v>
      </c>
      <c r="AB269" s="17">
        <v>2013</v>
      </c>
      <c r="AC269" s="17">
        <v>2014</v>
      </c>
      <c r="AD269" s="17">
        <v>2015</v>
      </c>
      <c r="AE269" s="17">
        <v>2016</v>
      </c>
      <c r="AF269" s="17">
        <v>2017</v>
      </c>
      <c r="AG269" s="17">
        <v>2018</v>
      </c>
    </row>
    <row r="270" spans="1:33" x14ac:dyDescent="0.25">
      <c r="D270" t="s">
        <v>531</v>
      </c>
      <c r="E270">
        <f>($N$273*($H$273*((($C$273*'Intermediate calcs'!C4)+Relationships!$C$274)*Drivers!D4)+$H$274)+$N$274)</f>
        <v>3960201.4798099878</v>
      </c>
      <c r="F270">
        <f>($N$273*($H$273*((($C$273*'Intermediate calcs'!D4)+Relationships!$C$274)*Drivers!E4)+$H$274)+$N$274)</f>
        <v>3926225.4512029807</v>
      </c>
      <c r="G270">
        <f>($N$273*($H$273*((($C$273*'Intermediate calcs'!E4)+Relationships!$C$274)*Drivers!F4)+$H$274)+$N$274)</f>
        <v>3891147.1911174832</v>
      </c>
      <c r="H270">
        <f>($N$273*($H$273*((($C$273*'Intermediate calcs'!F4)+Relationships!$C$274)*Drivers!G4)+$H$274)+$N$274)</f>
        <v>3854921.632049025</v>
      </c>
      <c r="I270">
        <f>($N$273*($H$273*((($C$273*'Intermediate calcs'!G4)+Relationships!$C$274)*Drivers!H4)+$H$274)+$N$274)</f>
        <v>3819388.548000461</v>
      </c>
      <c r="J270">
        <f>($N$273*($H$273*((($C$273*'Intermediate calcs'!H4)+Relationships!$C$274)*Drivers!I4)+$H$274)+$N$274)</f>
        <v>3784258.5234226622</v>
      </c>
      <c r="K270">
        <f>($N$273*($H$273*((($C$273*'Intermediate calcs'!I4)+Relationships!$C$274)*Drivers!J4)+$H$274)+$N$274)</f>
        <v>3743982.7971879048</v>
      </c>
      <c r="L270">
        <f>($N$273*($H$273*((($C$273*'Intermediate calcs'!J4)+Relationships!$C$274)*Drivers!K4)+$H$274)+$N$274)</f>
        <v>3719389.2987835919</v>
      </c>
      <c r="M270">
        <f>($N$273*($H$273*((($C$273*'Intermediate calcs'!K4)+Relationships!$C$274)*Drivers!L4)+$H$274)+$N$274)</f>
        <v>3691356.9907951178</v>
      </c>
      <c r="N270">
        <f>($N$273*($H$273*((($C$273*'Intermediate calcs'!L4)+Relationships!$C$274)*Drivers!M4)+$H$274)+$N$274)</f>
        <v>3662452.4007950509</v>
      </c>
      <c r="O270">
        <f>($N$273*($H$273*((($C$273*'Intermediate calcs'!M4)+Relationships!$C$274)*Drivers!N4)+$H$274)+$N$274)</f>
        <v>3629724.389719516</v>
      </c>
      <c r="P270">
        <f>($N$273*($H$273*((($C$273*'Intermediate calcs'!N4)+Relationships!$C$274)*Drivers!O4)+$H$274)+$N$274)</f>
        <v>3599135.0544082918</v>
      </c>
      <c r="Q270">
        <f>($N$273*($H$273*((($C$273*'Intermediate calcs'!O4)+Relationships!$C$274)*Drivers!P4)+$H$274)+$N$274)</f>
        <v>3560930.189951594</v>
      </c>
      <c r="R270">
        <f>($N$273*($H$273*((($C$273*'Intermediate calcs'!P4)+Relationships!$C$274)*Drivers!Q4)+$H$274)+$N$274)</f>
        <v>3530863.3046584418</v>
      </c>
      <c r="S270">
        <f>($N$273*($H$273*((($C$273*'Intermediate calcs'!Q4)+Relationships!$C$274)*Drivers!R4)+$H$274)+$N$274)</f>
        <v>3497214.8559963913</v>
      </c>
      <c r="T270">
        <f>($N$273*($H$273*((($C$273*'Intermediate calcs'!R4)+Relationships!$C$274)*Drivers!S4)+$H$274)+$N$274)</f>
        <v>3461298.9498267737</v>
      </c>
      <c r="U270">
        <f>($N$273*($H$273*((($C$273*'Intermediate calcs'!S4)+Relationships!$C$274)*Drivers!T4)+$H$274)+$N$274)</f>
        <v>3420209.3957703984</v>
      </c>
      <c r="V270">
        <f>($N$273*($H$273*((($C$273*'Intermediate calcs'!T4)+Relationships!$C$274)*Drivers!U4)+$H$274)+$N$274)</f>
        <v>3369583.0406578248</v>
      </c>
      <c r="W270">
        <f>($N$273*($H$273*((($C$273*'Intermediate calcs'!U4)+Relationships!$C$274)*Drivers!V4)+$H$274)+$N$274)</f>
        <v>3316766.204874035</v>
      </c>
      <c r="X270">
        <f>($N$273*($H$273*((($C$273*'Intermediate calcs'!V4)+Relationships!$C$274)*Drivers!W4)+$H$274)+$N$274)</f>
        <v>3277118.0107843387</v>
      </c>
      <c r="Y270">
        <f>($N$273*($H$273*((($C$273*'Intermediate calcs'!W4)+Relationships!$C$274)*Drivers!X4)+$H$274)+$N$274)</f>
        <v>3226226.5790509051</v>
      </c>
      <c r="Z270">
        <f>($N$273*($H$273*((($C$273*'Intermediate calcs'!X4)+Relationships!$C$274)*Drivers!Y4)+$H$274)+$N$274)</f>
        <v>3172350.1157116527</v>
      </c>
      <c r="AA270">
        <f>($N$273*($H$273*((($C$273*'Intermediate calcs'!Y4)+Relationships!$C$274)*Drivers!Z4)+$H$274)+$N$274)</f>
        <v>3000632.1274020807</v>
      </c>
      <c r="AB270">
        <f>($N$273*($H$273*((($C$273*'Intermediate calcs'!Z4)+Relationships!$C$274)*Drivers!AA4)+$H$274)+$N$274)</f>
        <v>2973512.8514947286</v>
      </c>
      <c r="AC270">
        <f>($N$273*($H$273*((($C$273*'Intermediate calcs'!AA4)+Relationships!$C$274)*Drivers!AB4)+$H$274)+$N$274)</f>
        <v>2948949.9621901899</v>
      </c>
      <c r="AD270">
        <f>($N$273*($H$273*((($C$273*'Intermediate calcs'!AB4)+Relationships!$C$274)*Drivers!AC4)+$H$274)+$N$274)</f>
        <v>2927148.0212267912</v>
      </c>
      <c r="AE270">
        <f>($N$273*($H$273*((($C$273*'Intermediate calcs'!AC4)+Relationships!$C$274)*Drivers!AD4)+$H$274)+$N$274)</f>
        <v>2906326.9446177646</v>
      </c>
      <c r="AF270">
        <f>($N$273*($H$273*((($C$273*'Intermediate calcs'!AD4)+Relationships!$C$274)*Drivers!AE4)+$H$274)+$N$274)</f>
        <v>2883460.5978060341</v>
      </c>
      <c r="AG270">
        <f>($N$273*($H$273*((($C$273*'Intermediate calcs'!AE4)+Relationships!$C$274)*Drivers!AF4)+$H$274)+$N$274)</f>
        <v>2861423.9268659018</v>
      </c>
    </row>
    <row r="271" spans="1:33" x14ac:dyDescent="0.25">
      <c r="D271" t="s">
        <v>532</v>
      </c>
      <c r="E271" s="11">
        <f>E259</f>
        <v>4163000</v>
      </c>
      <c r="F271" s="11">
        <f t="shared" ref="F271:AG271" si="18">F259</f>
        <v>3816000</v>
      </c>
      <c r="G271" s="11">
        <f t="shared" si="18"/>
        <v>4173000</v>
      </c>
      <c r="H271" s="11">
        <f t="shared" si="18"/>
        <v>4377000</v>
      </c>
      <c r="I271" s="11">
        <f t="shared" si="18"/>
        <v>4661000</v>
      </c>
      <c r="J271" s="11">
        <f t="shared" si="18"/>
        <v>3526000</v>
      </c>
      <c r="K271" s="11">
        <f t="shared" si="18"/>
        <v>3761000</v>
      </c>
      <c r="L271" s="11">
        <f t="shared" si="18"/>
        <v>4023000</v>
      </c>
      <c r="M271" s="11">
        <f t="shared" si="18"/>
        <v>3560000</v>
      </c>
      <c r="N271" s="11">
        <f t="shared" si="18"/>
        <v>3567000</v>
      </c>
      <c r="O271" s="11">
        <f t="shared" si="18"/>
        <v>4013000</v>
      </c>
      <c r="P271" s="11">
        <f t="shared" si="18"/>
        <v>3189000</v>
      </c>
      <c r="Q271" s="11">
        <f t="shared" si="18"/>
        <v>3533000</v>
      </c>
      <c r="R271" s="11">
        <f t="shared" si="18"/>
        <v>3651000</v>
      </c>
      <c r="S271" s="11">
        <f t="shared" si="18"/>
        <v>3204000</v>
      </c>
      <c r="T271" s="11">
        <f t="shared" si="18"/>
        <v>3223000</v>
      </c>
      <c r="U271" s="11">
        <f t="shared" si="18"/>
        <v>0</v>
      </c>
      <c r="V271" s="11">
        <f t="shared" si="18"/>
        <v>2897000</v>
      </c>
      <c r="W271" s="11">
        <f t="shared" si="18"/>
        <v>3297000</v>
      </c>
      <c r="X271" s="11">
        <f t="shared" si="18"/>
        <v>2896000</v>
      </c>
      <c r="Y271" s="11">
        <f t="shared" si="18"/>
        <v>3263000</v>
      </c>
      <c r="Z271" s="11">
        <f t="shared" si="18"/>
        <v>2859000</v>
      </c>
      <c r="AA271" s="11">
        <f t="shared" si="18"/>
        <v>3141000</v>
      </c>
      <c r="AB271" s="11">
        <f t="shared" si="18"/>
        <v>3238000</v>
      </c>
      <c r="AC271" s="11">
        <f t="shared" si="18"/>
        <v>3096000</v>
      </c>
      <c r="AD271" s="11">
        <f t="shared" si="18"/>
        <v>3048000</v>
      </c>
      <c r="AE271" s="11">
        <f t="shared" si="18"/>
        <v>2213000</v>
      </c>
      <c r="AF271" s="11">
        <f t="shared" si="18"/>
        <v>2995000</v>
      </c>
      <c r="AG271" s="11">
        <f t="shared" si="18"/>
        <v>2634000</v>
      </c>
    </row>
    <row r="273" spans="2:25" x14ac:dyDescent="0.25">
      <c r="B273" t="s">
        <v>527</v>
      </c>
      <c r="C273">
        <f>SLOPE(E263:AG263,E262:AG262)</f>
        <v>277.62943913693886</v>
      </c>
      <c r="G273" t="s">
        <v>527</v>
      </c>
      <c r="H273">
        <f>SLOPE(E258:AG258,E257:AG257)</f>
        <v>1.4159480884774938</v>
      </c>
      <c r="M273" t="s">
        <v>527</v>
      </c>
      <c r="N273">
        <f>SLOPE(E259:AG259,E258:AG258)</f>
        <v>-0.32446036336012779</v>
      </c>
      <c r="S273" t="s">
        <v>1</v>
      </c>
      <c r="T273">
        <f>SLOPE(E260:AG260,E258:AG258)</f>
        <v>1.3538401660462378</v>
      </c>
      <c r="Y273" t="s">
        <v>1</v>
      </c>
    </row>
    <row r="274" spans="2:25" x14ac:dyDescent="0.25">
      <c r="B274" t="s">
        <v>528</v>
      </c>
      <c r="C274">
        <f>INTERCEPT(E263:AG263,E262:AG262)</f>
        <v>6.8017341216983801E-2</v>
      </c>
      <c r="G274" t="s">
        <v>528</v>
      </c>
      <c r="H274">
        <f>INTERCEPT(E258:AG258,E257:AG257)</f>
        <v>2487563.1240466377</v>
      </c>
      <c r="M274" t="s">
        <v>528</v>
      </c>
      <c r="N274">
        <f>INTERCEPT(E259:AG259,E258:AG258)</f>
        <v>5952008.5388651248</v>
      </c>
      <c r="S274" t="s">
        <v>2</v>
      </c>
      <c r="T274">
        <f>INTERCEPT(E260:AG260,E258:AG258)</f>
        <v>-23879.333046343178</v>
      </c>
      <c r="Y274" t="s">
        <v>2</v>
      </c>
    </row>
    <row r="292" spans="1:69" s="19" customFormat="1" ht="29.25" customHeight="1" x14ac:dyDescent="0.25">
      <c r="A292" s="17" t="s">
        <v>335</v>
      </c>
      <c r="B292" s="17" t="s">
        <v>0</v>
      </c>
      <c r="C292" s="17" t="s">
        <v>287</v>
      </c>
      <c r="D292" s="18" t="s">
        <v>313</v>
      </c>
      <c r="E292" s="17">
        <v>1990</v>
      </c>
      <c r="F292" s="17">
        <v>1991</v>
      </c>
      <c r="G292" s="17">
        <v>1992</v>
      </c>
      <c r="H292" s="17">
        <v>1993</v>
      </c>
      <c r="I292" s="17">
        <v>1994</v>
      </c>
      <c r="J292" s="17">
        <v>1995</v>
      </c>
      <c r="K292" s="17">
        <v>1996</v>
      </c>
      <c r="L292" s="17">
        <v>1997</v>
      </c>
      <c r="M292" s="17">
        <v>1998</v>
      </c>
      <c r="N292" s="17">
        <v>1999</v>
      </c>
      <c r="O292" s="17">
        <v>2000</v>
      </c>
      <c r="P292" s="17">
        <v>2001</v>
      </c>
      <c r="Q292" s="17">
        <v>2002</v>
      </c>
      <c r="R292" s="17">
        <v>2003</v>
      </c>
      <c r="S292" s="17">
        <v>2004</v>
      </c>
      <c r="T292" s="17">
        <v>2005</v>
      </c>
      <c r="U292" s="17">
        <v>2006</v>
      </c>
      <c r="V292" s="17">
        <v>2007</v>
      </c>
      <c r="W292" s="17">
        <v>2008</v>
      </c>
      <c r="X292" s="17">
        <v>2009</v>
      </c>
      <c r="Y292" s="17">
        <v>2010</v>
      </c>
      <c r="Z292" s="17">
        <v>2011</v>
      </c>
      <c r="AA292" s="17">
        <v>2012</v>
      </c>
      <c r="AB292" s="17">
        <v>2013</v>
      </c>
      <c r="AC292" s="17">
        <v>2014</v>
      </c>
      <c r="AD292" s="17">
        <v>2015</v>
      </c>
      <c r="AE292" s="17">
        <v>2016</v>
      </c>
      <c r="AF292" s="17">
        <v>2017</v>
      </c>
      <c r="AG292" s="17">
        <v>2018</v>
      </c>
      <c r="AH292" s="17">
        <v>2019</v>
      </c>
      <c r="AI292" s="17">
        <v>2020</v>
      </c>
      <c r="AJ292" s="17">
        <v>2021</v>
      </c>
      <c r="AK292" s="17">
        <v>2022</v>
      </c>
      <c r="AL292" s="17">
        <v>2023</v>
      </c>
      <c r="AM292" s="17">
        <v>2024</v>
      </c>
      <c r="AN292" s="17">
        <v>2025</v>
      </c>
      <c r="AO292" s="17">
        <v>2026</v>
      </c>
      <c r="AP292" s="17">
        <v>2027</v>
      </c>
      <c r="AQ292" s="17">
        <v>2028</v>
      </c>
      <c r="AR292" s="17">
        <v>2029</v>
      </c>
      <c r="AS292" s="17">
        <v>2030</v>
      </c>
      <c r="AT292" s="17">
        <v>2031</v>
      </c>
      <c r="AU292" s="17">
        <v>2032</v>
      </c>
      <c r="AV292" s="17">
        <v>2033</v>
      </c>
      <c r="AW292" s="17">
        <v>2034</v>
      </c>
      <c r="AX292" s="17">
        <v>2035</v>
      </c>
      <c r="AY292" s="17">
        <v>2036</v>
      </c>
      <c r="AZ292" s="17">
        <v>2037</v>
      </c>
      <c r="BA292" s="17">
        <v>2038</v>
      </c>
      <c r="BB292" s="17">
        <v>2039</v>
      </c>
      <c r="BC292" s="17">
        <v>2040</v>
      </c>
      <c r="BD292" s="17">
        <v>2041</v>
      </c>
      <c r="BE292" s="17">
        <v>2042</v>
      </c>
      <c r="BF292" s="17">
        <v>2043</v>
      </c>
      <c r="BG292" s="17">
        <v>2044</v>
      </c>
      <c r="BH292" s="17">
        <v>2045</v>
      </c>
      <c r="BI292" s="17">
        <v>2046</v>
      </c>
      <c r="BJ292" s="17">
        <v>2047</v>
      </c>
      <c r="BK292" s="17">
        <v>2048</v>
      </c>
      <c r="BL292" s="17">
        <v>2049</v>
      </c>
      <c r="BM292" s="17">
        <v>2050</v>
      </c>
      <c r="BP292" s="18" t="s">
        <v>312</v>
      </c>
      <c r="BQ292" s="17" t="s">
        <v>286</v>
      </c>
    </row>
    <row r="293" spans="1:69" ht="15.75" x14ac:dyDescent="0.25">
      <c r="A293" s="20" t="s">
        <v>427</v>
      </c>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c r="AG293" s="20"/>
      <c r="AH293" s="20"/>
      <c r="AI293" s="20"/>
      <c r="AJ293" s="20"/>
      <c r="AK293" s="20"/>
      <c r="AL293" s="20"/>
      <c r="AM293" s="20"/>
      <c r="AN293" s="20"/>
      <c r="AO293" s="20"/>
      <c r="AP293" s="20"/>
      <c r="AQ293" s="20"/>
      <c r="AR293" s="20"/>
      <c r="AS293" s="20"/>
      <c r="AT293" s="20"/>
      <c r="AU293" s="20"/>
      <c r="AV293" s="20"/>
      <c r="AW293" s="20"/>
      <c r="AX293" s="20"/>
      <c r="AY293" s="20"/>
      <c r="AZ293" s="20"/>
      <c r="BA293" s="20"/>
      <c r="BB293" s="20"/>
      <c r="BC293" s="20"/>
      <c r="BD293" s="20"/>
      <c r="BE293" s="20"/>
      <c r="BF293" s="20"/>
      <c r="BG293" s="20"/>
      <c r="BH293" s="20"/>
      <c r="BI293" s="20"/>
      <c r="BJ293" s="20"/>
      <c r="BK293" s="20"/>
      <c r="BL293" s="20"/>
      <c r="BM293" s="20"/>
    </row>
    <row r="294" spans="1:69" x14ac:dyDescent="0.25">
      <c r="A294" t="s">
        <v>428</v>
      </c>
      <c r="B294" t="s">
        <v>327</v>
      </c>
      <c r="E294">
        <f t="shared" ref="E294:AG294" si="19">E296-E295</f>
        <v>36000</v>
      </c>
      <c r="F294">
        <f t="shared" si="19"/>
        <v>5000</v>
      </c>
      <c r="G294">
        <f t="shared" si="19"/>
        <v>13000</v>
      </c>
      <c r="H294">
        <f t="shared" si="19"/>
        <v>7000</v>
      </c>
      <c r="I294">
        <f t="shared" si="19"/>
        <v>9000</v>
      </c>
      <c r="J294">
        <f t="shared" si="19"/>
        <v>2000</v>
      </c>
      <c r="K294">
        <f t="shared" si="19"/>
        <v>12000</v>
      </c>
      <c r="L294">
        <f t="shared" si="19"/>
        <v>164000</v>
      </c>
      <c r="M294">
        <f t="shared" si="19"/>
        <v>45000</v>
      </c>
      <c r="N294">
        <f t="shared" si="19"/>
        <v>73000</v>
      </c>
      <c r="O294">
        <f t="shared" si="19"/>
        <v>107000</v>
      </c>
      <c r="P294">
        <f t="shared" si="19"/>
        <v>64000</v>
      </c>
      <c r="Q294">
        <f t="shared" si="19"/>
        <v>87000</v>
      </c>
      <c r="R294">
        <f t="shared" si="19"/>
        <v>84000</v>
      </c>
      <c r="S294">
        <f t="shared" si="19"/>
        <v>77000</v>
      </c>
      <c r="T294">
        <f t="shared" si="19"/>
        <v>67000</v>
      </c>
      <c r="U294">
        <f t="shared" si="19"/>
        <v>102000</v>
      </c>
      <c r="V294">
        <f t="shared" si="19"/>
        <v>70000</v>
      </c>
      <c r="W294">
        <f t="shared" si="19"/>
        <v>79000</v>
      </c>
      <c r="X294">
        <f t="shared" si="19"/>
        <v>94000</v>
      </c>
      <c r="Y294">
        <f t="shared" si="19"/>
        <v>89000</v>
      </c>
      <c r="Z294">
        <f t="shared" si="19"/>
        <v>53000</v>
      </c>
      <c r="AA294">
        <f t="shared" si="19"/>
        <v>192000</v>
      </c>
      <c r="AB294">
        <f t="shared" si="19"/>
        <v>94000</v>
      </c>
      <c r="AC294">
        <f t="shared" si="19"/>
        <v>108000</v>
      </c>
      <c r="AD294">
        <f t="shared" si="19"/>
        <v>66000</v>
      </c>
      <c r="AE294">
        <f t="shared" si="19"/>
        <v>59000</v>
      </c>
      <c r="AF294">
        <f t="shared" si="19"/>
        <v>35000</v>
      </c>
      <c r="AG294">
        <f t="shared" si="19"/>
        <v>31000</v>
      </c>
    </row>
    <row r="295" spans="1:69" x14ac:dyDescent="0.25">
      <c r="A295" t="s">
        <v>429</v>
      </c>
      <c r="B295" t="s">
        <v>327</v>
      </c>
      <c r="E295">
        <v>2271000</v>
      </c>
      <c r="F295">
        <v>2169000</v>
      </c>
      <c r="G295">
        <v>2130000</v>
      </c>
      <c r="H295">
        <v>2125000</v>
      </c>
      <c r="I295">
        <v>2250000</v>
      </c>
      <c r="J295">
        <v>2351000</v>
      </c>
      <c r="K295">
        <v>2407000</v>
      </c>
      <c r="L295">
        <v>2504000</v>
      </c>
      <c r="M295">
        <v>2138000</v>
      </c>
      <c r="N295">
        <v>2348000</v>
      </c>
      <c r="O295">
        <v>2345000</v>
      </c>
      <c r="P295">
        <v>2424000</v>
      </c>
      <c r="Q295">
        <v>2519000</v>
      </c>
      <c r="R295">
        <v>2575000</v>
      </c>
      <c r="S295">
        <v>2652000</v>
      </c>
      <c r="T295">
        <v>2734000</v>
      </c>
      <c r="U295">
        <v>2781000</v>
      </c>
      <c r="V295">
        <v>2818000</v>
      </c>
      <c r="W295">
        <v>2844000</v>
      </c>
      <c r="X295">
        <v>2849000</v>
      </c>
      <c r="Y295">
        <v>2991000</v>
      </c>
      <c r="Z295">
        <v>2944000</v>
      </c>
      <c r="AA295">
        <v>3066000</v>
      </c>
      <c r="AB295">
        <v>3008000</v>
      </c>
      <c r="AC295">
        <v>3122000</v>
      </c>
      <c r="AD295">
        <v>3109000</v>
      </c>
      <c r="AE295">
        <v>3142000</v>
      </c>
      <c r="AF295">
        <v>3161000</v>
      </c>
      <c r="AG295">
        <v>3205000</v>
      </c>
    </row>
    <row r="296" spans="1:69" x14ac:dyDescent="0.25">
      <c r="A296" t="s">
        <v>430</v>
      </c>
      <c r="B296" t="s">
        <v>327</v>
      </c>
      <c r="E296">
        <v>2307000</v>
      </c>
      <c r="F296">
        <v>2174000</v>
      </c>
      <c r="G296">
        <v>2143000</v>
      </c>
      <c r="H296">
        <v>2132000</v>
      </c>
      <c r="I296">
        <v>2259000</v>
      </c>
      <c r="J296">
        <v>2353000</v>
      </c>
      <c r="K296">
        <v>2419000</v>
      </c>
      <c r="L296">
        <v>2668000</v>
      </c>
      <c r="M296">
        <v>2183000</v>
      </c>
      <c r="N296">
        <v>2421000</v>
      </c>
      <c r="O296">
        <v>2452000</v>
      </c>
      <c r="P296">
        <v>2488000</v>
      </c>
      <c r="Q296">
        <v>2606000</v>
      </c>
      <c r="R296">
        <v>2659000</v>
      </c>
      <c r="S296">
        <v>2729000</v>
      </c>
      <c r="T296">
        <v>2801000</v>
      </c>
      <c r="U296">
        <v>2883000</v>
      </c>
      <c r="V296">
        <v>2888000</v>
      </c>
      <c r="W296">
        <v>2923000</v>
      </c>
      <c r="X296">
        <v>2943000</v>
      </c>
      <c r="Y296">
        <v>3080000</v>
      </c>
      <c r="Z296">
        <v>2997000</v>
      </c>
      <c r="AA296">
        <v>3258000</v>
      </c>
      <c r="AB296">
        <v>3102000</v>
      </c>
      <c r="AC296">
        <v>3230000</v>
      </c>
      <c r="AD296">
        <v>3175000</v>
      </c>
      <c r="AE296">
        <v>3201000</v>
      </c>
      <c r="AF296">
        <v>3196000</v>
      </c>
      <c r="AG296">
        <v>3236000</v>
      </c>
    </row>
    <row r="297" spans="1:69" x14ac:dyDescent="0.25">
      <c r="A297" t="s">
        <v>432</v>
      </c>
      <c r="B297" t="s">
        <v>411</v>
      </c>
      <c r="E297" s="11">
        <v>1563000</v>
      </c>
      <c r="F297" s="11">
        <v>1436000</v>
      </c>
      <c r="G297" s="11">
        <v>750000</v>
      </c>
      <c r="H297" s="11">
        <v>1075000</v>
      </c>
      <c r="I297" s="11">
        <v>1048000</v>
      </c>
      <c r="J297" s="11">
        <v>1363000</v>
      </c>
      <c r="K297" s="11">
        <v>1294000</v>
      </c>
      <c r="L297" s="11">
        <v>1382000</v>
      </c>
      <c r="M297" s="11">
        <v>745000</v>
      </c>
      <c r="N297" s="11">
        <v>718000</v>
      </c>
      <c r="O297" s="11">
        <v>934000</v>
      </c>
      <c r="P297" s="11">
        <v>974000</v>
      </c>
      <c r="Q297" s="11">
        <v>941000</v>
      </c>
      <c r="R297" s="11">
        <v>748000</v>
      </c>
      <c r="S297" s="11">
        <v>830000</v>
      </c>
      <c r="T297" s="11">
        <v>805000</v>
      </c>
      <c r="U297" s="11">
        <v>765000</v>
      </c>
      <c r="V297" s="11">
        <v>632000</v>
      </c>
      <c r="W297" s="11">
        <v>748000</v>
      </c>
      <c r="X297" s="11">
        <v>642000</v>
      </c>
      <c r="Y297" s="11">
        <v>558000</v>
      </c>
      <c r="Z297" s="11">
        <v>605000</v>
      </c>
      <c r="AA297" s="11">
        <v>511000</v>
      </c>
      <c r="AB297" s="11">
        <v>505000</v>
      </c>
      <c r="AC297" s="11">
        <v>477000</v>
      </c>
      <c r="AD297" s="11">
        <v>482000</v>
      </c>
      <c r="AE297" s="11">
        <v>508000</v>
      </c>
      <c r="AF297" s="11">
        <v>492000</v>
      </c>
      <c r="AG297" s="11">
        <v>503000</v>
      </c>
    </row>
    <row r="298" spans="1:69" x14ac:dyDescent="0.25">
      <c r="A298" t="s">
        <v>431</v>
      </c>
      <c r="B298" t="s">
        <v>327</v>
      </c>
      <c r="E298">
        <v>1709000</v>
      </c>
      <c r="F298">
        <v>2142000</v>
      </c>
      <c r="G298">
        <v>1324000</v>
      </c>
      <c r="H298">
        <v>1984000</v>
      </c>
      <c r="I298">
        <v>1840000</v>
      </c>
      <c r="J298">
        <v>1977000</v>
      </c>
      <c r="K298">
        <v>2712000</v>
      </c>
      <c r="L298">
        <v>2429000</v>
      </c>
      <c r="M298">
        <v>1892000</v>
      </c>
      <c r="N298">
        <v>1733000</v>
      </c>
      <c r="O298">
        <v>2428000</v>
      </c>
      <c r="P298">
        <v>2504000</v>
      </c>
      <c r="Q298">
        <v>2438000</v>
      </c>
      <c r="R298">
        <v>1547000</v>
      </c>
      <c r="S298">
        <v>1687000</v>
      </c>
      <c r="T298">
        <v>1913000</v>
      </c>
      <c r="U298">
        <v>2114000</v>
      </c>
      <c r="V298">
        <v>1913000</v>
      </c>
      <c r="W298">
        <v>2149000</v>
      </c>
      <c r="X298">
        <v>1967000</v>
      </c>
      <c r="Y298">
        <v>1436000</v>
      </c>
      <c r="Z298">
        <v>2014000</v>
      </c>
      <c r="AA298">
        <v>1878000</v>
      </c>
      <c r="AB298">
        <v>1878000</v>
      </c>
      <c r="AC298">
        <v>1758000</v>
      </c>
      <c r="AD298">
        <v>1446000</v>
      </c>
      <c r="AE298">
        <v>1918000</v>
      </c>
      <c r="AF298">
        <v>1542000</v>
      </c>
      <c r="AG298">
        <v>1807000</v>
      </c>
    </row>
    <row r="299" spans="1:69" x14ac:dyDescent="0.25">
      <c r="A299" t="s">
        <v>432</v>
      </c>
      <c r="B299" t="s">
        <v>411</v>
      </c>
      <c r="E299" s="11">
        <v>1563000</v>
      </c>
      <c r="F299" s="11">
        <v>1436000</v>
      </c>
      <c r="G299" s="11">
        <v>750000</v>
      </c>
      <c r="H299" s="11">
        <v>1075000</v>
      </c>
      <c r="I299" s="11">
        <v>1048000</v>
      </c>
      <c r="J299" s="11">
        <v>1363000</v>
      </c>
      <c r="K299" s="11">
        <v>1294000</v>
      </c>
      <c r="L299" s="11">
        <v>1382000</v>
      </c>
      <c r="M299" s="11">
        <v>745000</v>
      </c>
      <c r="N299" s="11">
        <v>718000</v>
      </c>
      <c r="O299" s="11">
        <v>934000</v>
      </c>
      <c r="P299" s="11">
        <v>974000</v>
      </c>
      <c r="Q299" s="11">
        <v>941000</v>
      </c>
      <c r="R299" s="11">
        <v>748000</v>
      </c>
      <c r="S299" s="11">
        <v>830000</v>
      </c>
      <c r="T299" s="11">
        <v>805000</v>
      </c>
      <c r="U299" s="11">
        <v>765000</v>
      </c>
      <c r="V299" s="11">
        <v>632000</v>
      </c>
      <c r="W299" s="11">
        <v>748000</v>
      </c>
      <c r="X299" s="11">
        <v>642000</v>
      </c>
      <c r="Y299" s="11">
        <v>558000</v>
      </c>
      <c r="Z299" s="11">
        <v>605000</v>
      </c>
      <c r="AA299" s="11">
        <v>511000</v>
      </c>
      <c r="AB299" s="11">
        <v>505000</v>
      </c>
      <c r="AC299" s="11">
        <v>477000</v>
      </c>
      <c r="AD299" s="11">
        <v>482000</v>
      </c>
      <c r="AE299" s="11">
        <v>508000</v>
      </c>
      <c r="AF299" s="11">
        <v>492000</v>
      </c>
      <c r="AG299" s="11">
        <v>503000</v>
      </c>
    </row>
    <row r="300" spans="1:69" x14ac:dyDescent="0.25">
      <c r="A300" t="str">
        <f>'Intermediate calcs'!A4</f>
        <v>Wealth (GVA)</v>
      </c>
      <c r="B300" t="str">
        <f>'Intermediate calcs'!B4</f>
        <v>GVA/capita</v>
      </c>
      <c r="E300">
        <f>'Intermediate calcs'!C4</f>
        <v>7.3995172186341224E-6</v>
      </c>
      <c r="F300">
        <f>'Intermediate calcs'!D4</f>
        <v>8.3160321270873128E-6</v>
      </c>
      <c r="G300">
        <f>'Intermediate calcs'!E4</f>
        <v>9.1809688444329608E-6</v>
      </c>
      <c r="H300">
        <f>'Intermediate calcs'!F4</f>
        <v>1.0183063676790614E-5</v>
      </c>
      <c r="I300">
        <f>'Intermediate calcs'!G4</f>
        <v>1.1198558803003417E-5</v>
      </c>
      <c r="J300">
        <f>'Intermediate calcs'!H4</f>
        <v>1.2456004786976505E-5</v>
      </c>
      <c r="K300">
        <f>'Intermediate calcs'!I4</f>
        <v>1.5023575074943164E-5</v>
      </c>
      <c r="L300">
        <f>'Intermediate calcs'!J4</f>
        <v>1.4993976964585091E-5</v>
      </c>
      <c r="M300">
        <f>'Intermediate calcs'!K4</f>
        <v>1.5889974557177216E-5</v>
      </c>
      <c r="N300">
        <f>'Intermediate calcs'!L4</f>
        <v>1.7139534783540361E-5</v>
      </c>
      <c r="O300">
        <f>'Intermediate calcs'!M4</f>
        <v>1.9178073296508686E-5</v>
      </c>
      <c r="P300">
        <f>'Intermediate calcs'!N4</f>
        <v>2.0941920561623974E-5</v>
      </c>
      <c r="Q300">
        <f>'Intermediate calcs'!O4</f>
        <v>2.4092156096673536E-5</v>
      </c>
      <c r="R300">
        <f>'Intermediate calcs'!P4</f>
        <v>2.5864721644610491E-5</v>
      </c>
      <c r="S300">
        <f>'Intermediate calcs'!Q4</f>
        <v>2.816463639110616E-5</v>
      </c>
      <c r="T300">
        <f>'Intermediate calcs'!R4</f>
        <v>3.0685475313895917E-5</v>
      </c>
      <c r="U300">
        <f>'Intermediate calcs'!S4</f>
        <v>3.3867608215633009E-5</v>
      </c>
      <c r="V300">
        <f>'Intermediate calcs'!T4</f>
        <v>3.8369935813406575E-5</v>
      </c>
      <c r="W300">
        <f>'Intermediate calcs'!U4</f>
        <v>4.2933160137438985E-5</v>
      </c>
      <c r="X300">
        <f>'Intermediate calcs'!V4</f>
        <v>4.5112536477249022E-5</v>
      </c>
      <c r="Y300">
        <f>'Intermediate calcs'!W4</f>
        <v>4.8711594853611398E-5</v>
      </c>
      <c r="Z300">
        <f>'Intermediate calcs'!X4</f>
        <v>5.2388104554380752E-5</v>
      </c>
      <c r="AA300">
        <f>'Intermediate calcs'!Y4</f>
        <v>7.2008674666107316E-5</v>
      </c>
      <c r="AB300">
        <f>'Intermediate calcs'!Z4</f>
        <v>7.3128862350936422E-5</v>
      </c>
      <c r="AC300">
        <f>'Intermediate calcs'!AA4</f>
        <v>7.3832053087208803E-5</v>
      </c>
      <c r="AD300">
        <f>'Intermediate calcs'!AB4</f>
        <v>7.4099569652362116E-5</v>
      </c>
      <c r="AE300">
        <f>'Intermediate calcs'!AC4</f>
        <v>7.3966728660027013E-5</v>
      </c>
      <c r="AF300">
        <f>'Intermediate calcs'!AD4</f>
        <v>7.4125058503467776E-5</v>
      </c>
      <c r="AG300">
        <f>'Intermediate calcs'!AE4</f>
        <v>7.4164408302538267E-5</v>
      </c>
    </row>
    <row r="301" spans="1:69" x14ac:dyDescent="0.25">
      <c r="A301" t="s">
        <v>433</v>
      </c>
      <c r="B301" t="s">
        <v>328</v>
      </c>
      <c r="E301">
        <f>E295/Drivers!D4</f>
        <v>6.1711102963276948E-2</v>
      </c>
      <c r="F301">
        <f>F295/Drivers!E4</f>
        <v>5.7504251841580957E-2</v>
      </c>
      <c r="G301">
        <f>G295/Drivers!F4</f>
        <v>5.5077745340519714E-2</v>
      </c>
      <c r="H301">
        <f>H295/Drivers!G4</f>
        <v>5.361592077459236E-2</v>
      </c>
      <c r="I301">
        <f>I295/Drivers!H4</f>
        <v>5.546782189622592E-2</v>
      </c>
      <c r="J301">
        <f>J295/Drivers!I4</f>
        <v>5.6738433504703839E-2</v>
      </c>
      <c r="K301">
        <f>K295/Drivers!J4</f>
        <v>5.6982537657538544E-2</v>
      </c>
      <c r="L301">
        <f>L295/Drivers!K4</f>
        <v>5.8249543977486828E-2</v>
      </c>
      <c r="M301">
        <f>M295/Drivers!L4</f>
        <v>4.8944354069592556E-2</v>
      </c>
      <c r="N301">
        <f>N295/Drivers!M4</f>
        <v>5.295618306627712E-2</v>
      </c>
      <c r="O301">
        <f>O295/Drivers!N4</f>
        <v>5.2148532898318944E-2</v>
      </c>
      <c r="P301">
        <f>P295/Drivers!O4</f>
        <v>5.319140298776813E-2</v>
      </c>
      <c r="Q301">
        <f>Q295/Drivers!P4</f>
        <v>5.4581802097826322E-2</v>
      </c>
      <c r="R301">
        <f>R295/Drivers!Q4</f>
        <v>5.5116530686872264E-2</v>
      </c>
      <c r="S301">
        <f>S295/Drivers!R4</f>
        <v>5.6077600233952703E-2</v>
      </c>
      <c r="T301">
        <f>T295/Drivers!S4</f>
        <v>5.7100369312406918E-2</v>
      </c>
      <c r="U301">
        <f>U295/Drivers!T4</f>
        <v>5.7352671226956767E-2</v>
      </c>
      <c r="V301">
        <f>V295/Drivers!U4</f>
        <v>5.7369988317735841E-2</v>
      </c>
      <c r="W301">
        <f>W295/Drivers!V4</f>
        <v>5.7131985191244801E-2</v>
      </c>
      <c r="X301">
        <f>X295/Drivers!W4</f>
        <v>5.6441535335759081E-2</v>
      </c>
      <c r="Y301">
        <f>Y295/Drivers!X4</f>
        <v>5.8398619644850484E-2</v>
      </c>
      <c r="Z301">
        <f>Z295/Drivers!Y4</f>
        <v>5.6610842683929283E-2</v>
      </c>
      <c r="AA301">
        <f>AA295/Drivers!Z4</f>
        <v>5.7813725835577916E-2</v>
      </c>
      <c r="AB301">
        <f>AB295/Drivers!AA4</f>
        <v>5.6209582046640304E-2</v>
      </c>
      <c r="AC301">
        <f>AC295/Drivers!AB4</f>
        <v>5.7814814814814812E-2</v>
      </c>
      <c r="AD301">
        <f>AD295/Drivers!AC4</f>
        <v>5.7055915494555132E-2</v>
      </c>
      <c r="AE301">
        <f>AE295/Drivers!AD4</f>
        <v>5.7101430633891018E-2</v>
      </c>
      <c r="AF301">
        <f>AF295/Drivers!AE4</f>
        <v>5.6894087384507519E-2</v>
      </c>
      <c r="AG301">
        <f>AG295/Drivers!AF4</f>
        <v>5.7136377004169001E-2</v>
      </c>
    </row>
    <row r="302" spans="1:69" x14ac:dyDescent="0.25">
      <c r="A302" t="s">
        <v>429</v>
      </c>
      <c r="B302" t="s">
        <v>327</v>
      </c>
      <c r="E302">
        <f>E295</f>
        <v>2271000</v>
      </c>
      <c r="F302">
        <f t="shared" ref="F302:AG302" si="20">F295</f>
        <v>2169000</v>
      </c>
      <c r="G302">
        <f t="shared" si="20"/>
        <v>2130000</v>
      </c>
      <c r="H302">
        <f t="shared" si="20"/>
        <v>2125000</v>
      </c>
      <c r="I302">
        <f t="shared" si="20"/>
        <v>2250000</v>
      </c>
      <c r="J302">
        <f t="shared" si="20"/>
        <v>2351000</v>
      </c>
      <c r="K302">
        <f t="shared" si="20"/>
        <v>2407000</v>
      </c>
      <c r="L302">
        <f t="shared" si="20"/>
        <v>2504000</v>
      </c>
      <c r="M302">
        <f t="shared" si="20"/>
        <v>2138000</v>
      </c>
      <c r="N302">
        <f t="shared" si="20"/>
        <v>2348000</v>
      </c>
      <c r="O302">
        <f t="shared" si="20"/>
        <v>2345000</v>
      </c>
      <c r="P302">
        <f t="shared" si="20"/>
        <v>2424000</v>
      </c>
      <c r="Q302">
        <f t="shared" si="20"/>
        <v>2519000</v>
      </c>
      <c r="R302">
        <f t="shared" si="20"/>
        <v>2575000</v>
      </c>
      <c r="S302">
        <f t="shared" si="20"/>
        <v>2652000</v>
      </c>
      <c r="T302">
        <f t="shared" si="20"/>
        <v>2734000</v>
      </c>
      <c r="U302">
        <f t="shared" si="20"/>
        <v>2781000</v>
      </c>
      <c r="V302">
        <f t="shared" si="20"/>
        <v>2818000</v>
      </c>
      <c r="W302">
        <f t="shared" si="20"/>
        <v>2844000</v>
      </c>
      <c r="X302">
        <f t="shared" si="20"/>
        <v>2849000</v>
      </c>
      <c r="Y302">
        <f t="shared" si="20"/>
        <v>2991000</v>
      </c>
      <c r="Z302">
        <f t="shared" si="20"/>
        <v>2944000</v>
      </c>
      <c r="AA302">
        <f t="shared" si="20"/>
        <v>3066000</v>
      </c>
      <c r="AB302">
        <f t="shared" si="20"/>
        <v>3008000</v>
      </c>
      <c r="AC302">
        <f t="shared" si="20"/>
        <v>3122000</v>
      </c>
      <c r="AD302">
        <f t="shared" si="20"/>
        <v>3109000</v>
      </c>
      <c r="AE302">
        <f t="shared" si="20"/>
        <v>3142000</v>
      </c>
      <c r="AF302">
        <f t="shared" si="20"/>
        <v>3161000</v>
      </c>
      <c r="AG302">
        <f t="shared" si="20"/>
        <v>3205000</v>
      </c>
    </row>
    <row r="303" spans="1:69" x14ac:dyDescent="0.25">
      <c r="A303" t="s">
        <v>430</v>
      </c>
      <c r="B303" t="s">
        <v>327</v>
      </c>
      <c r="E303">
        <f>E296</f>
        <v>2307000</v>
      </c>
      <c r="F303">
        <f t="shared" ref="F303:AG303" si="21">F296</f>
        <v>2174000</v>
      </c>
      <c r="G303">
        <f t="shared" si="21"/>
        <v>2143000</v>
      </c>
      <c r="H303">
        <f t="shared" si="21"/>
        <v>2132000</v>
      </c>
      <c r="I303">
        <f t="shared" si="21"/>
        <v>2259000</v>
      </c>
      <c r="J303">
        <f t="shared" si="21"/>
        <v>2353000</v>
      </c>
      <c r="K303">
        <f t="shared" si="21"/>
        <v>2419000</v>
      </c>
      <c r="L303">
        <f t="shared" si="21"/>
        <v>2668000</v>
      </c>
      <c r="M303">
        <f t="shared" si="21"/>
        <v>2183000</v>
      </c>
      <c r="N303">
        <f t="shared" si="21"/>
        <v>2421000</v>
      </c>
      <c r="O303">
        <f t="shared" si="21"/>
        <v>2452000</v>
      </c>
      <c r="P303">
        <f t="shared" si="21"/>
        <v>2488000</v>
      </c>
      <c r="Q303">
        <f t="shared" si="21"/>
        <v>2606000</v>
      </c>
      <c r="R303">
        <f t="shared" si="21"/>
        <v>2659000</v>
      </c>
      <c r="S303">
        <f t="shared" si="21"/>
        <v>2729000</v>
      </c>
      <c r="T303">
        <f t="shared" si="21"/>
        <v>2801000</v>
      </c>
      <c r="U303">
        <f t="shared" si="21"/>
        <v>2883000</v>
      </c>
      <c r="V303">
        <f t="shared" si="21"/>
        <v>2888000</v>
      </c>
      <c r="W303">
        <f t="shared" si="21"/>
        <v>2923000</v>
      </c>
      <c r="X303">
        <f t="shared" si="21"/>
        <v>2943000</v>
      </c>
      <c r="Y303">
        <f t="shared" si="21"/>
        <v>3080000</v>
      </c>
      <c r="Z303">
        <f t="shared" si="21"/>
        <v>2997000</v>
      </c>
      <c r="AA303">
        <f t="shared" si="21"/>
        <v>3258000</v>
      </c>
      <c r="AB303">
        <f t="shared" si="21"/>
        <v>3102000</v>
      </c>
      <c r="AC303">
        <f t="shared" si="21"/>
        <v>3230000</v>
      </c>
      <c r="AD303">
        <f t="shared" si="21"/>
        <v>3175000</v>
      </c>
      <c r="AE303">
        <f t="shared" si="21"/>
        <v>3201000</v>
      </c>
      <c r="AF303">
        <f t="shared" si="21"/>
        <v>3196000</v>
      </c>
      <c r="AG303">
        <f t="shared" si="21"/>
        <v>3236000</v>
      </c>
    </row>
    <row r="304" spans="1:69" x14ac:dyDescent="0.25">
      <c r="A304" t="s">
        <v>434</v>
      </c>
      <c r="B304" t="s">
        <v>327</v>
      </c>
      <c r="E304">
        <v>268000</v>
      </c>
      <c r="F304">
        <v>116000</v>
      </c>
      <c r="G304">
        <v>148000</v>
      </c>
      <c r="H304">
        <v>195000</v>
      </c>
      <c r="I304">
        <v>80000</v>
      </c>
      <c r="J304">
        <v>160000</v>
      </c>
      <c r="K304">
        <v>156000</v>
      </c>
      <c r="L304">
        <v>236000</v>
      </c>
      <c r="M304">
        <v>79000</v>
      </c>
      <c r="N304">
        <v>75000</v>
      </c>
      <c r="O304">
        <v>72000</v>
      </c>
      <c r="P304">
        <v>103000</v>
      </c>
      <c r="Q304">
        <v>149000</v>
      </c>
      <c r="R304">
        <v>179000</v>
      </c>
      <c r="S304">
        <v>158000</v>
      </c>
      <c r="T304">
        <v>158000</v>
      </c>
      <c r="U304">
        <v>111000</v>
      </c>
      <c r="V304">
        <v>211000</v>
      </c>
      <c r="W304">
        <v>223000</v>
      </c>
      <c r="X304">
        <v>231000</v>
      </c>
      <c r="Y304">
        <v>240000</v>
      </c>
      <c r="Z304">
        <v>179000</v>
      </c>
      <c r="AA304">
        <v>288000</v>
      </c>
      <c r="AB304">
        <v>304000</v>
      </c>
      <c r="AC304">
        <v>268000</v>
      </c>
      <c r="AD304">
        <v>292000</v>
      </c>
      <c r="AE304">
        <v>69000</v>
      </c>
      <c r="AF304">
        <v>105000</v>
      </c>
      <c r="AG304">
        <v>113000</v>
      </c>
    </row>
    <row r="305" spans="1:33" x14ac:dyDescent="0.25">
      <c r="A305" t="s">
        <v>435</v>
      </c>
      <c r="B305" t="s">
        <v>327</v>
      </c>
      <c r="E305">
        <f>E296+E304</f>
        <v>2575000</v>
      </c>
      <c r="F305">
        <f t="shared" ref="F305:AG305" si="22">F296+F304</f>
        <v>2290000</v>
      </c>
      <c r="G305">
        <f t="shared" si="22"/>
        <v>2291000</v>
      </c>
      <c r="H305">
        <f t="shared" si="22"/>
        <v>2327000</v>
      </c>
      <c r="I305">
        <f t="shared" si="22"/>
        <v>2339000</v>
      </c>
      <c r="J305">
        <f t="shared" si="22"/>
        <v>2513000</v>
      </c>
      <c r="K305">
        <f t="shared" si="22"/>
        <v>2575000</v>
      </c>
      <c r="L305">
        <f t="shared" si="22"/>
        <v>2904000</v>
      </c>
      <c r="M305">
        <f t="shared" si="22"/>
        <v>2262000</v>
      </c>
      <c r="N305">
        <f t="shared" si="22"/>
        <v>2496000</v>
      </c>
      <c r="O305">
        <f t="shared" si="22"/>
        <v>2524000</v>
      </c>
      <c r="P305">
        <f t="shared" si="22"/>
        <v>2591000</v>
      </c>
      <c r="Q305">
        <f t="shared" si="22"/>
        <v>2755000</v>
      </c>
      <c r="R305">
        <f t="shared" si="22"/>
        <v>2838000</v>
      </c>
      <c r="S305">
        <f t="shared" si="22"/>
        <v>2887000</v>
      </c>
      <c r="T305">
        <f t="shared" si="22"/>
        <v>2959000</v>
      </c>
      <c r="U305">
        <f t="shared" si="22"/>
        <v>2994000</v>
      </c>
      <c r="V305">
        <f t="shared" si="22"/>
        <v>3099000</v>
      </c>
      <c r="W305">
        <f t="shared" si="22"/>
        <v>3146000</v>
      </c>
      <c r="X305">
        <f t="shared" si="22"/>
        <v>3174000</v>
      </c>
      <c r="Y305">
        <f t="shared" si="22"/>
        <v>3320000</v>
      </c>
      <c r="Z305">
        <f t="shared" si="22"/>
        <v>3176000</v>
      </c>
      <c r="AA305">
        <f t="shared" si="22"/>
        <v>3546000</v>
      </c>
      <c r="AB305">
        <f t="shared" si="22"/>
        <v>3406000</v>
      </c>
      <c r="AC305">
        <f t="shared" si="22"/>
        <v>3498000</v>
      </c>
      <c r="AD305">
        <f t="shared" si="22"/>
        <v>3467000</v>
      </c>
      <c r="AE305">
        <f t="shared" si="22"/>
        <v>3270000</v>
      </c>
      <c r="AF305">
        <f t="shared" si="22"/>
        <v>3301000</v>
      </c>
      <c r="AG305">
        <f t="shared" si="22"/>
        <v>3349000</v>
      </c>
    </row>
    <row r="306" spans="1:33" x14ac:dyDescent="0.25">
      <c r="A306" t="s">
        <v>431</v>
      </c>
      <c r="B306" t="s">
        <v>327</v>
      </c>
      <c r="E306">
        <f>E298</f>
        <v>1709000</v>
      </c>
      <c r="F306">
        <f t="shared" ref="F306:AG306" si="23">F298</f>
        <v>2142000</v>
      </c>
      <c r="G306">
        <f t="shared" si="23"/>
        <v>1324000</v>
      </c>
      <c r="H306">
        <f t="shared" si="23"/>
        <v>1984000</v>
      </c>
      <c r="I306">
        <f t="shared" si="23"/>
        <v>1840000</v>
      </c>
      <c r="J306">
        <f t="shared" si="23"/>
        <v>1977000</v>
      </c>
      <c r="K306">
        <f t="shared" si="23"/>
        <v>2712000</v>
      </c>
      <c r="L306">
        <f t="shared" si="23"/>
        <v>2429000</v>
      </c>
      <c r="M306">
        <f t="shared" si="23"/>
        <v>1892000</v>
      </c>
      <c r="N306">
        <f t="shared" si="23"/>
        <v>1733000</v>
      </c>
      <c r="O306">
        <f t="shared" si="23"/>
        <v>2428000</v>
      </c>
      <c r="P306">
        <f t="shared" si="23"/>
        <v>2504000</v>
      </c>
      <c r="Q306">
        <f t="shared" si="23"/>
        <v>2438000</v>
      </c>
      <c r="R306">
        <f t="shared" si="23"/>
        <v>1547000</v>
      </c>
      <c r="S306">
        <f t="shared" si="23"/>
        <v>1687000</v>
      </c>
      <c r="T306">
        <f t="shared" si="23"/>
        <v>1913000</v>
      </c>
      <c r="U306">
        <f t="shared" si="23"/>
        <v>2114000</v>
      </c>
      <c r="V306">
        <f t="shared" si="23"/>
        <v>1913000</v>
      </c>
      <c r="W306">
        <f t="shared" si="23"/>
        <v>2149000</v>
      </c>
      <c r="X306">
        <f t="shared" si="23"/>
        <v>1967000</v>
      </c>
      <c r="Y306">
        <f t="shared" si="23"/>
        <v>1436000</v>
      </c>
      <c r="Z306">
        <f t="shared" si="23"/>
        <v>2014000</v>
      </c>
      <c r="AA306">
        <f t="shared" si="23"/>
        <v>1878000</v>
      </c>
      <c r="AB306">
        <f t="shared" si="23"/>
        <v>1878000</v>
      </c>
      <c r="AC306">
        <f t="shared" si="23"/>
        <v>1758000</v>
      </c>
      <c r="AD306">
        <f t="shared" si="23"/>
        <v>1446000</v>
      </c>
      <c r="AE306">
        <f t="shared" si="23"/>
        <v>1918000</v>
      </c>
      <c r="AF306">
        <f t="shared" si="23"/>
        <v>1542000</v>
      </c>
      <c r="AG306">
        <f t="shared" si="23"/>
        <v>1807000</v>
      </c>
    </row>
    <row r="325" spans="1:69" s="19" customFormat="1" ht="29.25" customHeight="1" x14ac:dyDescent="0.25">
      <c r="A325" s="17" t="s">
        <v>335</v>
      </c>
      <c r="B325" s="17" t="s">
        <v>0</v>
      </c>
      <c r="C325" s="17" t="s">
        <v>287</v>
      </c>
      <c r="D325" s="18" t="s">
        <v>313</v>
      </c>
      <c r="E325" s="17">
        <v>1990</v>
      </c>
      <c r="F325" s="17">
        <v>1991</v>
      </c>
      <c r="G325" s="17">
        <v>1992</v>
      </c>
      <c r="H325" s="17">
        <v>1993</v>
      </c>
      <c r="I325" s="17">
        <v>1994</v>
      </c>
      <c r="J325" s="17">
        <v>1995</v>
      </c>
      <c r="K325" s="17">
        <v>1996</v>
      </c>
      <c r="L325" s="17">
        <v>1997</v>
      </c>
      <c r="M325" s="17">
        <v>1998</v>
      </c>
      <c r="N325" s="17">
        <v>1999</v>
      </c>
      <c r="O325" s="17">
        <v>2000</v>
      </c>
      <c r="P325" s="17">
        <v>2001</v>
      </c>
      <c r="Q325" s="17">
        <v>2002</v>
      </c>
      <c r="R325" s="17">
        <v>2003</v>
      </c>
      <c r="S325" s="17">
        <v>2004</v>
      </c>
      <c r="T325" s="17">
        <v>2005</v>
      </c>
      <c r="U325" s="17">
        <v>2006</v>
      </c>
      <c r="V325" s="17">
        <v>2007</v>
      </c>
      <c r="W325" s="17">
        <v>2008</v>
      </c>
      <c r="X325" s="17">
        <v>2009</v>
      </c>
      <c r="Y325" s="17">
        <v>2010</v>
      </c>
      <c r="Z325" s="17">
        <v>2011</v>
      </c>
      <c r="AA325" s="17">
        <v>2012</v>
      </c>
      <c r="AB325" s="17">
        <v>2013</v>
      </c>
      <c r="AC325" s="17">
        <v>2014</v>
      </c>
      <c r="AD325" s="17">
        <v>2015</v>
      </c>
      <c r="AE325" s="17">
        <v>2016</v>
      </c>
      <c r="AF325" s="17">
        <v>2017</v>
      </c>
      <c r="AG325" s="17">
        <v>2018</v>
      </c>
      <c r="AH325" s="17">
        <v>2019</v>
      </c>
      <c r="AI325" s="17">
        <v>2020</v>
      </c>
      <c r="AJ325" s="17">
        <v>2021</v>
      </c>
      <c r="AK325" s="17">
        <v>2022</v>
      </c>
      <c r="AL325" s="17">
        <v>2023</v>
      </c>
      <c r="AM325" s="17">
        <v>2024</v>
      </c>
      <c r="AN325" s="17">
        <v>2025</v>
      </c>
      <c r="AO325" s="17">
        <v>2026</v>
      </c>
      <c r="AP325" s="17">
        <v>2027</v>
      </c>
      <c r="AQ325" s="17">
        <v>2028</v>
      </c>
      <c r="AR325" s="17">
        <v>2029</v>
      </c>
      <c r="AS325" s="17">
        <v>2030</v>
      </c>
      <c r="AT325" s="17">
        <v>2031</v>
      </c>
      <c r="AU325" s="17">
        <v>2032</v>
      </c>
      <c r="AV325" s="17">
        <v>2033</v>
      </c>
      <c r="AW325" s="17">
        <v>2034</v>
      </c>
      <c r="AX325" s="17">
        <v>2035</v>
      </c>
      <c r="AY325" s="17">
        <v>2036</v>
      </c>
      <c r="AZ325" s="17">
        <v>2037</v>
      </c>
      <c r="BA325" s="17">
        <v>2038</v>
      </c>
      <c r="BB325" s="17">
        <v>2039</v>
      </c>
      <c r="BC325" s="17">
        <v>2040</v>
      </c>
      <c r="BD325" s="17">
        <v>2041</v>
      </c>
      <c r="BE325" s="17">
        <v>2042</v>
      </c>
      <c r="BF325" s="17">
        <v>2043</v>
      </c>
      <c r="BG325" s="17">
        <v>2044</v>
      </c>
      <c r="BH325" s="17">
        <v>2045</v>
      </c>
      <c r="BI325" s="17">
        <v>2046</v>
      </c>
      <c r="BJ325" s="17">
        <v>2047</v>
      </c>
      <c r="BK325" s="17">
        <v>2048</v>
      </c>
      <c r="BL325" s="17">
        <v>2049</v>
      </c>
      <c r="BM325" s="17">
        <v>2050</v>
      </c>
      <c r="BP325" s="18" t="s">
        <v>312</v>
      </c>
      <c r="BQ325" s="17" t="s">
        <v>286</v>
      </c>
    </row>
    <row r="326" spans="1:69" ht="15.75" x14ac:dyDescent="0.25">
      <c r="A326" s="20" t="s">
        <v>436</v>
      </c>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c r="AG326" s="20"/>
      <c r="AH326" s="20"/>
      <c r="AI326" s="20"/>
      <c r="AJ326" s="20"/>
      <c r="AK326" s="20"/>
      <c r="AL326" s="20"/>
      <c r="AM326" s="20"/>
      <c r="AN326" s="20"/>
      <c r="AO326" s="20"/>
      <c r="AP326" s="20"/>
      <c r="AQ326" s="20"/>
      <c r="AR326" s="20"/>
      <c r="AS326" s="20"/>
      <c r="AT326" s="20"/>
      <c r="AU326" s="20"/>
      <c r="AV326" s="20"/>
      <c r="AW326" s="20"/>
      <c r="AX326" s="20"/>
      <c r="AY326" s="20"/>
      <c r="AZ326" s="20"/>
      <c r="BA326" s="20"/>
      <c r="BB326" s="20"/>
      <c r="BC326" s="20"/>
      <c r="BD326" s="20"/>
      <c r="BE326" s="20"/>
      <c r="BF326" s="20"/>
      <c r="BG326" s="20"/>
      <c r="BH326" s="20"/>
      <c r="BI326" s="20"/>
      <c r="BJ326" s="20"/>
      <c r="BK326" s="20"/>
      <c r="BL326" s="20"/>
      <c r="BM326" s="20"/>
    </row>
    <row r="327" spans="1:69" x14ac:dyDescent="0.25">
      <c r="A327" t="s">
        <v>437</v>
      </c>
      <c r="B327" t="s">
        <v>327</v>
      </c>
      <c r="E327">
        <v>122000</v>
      </c>
      <c r="F327">
        <v>50000</v>
      </c>
      <c r="G327">
        <v>44000</v>
      </c>
      <c r="H327">
        <v>87000</v>
      </c>
      <c r="I327">
        <v>226000</v>
      </c>
      <c r="J327">
        <v>120000</v>
      </c>
      <c r="K327">
        <v>150000</v>
      </c>
      <c r="L327">
        <v>64000</v>
      </c>
      <c r="M327">
        <v>58000</v>
      </c>
      <c r="O327">
        <v>36000</v>
      </c>
      <c r="P327">
        <v>23000</v>
      </c>
      <c r="Q327">
        <v>16000</v>
      </c>
      <c r="R327">
        <v>22000</v>
      </c>
      <c r="S327">
        <v>10000</v>
      </c>
      <c r="T327">
        <v>10000</v>
      </c>
      <c r="U327">
        <v>12000</v>
      </c>
      <c r="V327">
        <v>8000</v>
      </c>
      <c r="W327">
        <v>11000</v>
      </c>
      <c r="X327">
        <v>10000</v>
      </c>
      <c r="Y327">
        <v>8000</v>
      </c>
      <c r="Z327">
        <v>9000</v>
      </c>
      <c r="AA327">
        <v>7000</v>
      </c>
      <c r="AB327">
        <v>6000</v>
      </c>
      <c r="AC327">
        <v>5000</v>
      </c>
      <c r="AD327">
        <v>7000</v>
      </c>
      <c r="AE327">
        <v>10000</v>
      </c>
      <c r="AF327">
        <v>10000</v>
      </c>
      <c r="AG327">
        <v>9000</v>
      </c>
    </row>
    <row r="328" spans="1:69" x14ac:dyDescent="0.25">
      <c r="A328" t="s">
        <v>438</v>
      </c>
      <c r="B328" t="s">
        <v>327</v>
      </c>
      <c r="E328">
        <v>194000</v>
      </c>
      <c r="F328">
        <v>195000</v>
      </c>
      <c r="G328">
        <v>199000</v>
      </c>
      <c r="H328">
        <v>200000</v>
      </c>
      <c r="I328">
        <v>184000</v>
      </c>
      <c r="J328">
        <v>183000</v>
      </c>
      <c r="K328">
        <v>181000</v>
      </c>
      <c r="L328">
        <v>179000</v>
      </c>
      <c r="M328">
        <v>177000</v>
      </c>
      <c r="O328">
        <v>174000</v>
      </c>
      <c r="P328">
        <v>186000</v>
      </c>
      <c r="Q328">
        <v>190000</v>
      </c>
      <c r="R328">
        <v>174000</v>
      </c>
      <c r="S328">
        <v>169000</v>
      </c>
      <c r="T328">
        <v>179000</v>
      </c>
      <c r="U328">
        <v>191000</v>
      </c>
      <c r="V328">
        <v>182000</v>
      </c>
      <c r="W328">
        <v>185000</v>
      </c>
      <c r="X328">
        <v>177000</v>
      </c>
      <c r="Y328">
        <v>184000</v>
      </c>
      <c r="Z328">
        <v>182000</v>
      </c>
      <c r="AA328">
        <v>183000</v>
      </c>
      <c r="AB328">
        <v>159000</v>
      </c>
      <c r="AC328">
        <v>165000</v>
      </c>
      <c r="AD328">
        <v>153000</v>
      </c>
      <c r="AE328">
        <v>149000</v>
      </c>
      <c r="AF328">
        <v>161000</v>
      </c>
      <c r="AG328">
        <v>153000</v>
      </c>
    </row>
    <row r="329" spans="1:69" x14ac:dyDescent="0.25">
      <c r="A329" t="s">
        <v>439</v>
      </c>
      <c r="B329" t="s">
        <v>327</v>
      </c>
      <c r="E329">
        <f>E328+E327</f>
        <v>316000</v>
      </c>
      <c r="F329">
        <f t="shared" ref="F329:AG329" si="24">F328+F327</f>
        <v>245000</v>
      </c>
      <c r="G329">
        <f t="shared" si="24"/>
        <v>243000</v>
      </c>
      <c r="H329">
        <f t="shared" si="24"/>
        <v>287000</v>
      </c>
      <c r="I329">
        <f t="shared" si="24"/>
        <v>410000</v>
      </c>
      <c r="J329">
        <f t="shared" si="24"/>
        <v>303000</v>
      </c>
      <c r="K329">
        <f t="shared" si="24"/>
        <v>331000</v>
      </c>
      <c r="L329">
        <f t="shared" si="24"/>
        <v>243000</v>
      </c>
      <c r="M329">
        <f t="shared" si="24"/>
        <v>235000</v>
      </c>
      <c r="O329">
        <f t="shared" si="24"/>
        <v>210000</v>
      </c>
      <c r="P329">
        <f t="shared" si="24"/>
        <v>209000</v>
      </c>
      <c r="Q329">
        <f t="shared" si="24"/>
        <v>206000</v>
      </c>
      <c r="R329">
        <f t="shared" si="24"/>
        <v>196000</v>
      </c>
      <c r="S329">
        <f t="shared" si="24"/>
        <v>179000</v>
      </c>
      <c r="T329">
        <f t="shared" si="24"/>
        <v>189000</v>
      </c>
      <c r="U329">
        <f t="shared" si="24"/>
        <v>203000</v>
      </c>
      <c r="V329">
        <f t="shared" si="24"/>
        <v>190000</v>
      </c>
      <c r="W329">
        <f t="shared" si="24"/>
        <v>196000</v>
      </c>
      <c r="X329">
        <f t="shared" si="24"/>
        <v>187000</v>
      </c>
      <c r="Y329">
        <f t="shared" si="24"/>
        <v>192000</v>
      </c>
      <c r="Z329">
        <f t="shared" si="24"/>
        <v>191000</v>
      </c>
      <c r="AA329">
        <f t="shared" si="24"/>
        <v>190000</v>
      </c>
      <c r="AB329">
        <f t="shared" si="24"/>
        <v>165000</v>
      </c>
      <c r="AC329">
        <f t="shared" si="24"/>
        <v>170000</v>
      </c>
      <c r="AD329">
        <f t="shared" si="24"/>
        <v>160000</v>
      </c>
      <c r="AE329">
        <f t="shared" si="24"/>
        <v>159000</v>
      </c>
      <c r="AF329">
        <f t="shared" si="24"/>
        <v>171000</v>
      </c>
      <c r="AG329">
        <f t="shared" si="24"/>
        <v>162000</v>
      </c>
    </row>
    <row r="330" spans="1:69" x14ac:dyDescent="0.25">
      <c r="A330" t="s">
        <v>441</v>
      </c>
      <c r="B330" t="s">
        <v>411</v>
      </c>
      <c r="E330" s="11"/>
      <c r="F330" s="11">
        <v>118000</v>
      </c>
      <c r="G330" s="11">
        <v>134000</v>
      </c>
      <c r="H330" s="11">
        <v>167000</v>
      </c>
      <c r="I330" s="11">
        <v>163000</v>
      </c>
      <c r="J330" s="11">
        <v>146000</v>
      </c>
      <c r="K330" s="11">
        <v>174000</v>
      </c>
      <c r="L330" s="11">
        <v>161000</v>
      </c>
      <c r="M330" s="11">
        <v>131000</v>
      </c>
      <c r="N330" s="11">
        <v>99000</v>
      </c>
      <c r="O330" s="11">
        <v>142000</v>
      </c>
      <c r="P330" s="11">
        <v>88000</v>
      </c>
      <c r="Q330" s="11">
        <v>75000</v>
      </c>
      <c r="R330" s="11">
        <v>95000</v>
      </c>
      <c r="S330" s="11">
        <v>130000</v>
      </c>
      <c r="T330" s="11">
        <v>86000</v>
      </c>
      <c r="U330" s="11">
        <v>37000</v>
      </c>
      <c r="V330" s="11">
        <v>69000</v>
      </c>
      <c r="W330" s="11">
        <v>87000</v>
      </c>
      <c r="X330" s="11">
        <v>86000</v>
      </c>
      <c r="Y330" s="11">
        <v>87000</v>
      </c>
      <c r="Z330" s="11">
        <v>69000</v>
      </c>
      <c r="AA330" s="11">
        <v>49000</v>
      </c>
      <c r="AB330" s="11">
        <v>63000</v>
      </c>
      <c r="AC330" s="11">
        <v>79000</v>
      </c>
      <c r="AD330" s="11">
        <v>70000</v>
      </c>
      <c r="AE330" s="11">
        <v>48000</v>
      </c>
      <c r="AF330" s="11">
        <v>42000</v>
      </c>
      <c r="AG330" s="11">
        <v>29000</v>
      </c>
    </row>
    <row r="331" spans="1:69" x14ac:dyDescent="0.25">
      <c r="A331" t="s">
        <v>440</v>
      </c>
      <c r="B331" t="s">
        <v>327</v>
      </c>
      <c r="F331">
        <v>302000</v>
      </c>
      <c r="G331">
        <v>118000</v>
      </c>
      <c r="H331">
        <v>515000</v>
      </c>
      <c r="I331">
        <v>520000</v>
      </c>
      <c r="J331">
        <v>291000</v>
      </c>
      <c r="K331">
        <v>536000</v>
      </c>
      <c r="L331">
        <v>433000</v>
      </c>
      <c r="M331">
        <v>358000</v>
      </c>
      <c r="N331">
        <v>224000</v>
      </c>
      <c r="O331">
        <v>473000</v>
      </c>
      <c r="P331">
        <v>206000</v>
      </c>
      <c r="Q331">
        <v>258000</v>
      </c>
      <c r="R331">
        <v>260000</v>
      </c>
      <c r="S331">
        <v>449000</v>
      </c>
      <c r="T331">
        <v>313000</v>
      </c>
      <c r="U331">
        <v>110000</v>
      </c>
      <c r="V331">
        <v>202000</v>
      </c>
      <c r="W331">
        <v>293000</v>
      </c>
      <c r="X331">
        <v>318000</v>
      </c>
      <c r="Y331">
        <v>226000</v>
      </c>
      <c r="Z331">
        <v>178000</v>
      </c>
      <c r="AA331">
        <v>156000</v>
      </c>
      <c r="AB331">
        <v>169000</v>
      </c>
      <c r="AC331">
        <v>305000</v>
      </c>
      <c r="AD331">
        <v>139000</v>
      </c>
      <c r="AE331">
        <v>81000</v>
      </c>
      <c r="AF331">
        <v>175000</v>
      </c>
      <c r="AG331">
        <v>132000</v>
      </c>
    </row>
    <row r="332" spans="1:69" x14ac:dyDescent="0.25">
      <c r="A332" t="s">
        <v>441</v>
      </c>
      <c r="B332" t="s">
        <v>411</v>
      </c>
      <c r="E332" s="11"/>
      <c r="F332" s="11">
        <v>118000</v>
      </c>
      <c r="G332" s="11">
        <v>134000</v>
      </c>
      <c r="H332" s="11">
        <v>167000</v>
      </c>
      <c r="I332" s="11">
        <v>163000</v>
      </c>
      <c r="J332" s="11">
        <v>146000</v>
      </c>
      <c r="K332" s="11">
        <v>174000</v>
      </c>
      <c r="L332" s="11">
        <v>161000</v>
      </c>
      <c r="M332" s="11">
        <v>131000</v>
      </c>
      <c r="N332" s="11">
        <v>99000</v>
      </c>
      <c r="O332" s="11">
        <v>142000</v>
      </c>
      <c r="P332" s="11">
        <v>88000</v>
      </c>
      <c r="Q332" s="11">
        <v>75000</v>
      </c>
      <c r="R332" s="11">
        <v>95000</v>
      </c>
      <c r="S332" s="11">
        <v>130000</v>
      </c>
      <c r="T332" s="11">
        <v>86000</v>
      </c>
      <c r="U332" s="11">
        <v>37000</v>
      </c>
      <c r="V332" s="11">
        <v>69000</v>
      </c>
      <c r="W332" s="11">
        <v>87000</v>
      </c>
      <c r="X332" s="11">
        <v>86000</v>
      </c>
      <c r="Y332" s="11">
        <v>87000</v>
      </c>
      <c r="Z332" s="11">
        <v>69000</v>
      </c>
      <c r="AA332" s="11">
        <v>49000</v>
      </c>
      <c r="AB332" s="11">
        <v>63000</v>
      </c>
      <c r="AC332" s="11">
        <v>79000</v>
      </c>
      <c r="AD332" s="11">
        <v>70000</v>
      </c>
      <c r="AE332" s="11">
        <v>48000</v>
      </c>
      <c r="AF332" s="11">
        <v>42000</v>
      </c>
      <c r="AG332" s="11">
        <v>29000</v>
      </c>
    </row>
    <row r="333" spans="1:69" x14ac:dyDescent="0.25">
      <c r="A333" t="str">
        <f>'Intermediate calcs'!A4</f>
        <v>Wealth (GVA)</v>
      </c>
      <c r="B333" t="str">
        <f>'Intermediate calcs'!B4</f>
        <v>GVA/capita</v>
      </c>
      <c r="E333">
        <f>'Intermediate calcs'!C4</f>
        <v>7.3995172186341224E-6</v>
      </c>
      <c r="F333">
        <f>'Intermediate calcs'!D4</f>
        <v>8.3160321270873128E-6</v>
      </c>
      <c r="G333">
        <f>'Intermediate calcs'!E4</f>
        <v>9.1809688444329608E-6</v>
      </c>
      <c r="H333">
        <f>'Intermediate calcs'!F4</f>
        <v>1.0183063676790614E-5</v>
      </c>
      <c r="I333">
        <f>'Intermediate calcs'!G4</f>
        <v>1.1198558803003417E-5</v>
      </c>
      <c r="J333">
        <f>'Intermediate calcs'!H4</f>
        <v>1.2456004786976505E-5</v>
      </c>
      <c r="K333">
        <f>'Intermediate calcs'!I4</f>
        <v>1.5023575074943164E-5</v>
      </c>
      <c r="L333">
        <f>'Intermediate calcs'!J4</f>
        <v>1.4993976964585091E-5</v>
      </c>
      <c r="M333">
        <f>'Intermediate calcs'!K4</f>
        <v>1.5889974557177216E-5</v>
      </c>
      <c r="N333">
        <f>'Intermediate calcs'!L4</f>
        <v>1.7139534783540361E-5</v>
      </c>
      <c r="O333">
        <f>'Intermediate calcs'!M4</f>
        <v>1.9178073296508686E-5</v>
      </c>
      <c r="P333">
        <f>'Intermediate calcs'!N4</f>
        <v>2.0941920561623974E-5</v>
      </c>
      <c r="Q333">
        <f>'Intermediate calcs'!O4</f>
        <v>2.4092156096673536E-5</v>
      </c>
      <c r="R333">
        <f>'Intermediate calcs'!P4</f>
        <v>2.5864721644610491E-5</v>
      </c>
      <c r="S333">
        <f>'Intermediate calcs'!Q4</f>
        <v>2.816463639110616E-5</v>
      </c>
      <c r="T333">
        <f>'Intermediate calcs'!R4</f>
        <v>3.0685475313895917E-5</v>
      </c>
      <c r="U333">
        <f>'Intermediate calcs'!S4</f>
        <v>3.3867608215633009E-5</v>
      </c>
      <c r="V333">
        <f>'Intermediate calcs'!T4</f>
        <v>3.8369935813406575E-5</v>
      </c>
      <c r="W333">
        <f>'Intermediate calcs'!U4</f>
        <v>4.2933160137438985E-5</v>
      </c>
      <c r="X333">
        <f>'Intermediate calcs'!V4</f>
        <v>4.5112536477249022E-5</v>
      </c>
      <c r="Y333">
        <f>'Intermediate calcs'!W4</f>
        <v>4.8711594853611398E-5</v>
      </c>
      <c r="Z333">
        <f>'Intermediate calcs'!X4</f>
        <v>5.2388104554380752E-5</v>
      </c>
      <c r="AA333">
        <f>'Intermediate calcs'!Y4</f>
        <v>7.2008674666107316E-5</v>
      </c>
      <c r="AB333">
        <f>'Intermediate calcs'!Z4</f>
        <v>7.3128862350936422E-5</v>
      </c>
      <c r="AC333">
        <f>'Intermediate calcs'!AA4</f>
        <v>7.3832053087208803E-5</v>
      </c>
      <c r="AD333">
        <f>'Intermediate calcs'!AB4</f>
        <v>7.4099569652362116E-5</v>
      </c>
      <c r="AE333">
        <f>'Intermediate calcs'!AC4</f>
        <v>7.3966728660027013E-5</v>
      </c>
      <c r="AF333">
        <f>'Intermediate calcs'!AD4</f>
        <v>7.4125058503467776E-5</v>
      </c>
      <c r="AG333">
        <f>'Intermediate calcs'!AE4</f>
        <v>7.4164408302538267E-5</v>
      </c>
    </row>
    <row r="334" spans="1:69" x14ac:dyDescent="0.25">
      <c r="A334" t="s">
        <v>442</v>
      </c>
      <c r="B334" t="s">
        <v>328</v>
      </c>
      <c r="E334">
        <f>E328/Drivers!D4</f>
        <v>5.2716662152689246E-3</v>
      </c>
      <c r="F334">
        <f>F328/Drivers!E4</f>
        <v>5.169815172479616E-3</v>
      </c>
      <c r="G334">
        <f>G328/Drivers!F4</f>
        <v>5.1457611843959729E-3</v>
      </c>
      <c r="H334">
        <f>H328/Drivers!G4</f>
        <v>5.0462043081969284E-3</v>
      </c>
      <c r="I334">
        <f>I328/Drivers!H4</f>
        <v>4.5360352128469197E-3</v>
      </c>
      <c r="J334">
        <f>J328/Drivers!I4</f>
        <v>4.4164752579161221E-3</v>
      </c>
      <c r="K334">
        <f>K328/Drivers!J4</f>
        <v>4.2849353203217606E-3</v>
      </c>
      <c r="L334">
        <f>L328/Drivers!K4</f>
        <v>4.164004940882645E-3</v>
      </c>
      <c r="M334">
        <f>M328/Drivers!L4</f>
        <v>4.0519881526276339E-3</v>
      </c>
      <c r="O334">
        <f>O328/Drivers!N4</f>
        <v>3.8694433792356062E-3</v>
      </c>
      <c r="P334">
        <f>P328/Drivers!O4</f>
        <v>4.0815185460911186E-3</v>
      </c>
      <c r="Q334">
        <f>Q328/Drivers!P4</f>
        <v>4.1169283043219537E-3</v>
      </c>
      <c r="R334">
        <f>R328/Drivers!Q4</f>
        <v>3.7243791609769998E-3</v>
      </c>
      <c r="S334">
        <f>S328/Drivers!R4</f>
        <v>3.5735725639283586E-3</v>
      </c>
      <c r="T334">
        <f>T328/Drivers!S4</f>
        <v>3.7384660230142057E-3</v>
      </c>
      <c r="U334">
        <f>U328/Drivers!T4</f>
        <v>3.9390004330631945E-3</v>
      </c>
      <c r="V334">
        <f>V328/Drivers!U4</f>
        <v>3.7052299055457499E-3</v>
      </c>
      <c r="W334">
        <f>W328/Drivers!V4</f>
        <v>3.7163914417652206E-3</v>
      </c>
      <c r="X334">
        <f>X328/Drivers!W4</f>
        <v>3.5065467723514772E-3</v>
      </c>
      <c r="Y334">
        <f>Y328/Drivers!X4</f>
        <v>3.5925596839359707E-3</v>
      </c>
      <c r="Z334">
        <f>Z328/Drivers!Y4</f>
        <v>3.499719214835302E-3</v>
      </c>
      <c r="AA334">
        <f>AA328/Drivers!Z4</f>
        <v>3.4507214050589559E-3</v>
      </c>
      <c r="AB334">
        <f>AB328/Drivers!AA4</f>
        <v>2.9711846893004682E-3</v>
      </c>
      <c r="AC334">
        <f>AC328/Drivers!AB4</f>
        <v>3.0555555555555557E-3</v>
      </c>
      <c r="AD334">
        <f>AD328/Drivers!AC4</f>
        <v>2.8078337313177664E-3</v>
      </c>
      <c r="AE334">
        <f>AE328/Drivers!AD4</f>
        <v>2.7078654247134821E-3</v>
      </c>
      <c r="AF334">
        <f>AF328/Drivers!AE4</f>
        <v>2.8978007177809903E-3</v>
      </c>
      <c r="AG334">
        <f>AG328/Drivers!AF4</f>
        <v>2.7275711955188318E-3</v>
      </c>
    </row>
    <row r="335" spans="1:69" x14ac:dyDescent="0.25">
      <c r="A335" t="s">
        <v>438</v>
      </c>
      <c r="B335" t="s">
        <v>327</v>
      </c>
      <c r="E335">
        <f>E328</f>
        <v>194000</v>
      </c>
      <c r="F335">
        <f t="shared" ref="F335:AG335" si="25">F328</f>
        <v>195000</v>
      </c>
      <c r="G335">
        <f t="shared" si="25"/>
        <v>199000</v>
      </c>
      <c r="H335">
        <f t="shared" si="25"/>
        <v>200000</v>
      </c>
      <c r="I335">
        <f t="shared" si="25"/>
        <v>184000</v>
      </c>
      <c r="J335">
        <f t="shared" si="25"/>
        <v>183000</v>
      </c>
      <c r="K335">
        <f t="shared" si="25"/>
        <v>181000</v>
      </c>
      <c r="L335">
        <f t="shared" si="25"/>
        <v>179000</v>
      </c>
      <c r="M335">
        <f t="shared" si="25"/>
        <v>177000</v>
      </c>
      <c r="O335">
        <f t="shared" si="25"/>
        <v>174000</v>
      </c>
      <c r="P335">
        <f t="shared" si="25"/>
        <v>186000</v>
      </c>
      <c r="Q335">
        <f t="shared" si="25"/>
        <v>190000</v>
      </c>
      <c r="R335">
        <f t="shared" si="25"/>
        <v>174000</v>
      </c>
      <c r="S335">
        <f t="shared" si="25"/>
        <v>169000</v>
      </c>
      <c r="T335">
        <f t="shared" si="25"/>
        <v>179000</v>
      </c>
      <c r="U335">
        <f t="shared" si="25"/>
        <v>191000</v>
      </c>
      <c r="V335">
        <f t="shared" si="25"/>
        <v>182000</v>
      </c>
      <c r="W335">
        <f t="shared" si="25"/>
        <v>185000</v>
      </c>
      <c r="X335">
        <f t="shared" si="25"/>
        <v>177000</v>
      </c>
      <c r="Y335">
        <f t="shared" si="25"/>
        <v>184000</v>
      </c>
      <c r="Z335">
        <f t="shared" si="25"/>
        <v>182000</v>
      </c>
      <c r="AA335">
        <f t="shared" si="25"/>
        <v>183000</v>
      </c>
      <c r="AB335">
        <f t="shared" si="25"/>
        <v>159000</v>
      </c>
      <c r="AC335">
        <f t="shared" si="25"/>
        <v>165000</v>
      </c>
      <c r="AD335">
        <f t="shared" si="25"/>
        <v>153000</v>
      </c>
      <c r="AE335">
        <f t="shared" si="25"/>
        <v>149000</v>
      </c>
      <c r="AF335">
        <f t="shared" si="25"/>
        <v>161000</v>
      </c>
      <c r="AG335">
        <f t="shared" si="25"/>
        <v>153000</v>
      </c>
    </row>
    <row r="336" spans="1:69" x14ac:dyDescent="0.25">
      <c r="A336" t="s">
        <v>439</v>
      </c>
      <c r="B336" t="s">
        <v>327</v>
      </c>
      <c r="E336">
        <f>E329</f>
        <v>316000</v>
      </c>
      <c r="F336">
        <f t="shared" ref="F336:AG336" si="26">F329</f>
        <v>245000</v>
      </c>
      <c r="G336">
        <f t="shared" si="26"/>
        <v>243000</v>
      </c>
      <c r="H336">
        <f t="shared" si="26"/>
        <v>287000</v>
      </c>
      <c r="I336">
        <f t="shared" si="26"/>
        <v>410000</v>
      </c>
      <c r="J336">
        <f t="shared" si="26"/>
        <v>303000</v>
      </c>
      <c r="K336">
        <f t="shared" si="26"/>
        <v>331000</v>
      </c>
      <c r="L336">
        <f t="shared" si="26"/>
        <v>243000</v>
      </c>
      <c r="M336">
        <f t="shared" si="26"/>
        <v>235000</v>
      </c>
      <c r="O336">
        <f t="shared" si="26"/>
        <v>210000</v>
      </c>
      <c r="P336">
        <f t="shared" si="26"/>
        <v>209000</v>
      </c>
      <c r="Q336">
        <f t="shared" si="26"/>
        <v>206000</v>
      </c>
      <c r="R336">
        <f t="shared" si="26"/>
        <v>196000</v>
      </c>
      <c r="S336">
        <f t="shared" si="26"/>
        <v>179000</v>
      </c>
      <c r="T336">
        <f t="shared" si="26"/>
        <v>189000</v>
      </c>
      <c r="U336">
        <f t="shared" si="26"/>
        <v>203000</v>
      </c>
      <c r="V336">
        <f t="shared" si="26"/>
        <v>190000</v>
      </c>
      <c r="W336">
        <f t="shared" si="26"/>
        <v>196000</v>
      </c>
      <c r="X336">
        <f t="shared" si="26"/>
        <v>187000</v>
      </c>
      <c r="Y336">
        <f t="shared" si="26"/>
        <v>192000</v>
      </c>
      <c r="Z336">
        <f t="shared" si="26"/>
        <v>191000</v>
      </c>
      <c r="AA336">
        <f t="shared" si="26"/>
        <v>190000</v>
      </c>
      <c r="AB336">
        <f t="shared" si="26"/>
        <v>165000</v>
      </c>
      <c r="AC336">
        <f t="shared" si="26"/>
        <v>170000</v>
      </c>
      <c r="AD336">
        <f t="shared" si="26"/>
        <v>160000</v>
      </c>
      <c r="AE336">
        <f t="shared" si="26"/>
        <v>159000</v>
      </c>
      <c r="AF336">
        <f t="shared" si="26"/>
        <v>171000</v>
      </c>
      <c r="AG336">
        <f t="shared" si="26"/>
        <v>162000</v>
      </c>
    </row>
    <row r="337" spans="1:33" x14ac:dyDescent="0.25">
      <c r="A337" t="s">
        <v>443</v>
      </c>
      <c r="B337" t="s">
        <v>327</v>
      </c>
      <c r="G337">
        <v>18000</v>
      </c>
      <c r="H337">
        <v>6000</v>
      </c>
      <c r="I337">
        <v>31000</v>
      </c>
      <c r="J337">
        <v>35000</v>
      </c>
      <c r="K337">
        <v>112000</v>
      </c>
      <c r="L337">
        <v>57000</v>
      </c>
      <c r="M337">
        <v>58000</v>
      </c>
      <c r="O337">
        <v>24000</v>
      </c>
      <c r="P337">
        <v>40000</v>
      </c>
      <c r="Q337">
        <v>48000</v>
      </c>
      <c r="R337">
        <v>66000</v>
      </c>
      <c r="S337">
        <v>49000</v>
      </c>
      <c r="T337">
        <v>38000</v>
      </c>
      <c r="U337">
        <v>38000</v>
      </c>
      <c r="V337">
        <v>28000</v>
      </c>
      <c r="W337">
        <v>27000</v>
      </c>
      <c r="X337">
        <v>37000</v>
      </c>
      <c r="Y337">
        <v>52000</v>
      </c>
      <c r="Z337">
        <v>24000</v>
      </c>
      <c r="AA337">
        <v>25000</v>
      </c>
      <c r="AB337">
        <v>19000</v>
      </c>
      <c r="AC337">
        <v>20000</v>
      </c>
      <c r="AD337">
        <v>26000</v>
      </c>
      <c r="AE337">
        <v>29000</v>
      </c>
      <c r="AF337">
        <v>13000</v>
      </c>
      <c r="AG337">
        <v>14000</v>
      </c>
    </row>
    <row r="338" spans="1:33" x14ac:dyDescent="0.25">
      <c r="A338" t="s">
        <v>444</v>
      </c>
      <c r="B338" t="s">
        <v>327</v>
      </c>
      <c r="E338">
        <f>E329+E337</f>
        <v>316000</v>
      </c>
      <c r="F338">
        <f t="shared" ref="F338" si="27">F329+F337</f>
        <v>245000</v>
      </c>
      <c r="G338">
        <f t="shared" ref="G338" si="28">G329+G337</f>
        <v>261000</v>
      </c>
      <c r="H338">
        <f t="shared" ref="H338" si="29">H329+H337</f>
        <v>293000</v>
      </c>
      <c r="I338">
        <f t="shared" ref="I338" si="30">I329+I337</f>
        <v>441000</v>
      </c>
      <c r="J338">
        <f t="shared" ref="J338" si="31">J329+J337</f>
        <v>338000</v>
      </c>
      <c r="K338">
        <f t="shared" ref="K338" si="32">K329+K337</f>
        <v>443000</v>
      </c>
      <c r="L338">
        <f t="shared" ref="L338" si="33">L329+L337</f>
        <v>300000</v>
      </c>
      <c r="M338">
        <f t="shared" ref="M338" si="34">M329+M337</f>
        <v>293000</v>
      </c>
      <c r="O338">
        <f t="shared" ref="O338" si="35">O329+O337</f>
        <v>234000</v>
      </c>
      <c r="P338">
        <f t="shared" ref="P338" si="36">P329+P337</f>
        <v>249000</v>
      </c>
      <c r="Q338">
        <f t="shared" ref="Q338" si="37">Q329+Q337</f>
        <v>254000</v>
      </c>
      <c r="R338">
        <f t="shared" ref="R338" si="38">R329+R337</f>
        <v>262000</v>
      </c>
      <c r="S338">
        <f t="shared" ref="S338" si="39">S329+S337</f>
        <v>228000</v>
      </c>
      <c r="T338">
        <f t="shared" ref="T338" si="40">T329+T337</f>
        <v>227000</v>
      </c>
      <c r="U338">
        <f t="shared" ref="U338" si="41">U329+U337</f>
        <v>241000</v>
      </c>
      <c r="V338">
        <f t="shared" ref="V338" si="42">V329+V337</f>
        <v>218000</v>
      </c>
      <c r="W338">
        <f t="shared" ref="W338" si="43">W329+W337</f>
        <v>223000</v>
      </c>
      <c r="X338">
        <f t="shared" ref="X338" si="44">X329+X337</f>
        <v>224000</v>
      </c>
      <c r="Y338">
        <f t="shared" ref="Y338" si="45">Y329+Y337</f>
        <v>244000</v>
      </c>
      <c r="Z338">
        <f t="shared" ref="Z338" si="46">Z329+Z337</f>
        <v>215000</v>
      </c>
      <c r="AA338">
        <f t="shared" ref="AA338" si="47">AA329+AA337</f>
        <v>215000</v>
      </c>
      <c r="AB338">
        <f t="shared" ref="AB338" si="48">AB329+AB337</f>
        <v>184000</v>
      </c>
      <c r="AC338">
        <f t="shared" ref="AC338" si="49">AC329+AC337</f>
        <v>190000</v>
      </c>
      <c r="AD338">
        <f t="shared" ref="AD338" si="50">AD329+AD337</f>
        <v>186000</v>
      </c>
      <c r="AE338">
        <f t="shared" ref="AE338" si="51">AE329+AE337</f>
        <v>188000</v>
      </c>
      <c r="AF338">
        <f t="shared" ref="AF338" si="52">AF329+AF337</f>
        <v>184000</v>
      </c>
      <c r="AG338">
        <f t="shared" ref="AG338" si="53">AG329+AG337</f>
        <v>176000</v>
      </c>
    </row>
    <row r="339" spans="1:33" x14ac:dyDescent="0.25">
      <c r="A339" t="s">
        <v>440</v>
      </c>
      <c r="B339" t="s">
        <v>327</v>
      </c>
      <c r="K339">
        <f t="shared" ref="K339:AG339" si="54">K331</f>
        <v>536000</v>
      </c>
      <c r="L339">
        <f t="shared" si="54"/>
        <v>433000</v>
      </c>
      <c r="M339">
        <f t="shared" si="54"/>
        <v>358000</v>
      </c>
      <c r="N339">
        <f t="shared" si="54"/>
        <v>224000</v>
      </c>
      <c r="O339">
        <f t="shared" si="54"/>
        <v>473000</v>
      </c>
      <c r="P339">
        <f t="shared" si="54"/>
        <v>206000</v>
      </c>
      <c r="Q339">
        <f t="shared" si="54"/>
        <v>258000</v>
      </c>
      <c r="R339">
        <f t="shared" si="54"/>
        <v>260000</v>
      </c>
      <c r="S339">
        <f t="shared" si="54"/>
        <v>449000</v>
      </c>
      <c r="T339">
        <f t="shared" si="54"/>
        <v>313000</v>
      </c>
      <c r="U339">
        <f t="shared" si="54"/>
        <v>110000</v>
      </c>
      <c r="V339">
        <f t="shared" si="54"/>
        <v>202000</v>
      </c>
      <c r="W339">
        <f t="shared" si="54"/>
        <v>293000</v>
      </c>
      <c r="X339">
        <f t="shared" si="54"/>
        <v>318000</v>
      </c>
      <c r="Y339">
        <f t="shared" si="54"/>
        <v>226000</v>
      </c>
      <c r="Z339">
        <f t="shared" si="54"/>
        <v>178000</v>
      </c>
      <c r="AA339">
        <f t="shared" si="54"/>
        <v>156000</v>
      </c>
      <c r="AB339">
        <f t="shared" si="54"/>
        <v>169000</v>
      </c>
      <c r="AC339">
        <f t="shared" si="54"/>
        <v>305000</v>
      </c>
      <c r="AD339">
        <f t="shared" si="54"/>
        <v>139000</v>
      </c>
      <c r="AE339">
        <f t="shared" si="54"/>
        <v>81000</v>
      </c>
      <c r="AF339">
        <f t="shared" si="54"/>
        <v>175000</v>
      </c>
      <c r="AG339">
        <f t="shared" si="54"/>
        <v>132000</v>
      </c>
    </row>
    <row r="357" spans="1:69" s="19" customFormat="1" ht="29.25" customHeight="1" x14ac:dyDescent="0.25">
      <c r="A357" s="17" t="s">
        <v>335</v>
      </c>
      <c r="B357" s="17" t="s">
        <v>0</v>
      </c>
      <c r="C357" s="17" t="s">
        <v>287</v>
      </c>
      <c r="D357" s="18" t="s">
        <v>313</v>
      </c>
      <c r="E357" s="17">
        <v>1990</v>
      </c>
      <c r="F357" s="17">
        <v>1991</v>
      </c>
      <c r="G357" s="17">
        <v>1992</v>
      </c>
      <c r="H357" s="17">
        <v>1993</v>
      </c>
      <c r="I357" s="17">
        <v>1994</v>
      </c>
      <c r="J357" s="17">
        <v>1995</v>
      </c>
      <c r="K357" s="17">
        <v>1996</v>
      </c>
      <c r="L357" s="17">
        <v>1997</v>
      </c>
      <c r="M357" s="17">
        <v>1998</v>
      </c>
      <c r="N357" s="17">
        <v>1999</v>
      </c>
      <c r="O357" s="17">
        <v>2000</v>
      </c>
      <c r="P357" s="17">
        <v>2001</v>
      </c>
      <c r="Q357" s="17">
        <v>2002</v>
      </c>
      <c r="R357" s="17">
        <v>2003</v>
      </c>
      <c r="S357" s="17">
        <v>2004</v>
      </c>
      <c r="T357" s="17">
        <v>2005</v>
      </c>
      <c r="U357" s="17">
        <v>2006</v>
      </c>
      <c r="V357" s="17">
        <v>2007</v>
      </c>
      <c r="W357" s="17">
        <v>2008</v>
      </c>
      <c r="X357" s="17">
        <v>2009</v>
      </c>
      <c r="Y357" s="17">
        <v>2010</v>
      </c>
      <c r="Z357" s="17">
        <v>2011</v>
      </c>
      <c r="AA357" s="17">
        <v>2012</v>
      </c>
      <c r="AB357" s="17">
        <v>2013</v>
      </c>
      <c r="AC357" s="17">
        <v>2014</v>
      </c>
      <c r="AD357" s="17">
        <v>2015</v>
      </c>
      <c r="AE357" s="17">
        <v>2016</v>
      </c>
      <c r="AF357" s="17">
        <v>2017</v>
      </c>
      <c r="AG357" s="17">
        <v>2018</v>
      </c>
      <c r="AH357" s="17">
        <v>2019</v>
      </c>
      <c r="AI357" s="17">
        <v>2020</v>
      </c>
      <c r="AJ357" s="17">
        <v>2021</v>
      </c>
      <c r="AK357" s="17">
        <v>2022</v>
      </c>
      <c r="AL357" s="17">
        <v>2023</v>
      </c>
      <c r="AM357" s="17">
        <v>2024</v>
      </c>
      <c r="AN357" s="17">
        <v>2025</v>
      </c>
      <c r="AO357" s="17">
        <v>2026</v>
      </c>
      <c r="AP357" s="17">
        <v>2027</v>
      </c>
      <c r="AQ357" s="17">
        <v>2028</v>
      </c>
      <c r="AR357" s="17">
        <v>2029</v>
      </c>
      <c r="AS357" s="17">
        <v>2030</v>
      </c>
      <c r="AT357" s="17">
        <v>2031</v>
      </c>
      <c r="AU357" s="17">
        <v>2032</v>
      </c>
      <c r="AV357" s="17">
        <v>2033</v>
      </c>
      <c r="AW357" s="17">
        <v>2034</v>
      </c>
      <c r="AX357" s="17">
        <v>2035</v>
      </c>
      <c r="AY357" s="17">
        <v>2036</v>
      </c>
      <c r="AZ357" s="17">
        <v>2037</v>
      </c>
      <c r="BA357" s="17">
        <v>2038</v>
      </c>
      <c r="BB357" s="17">
        <v>2039</v>
      </c>
      <c r="BC357" s="17">
        <v>2040</v>
      </c>
      <c r="BD357" s="17">
        <v>2041</v>
      </c>
      <c r="BE357" s="17">
        <v>2042</v>
      </c>
      <c r="BF357" s="17">
        <v>2043</v>
      </c>
      <c r="BG357" s="17">
        <v>2044</v>
      </c>
      <c r="BH357" s="17">
        <v>2045</v>
      </c>
      <c r="BI357" s="17">
        <v>2046</v>
      </c>
      <c r="BJ357" s="17">
        <v>2047</v>
      </c>
      <c r="BK357" s="17">
        <v>2048</v>
      </c>
      <c r="BL357" s="17">
        <v>2049</v>
      </c>
      <c r="BM357" s="17">
        <v>2050</v>
      </c>
      <c r="BP357" s="18" t="s">
        <v>312</v>
      </c>
      <c r="BQ357" s="17" t="s">
        <v>286</v>
      </c>
    </row>
    <row r="358" spans="1:69" ht="15.75" x14ac:dyDescent="0.25">
      <c r="A358" s="20" t="s">
        <v>455</v>
      </c>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c r="AG358" s="20"/>
      <c r="AH358" s="20"/>
      <c r="AI358" s="20"/>
      <c r="AJ358" s="20"/>
      <c r="AK358" s="20"/>
      <c r="AL358" s="20"/>
      <c r="AM358" s="20"/>
      <c r="AN358" s="20"/>
      <c r="AO358" s="20"/>
      <c r="AP358" s="20"/>
      <c r="AQ358" s="20"/>
      <c r="AR358" s="20"/>
      <c r="AS358" s="20"/>
      <c r="AT358" s="20"/>
      <c r="AU358" s="20"/>
      <c r="AV358" s="20"/>
      <c r="AW358" s="20"/>
      <c r="AX358" s="20"/>
      <c r="AY358" s="20"/>
      <c r="AZ358" s="20"/>
      <c r="BA358" s="20"/>
      <c r="BB358" s="20"/>
      <c r="BC358" s="20"/>
      <c r="BD358" s="20"/>
      <c r="BE358" s="20"/>
      <c r="BF358" s="20"/>
      <c r="BG358" s="20"/>
      <c r="BH358" s="20"/>
      <c r="BI358" s="20"/>
      <c r="BJ358" s="20"/>
      <c r="BK358" s="20"/>
      <c r="BL358" s="20"/>
      <c r="BM358" s="20"/>
    </row>
    <row r="359" spans="1:69" x14ac:dyDescent="0.25">
      <c r="A359" t="s">
        <v>418</v>
      </c>
      <c r="B359" t="str">
        <f>B261</f>
        <v>ha</v>
      </c>
      <c r="E359" s="11">
        <f>E259</f>
        <v>4163000</v>
      </c>
      <c r="F359" s="11">
        <f>F259</f>
        <v>3816000</v>
      </c>
      <c r="G359" s="11">
        <f>G259</f>
        <v>4173000</v>
      </c>
      <c r="H359" s="11">
        <f>H259</f>
        <v>4377000</v>
      </c>
      <c r="I359" s="11"/>
      <c r="J359" s="11">
        <f t="shared" ref="J359:S359" si="55">J259</f>
        <v>3526000</v>
      </c>
      <c r="K359" s="11">
        <f t="shared" si="55"/>
        <v>3761000</v>
      </c>
      <c r="L359" s="11">
        <f t="shared" si="55"/>
        <v>4023000</v>
      </c>
      <c r="M359" s="11">
        <f t="shared" si="55"/>
        <v>3560000</v>
      </c>
      <c r="N359" s="11">
        <f t="shared" si="55"/>
        <v>3567000</v>
      </c>
      <c r="O359" s="11">
        <f t="shared" si="55"/>
        <v>4013000</v>
      </c>
      <c r="P359" s="11">
        <f t="shared" si="55"/>
        <v>3189000</v>
      </c>
      <c r="Q359" s="11">
        <f t="shared" si="55"/>
        <v>3533000</v>
      </c>
      <c r="R359" s="11">
        <f t="shared" si="55"/>
        <v>3651000</v>
      </c>
      <c r="S359" s="11">
        <f t="shared" si="55"/>
        <v>3204000</v>
      </c>
      <c r="T359" s="11"/>
      <c r="U359" s="11"/>
      <c r="V359" s="11">
        <f t="shared" ref="V359:AF359" si="56">V259</f>
        <v>2897000</v>
      </c>
      <c r="W359" s="11">
        <f t="shared" si="56"/>
        <v>3297000</v>
      </c>
      <c r="X359" s="11">
        <f t="shared" si="56"/>
        <v>2896000</v>
      </c>
      <c r="Y359" s="11">
        <f t="shared" si="56"/>
        <v>3263000</v>
      </c>
      <c r="Z359" s="11">
        <f t="shared" si="56"/>
        <v>2859000</v>
      </c>
      <c r="AA359" s="11">
        <f t="shared" si="56"/>
        <v>3141000</v>
      </c>
      <c r="AB359" s="11">
        <f t="shared" si="56"/>
        <v>3238000</v>
      </c>
      <c r="AC359" s="11">
        <f t="shared" si="56"/>
        <v>3096000</v>
      </c>
      <c r="AD359" s="11">
        <f t="shared" si="56"/>
        <v>3048000</v>
      </c>
      <c r="AE359" s="11">
        <f t="shared" si="56"/>
        <v>2213000</v>
      </c>
      <c r="AF359" s="11">
        <f t="shared" si="56"/>
        <v>2995000</v>
      </c>
    </row>
    <row r="360" spans="1:69" x14ac:dyDescent="0.25">
      <c r="A360" t="s">
        <v>456</v>
      </c>
      <c r="B360" t="s">
        <v>327</v>
      </c>
      <c r="E360">
        <v>780000</v>
      </c>
      <c r="F360">
        <v>825000</v>
      </c>
      <c r="G360">
        <v>570000</v>
      </c>
      <c r="H360">
        <v>900000</v>
      </c>
      <c r="I360">
        <v>1299451</v>
      </c>
      <c r="J360">
        <v>1032745</v>
      </c>
      <c r="K360">
        <v>1263570</v>
      </c>
      <c r="L360">
        <v>1193985</v>
      </c>
      <c r="M360">
        <v>1244321</v>
      </c>
      <c r="N360">
        <v>1237174</v>
      </c>
      <c r="O360">
        <v>825252</v>
      </c>
      <c r="P360">
        <v>1068357</v>
      </c>
      <c r="Q360">
        <v>1467915</v>
      </c>
      <c r="R360">
        <v>1265742</v>
      </c>
      <c r="S360">
        <v>1264888</v>
      </c>
      <c r="T360">
        <v>580444</v>
      </c>
      <c r="U360">
        <v>963118</v>
      </c>
      <c r="V360">
        <v>1137646</v>
      </c>
      <c r="W360">
        <v>1429803</v>
      </c>
      <c r="X360">
        <v>1517602.3688259386</v>
      </c>
      <c r="Y360">
        <v>1425245.0325037544</v>
      </c>
      <c r="Z360">
        <v>1576608.4448095565</v>
      </c>
      <c r="AA360">
        <v>1810067.2671795222</v>
      </c>
      <c r="AB360">
        <v>1635614.5207931739</v>
      </c>
      <c r="AC360">
        <v>1686924.1520832763</v>
      </c>
      <c r="AD360">
        <v>1702317.0414703069</v>
      </c>
      <c r="AE360">
        <v>2143579.8705651872</v>
      </c>
      <c r="AF360">
        <v>2657958.9242484635</v>
      </c>
    </row>
    <row r="363" spans="1:69" x14ac:dyDescent="0.25">
      <c r="F363" t="s">
        <v>1</v>
      </c>
      <c r="G363">
        <f>SLOPE(E360:AF360,E359:AF359)</f>
        <v>-0.67331799512651147</v>
      </c>
    </row>
    <row r="364" spans="1:69" x14ac:dyDescent="0.25">
      <c r="F364" t="s">
        <v>2</v>
      </c>
      <c r="G364">
        <f>INTERCEPT(E360:AF360,E359:AF359)</f>
        <v>3649213.2355120312</v>
      </c>
    </row>
    <row r="378" spans="1:69" s="19" customFormat="1" ht="29.25" customHeight="1" x14ac:dyDescent="0.25">
      <c r="A378" s="17" t="s">
        <v>335</v>
      </c>
      <c r="B378" s="17" t="s">
        <v>0</v>
      </c>
      <c r="C378" s="17" t="s">
        <v>287</v>
      </c>
      <c r="D378" s="18" t="s">
        <v>313</v>
      </c>
      <c r="E378" s="17">
        <v>1990</v>
      </c>
      <c r="F378" s="17">
        <v>1991</v>
      </c>
      <c r="G378" s="17">
        <v>1992</v>
      </c>
      <c r="H378" s="17">
        <v>1993</v>
      </c>
      <c r="I378" s="17">
        <v>1994</v>
      </c>
      <c r="J378" s="17">
        <v>1995</v>
      </c>
      <c r="K378" s="17">
        <v>1996</v>
      </c>
      <c r="L378" s="17">
        <v>1997</v>
      </c>
      <c r="M378" s="17">
        <v>1998</v>
      </c>
      <c r="N378" s="17">
        <v>1999</v>
      </c>
      <c r="O378" s="17">
        <v>2000</v>
      </c>
      <c r="P378" s="17">
        <v>2001</v>
      </c>
      <c r="Q378" s="17">
        <v>2002</v>
      </c>
      <c r="R378" s="17">
        <v>2003</v>
      </c>
      <c r="S378" s="17">
        <v>2004</v>
      </c>
      <c r="T378" s="17">
        <v>2005</v>
      </c>
      <c r="U378" s="17">
        <v>2006</v>
      </c>
      <c r="V378" s="17">
        <v>2007</v>
      </c>
      <c r="W378" s="17">
        <v>2008</v>
      </c>
      <c r="X378" s="17">
        <v>2009</v>
      </c>
      <c r="Y378" s="17">
        <v>2010</v>
      </c>
      <c r="Z378" s="17">
        <v>2011</v>
      </c>
      <c r="AA378" s="17">
        <v>2012</v>
      </c>
      <c r="AB378" s="17">
        <v>2013</v>
      </c>
      <c r="AC378" s="17">
        <v>2014</v>
      </c>
      <c r="AD378" s="17">
        <v>2015</v>
      </c>
      <c r="AE378" s="17">
        <v>2016</v>
      </c>
      <c r="AF378" s="17">
        <v>2017</v>
      </c>
      <c r="AG378" s="17">
        <v>2018</v>
      </c>
      <c r="AH378" s="17">
        <v>2019</v>
      </c>
      <c r="AI378" s="17">
        <v>2020</v>
      </c>
      <c r="AJ378" s="17">
        <v>2021</v>
      </c>
      <c r="AK378" s="17">
        <v>2022</v>
      </c>
      <c r="AL378" s="17">
        <v>2023</v>
      </c>
      <c r="AM378" s="17">
        <v>2024</v>
      </c>
      <c r="AN378" s="17">
        <v>2025</v>
      </c>
      <c r="AO378" s="17">
        <v>2026</v>
      </c>
      <c r="AP378" s="17">
        <v>2027</v>
      </c>
      <c r="AQ378" s="17">
        <v>2028</v>
      </c>
      <c r="AR378" s="17">
        <v>2029</v>
      </c>
      <c r="AS378" s="17">
        <v>2030</v>
      </c>
      <c r="AT378" s="17">
        <v>2031</v>
      </c>
      <c r="AU378" s="17">
        <v>2032</v>
      </c>
      <c r="AV378" s="17">
        <v>2033</v>
      </c>
      <c r="AW378" s="17">
        <v>2034</v>
      </c>
      <c r="AX378" s="17">
        <v>2035</v>
      </c>
      <c r="AY378" s="17">
        <v>2036</v>
      </c>
      <c r="AZ378" s="17">
        <v>2037</v>
      </c>
      <c r="BA378" s="17">
        <v>2038</v>
      </c>
      <c r="BB378" s="17">
        <v>2039</v>
      </c>
      <c r="BC378" s="17">
        <v>2040</v>
      </c>
      <c r="BD378" s="17">
        <v>2041</v>
      </c>
      <c r="BE378" s="17">
        <v>2042</v>
      </c>
      <c r="BF378" s="17">
        <v>2043</v>
      </c>
      <c r="BG378" s="17">
        <v>2044</v>
      </c>
      <c r="BH378" s="17">
        <v>2045</v>
      </c>
      <c r="BI378" s="17">
        <v>2046</v>
      </c>
      <c r="BJ378" s="17">
        <v>2047</v>
      </c>
      <c r="BK378" s="17">
        <v>2048</v>
      </c>
      <c r="BL378" s="17">
        <v>2049</v>
      </c>
      <c r="BM378" s="17">
        <v>2050</v>
      </c>
      <c r="BP378" s="18" t="s">
        <v>312</v>
      </c>
      <c r="BQ378" s="17" t="s">
        <v>286</v>
      </c>
    </row>
    <row r="379" spans="1:69" ht="15.75" x14ac:dyDescent="0.25">
      <c r="A379" s="20" t="s">
        <v>426</v>
      </c>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c r="AG379" s="20"/>
      <c r="AH379" s="20"/>
      <c r="AI379" s="20"/>
      <c r="AJ379" s="20"/>
      <c r="AK379" s="20"/>
      <c r="AL379" s="20"/>
      <c r="AM379" s="20"/>
      <c r="AN379" s="20"/>
      <c r="AO379" s="20"/>
      <c r="AP379" s="20"/>
      <c r="AQ379" s="20"/>
      <c r="AR379" s="20"/>
      <c r="AS379" s="20"/>
      <c r="AT379" s="20"/>
      <c r="AU379" s="20"/>
      <c r="AV379" s="20"/>
      <c r="AW379" s="20"/>
      <c r="AX379" s="20"/>
      <c r="AY379" s="20"/>
      <c r="AZ379" s="20"/>
      <c r="BA379" s="20"/>
      <c r="BB379" s="20"/>
      <c r="BC379" s="20"/>
      <c r="BD379" s="20"/>
      <c r="BE379" s="20"/>
      <c r="BF379" s="20"/>
      <c r="BG379" s="20"/>
      <c r="BH379" s="20"/>
      <c r="BI379" s="20"/>
      <c r="BJ379" s="20"/>
      <c r="BK379" s="20"/>
      <c r="BL379" s="20"/>
      <c r="BM379" s="20"/>
    </row>
    <row r="380" spans="1:69" x14ac:dyDescent="0.25">
      <c r="A380" t="s">
        <v>418</v>
      </c>
      <c r="B380" t="s">
        <v>411</v>
      </c>
      <c r="E380" s="11">
        <f t="shared" ref="E380:T380" si="57">E259</f>
        <v>4163000</v>
      </c>
      <c r="F380" s="11">
        <f t="shared" si="57"/>
        <v>3816000</v>
      </c>
      <c r="G380" s="11">
        <f t="shared" si="57"/>
        <v>4173000</v>
      </c>
      <c r="H380" s="11">
        <f t="shared" si="57"/>
        <v>4377000</v>
      </c>
      <c r="I380" s="11">
        <f t="shared" si="57"/>
        <v>4661000</v>
      </c>
      <c r="J380" s="11">
        <f t="shared" si="57"/>
        <v>3526000</v>
      </c>
      <c r="K380" s="11">
        <f t="shared" si="57"/>
        <v>3761000</v>
      </c>
      <c r="L380" s="11">
        <f t="shared" si="57"/>
        <v>4023000</v>
      </c>
      <c r="M380" s="11">
        <f t="shared" si="57"/>
        <v>3560000</v>
      </c>
      <c r="N380" s="11">
        <f t="shared" si="57"/>
        <v>3567000</v>
      </c>
      <c r="O380" s="11">
        <f t="shared" si="57"/>
        <v>4013000</v>
      </c>
      <c r="P380" s="11">
        <f t="shared" si="57"/>
        <v>3189000</v>
      </c>
      <c r="Q380" s="11">
        <f t="shared" si="57"/>
        <v>3533000</v>
      </c>
      <c r="R380" s="11">
        <f t="shared" si="57"/>
        <v>3651000</v>
      </c>
      <c r="S380" s="11">
        <f t="shared" si="57"/>
        <v>3204000</v>
      </c>
      <c r="T380" s="11">
        <f t="shared" si="57"/>
        <v>3223000</v>
      </c>
      <c r="U380" s="11"/>
      <c r="V380" s="11">
        <f t="shared" ref="V380:AE380" si="58">V259</f>
        <v>2897000</v>
      </c>
      <c r="W380" s="11">
        <f t="shared" si="58"/>
        <v>3297000</v>
      </c>
      <c r="X380" s="11">
        <f t="shared" si="58"/>
        <v>2896000</v>
      </c>
      <c r="Y380" s="11">
        <f t="shared" si="58"/>
        <v>3263000</v>
      </c>
      <c r="Z380" s="11">
        <f t="shared" si="58"/>
        <v>2859000</v>
      </c>
      <c r="AA380" s="11">
        <f t="shared" si="58"/>
        <v>3141000</v>
      </c>
      <c r="AB380" s="11">
        <f t="shared" si="58"/>
        <v>3238000</v>
      </c>
      <c r="AC380" s="11">
        <f t="shared" si="58"/>
        <v>3096000</v>
      </c>
      <c r="AD380" s="11">
        <f t="shared" si="58"/>
        <v>3048000</v>
      </c>
      <c r="AE380" s="11">
        <f t="shared" si="58"/>
        <v>2213000</v>
      </c>
      <c r="AF380" s="11"/>
    </row>
    <row r="381" spans="1:69" x14ac:dyDescent="0.25">
      <c r="A381" t="s">
        <v>426</v>
      </c>
      <c r="B381" t="s">
        <v>327</v>
      </c>
      <c r="E381">
        <v>343689</v>
      </c>
      <c r="F381">
        <v>365035</v>
      </c>
      <c r="G381">
        <v>347525</v>
      </c>
      <c r="H381">
        <v>408459</v>
      </c>
      <c r="I381">
        <v>375066</v>
      </c>
      <c r="J381">
        <v>371491</v>
      </c>
      <c r="K381">
        <v>415084</v>
      </c>
      <c r="L381">
        <v>406914</v>
      </c>
      <c r="M381">
        <v>415521</v>
      </c>
      <c r="N381">
        <v>413045</v>
      </c>
      <c r="O381">
        <v>415933</v>
      </c>
      <c r="P381">
        <v>395813</v>
      </c>
      <c r="Q381">
        <v>477072</v>
      </c>
      <c r="R381">
        <v>420827</v>
      </c>
      <c r="S381">
        <v>427571</v>
      </c>
      <c r="T381">
        <v>347260</v>
      </c>
      <c r="U381">
        <v>428719</v>
      </c>
      <c r="V381">
        <v>439480</v>
      </c>
      <c r="W381">
        <v>424123</v>
      </c>
      <c r="X381">
        <v>453777</v>
      </c>
      <c r="Y381">
        <v>395000</v>
      </c>
      <c r="Z381">
        <v>419000</v>
      </c>
      <c r="AA381">
        <v>430000</v>
      </c>
      <c r="AB381">
        <v>416500</v>
      </c>
      <c r="AC381">
        <v>447547</v>
      </c>
      <c r="AD381">
        <v>402792</v>
      </c>
      <c r="AE381">
        <v>430000</v>
      </c>
    </row>
    <row r="384" spans="1:69" x14ac:dyDescent="0.25">
      <c r="F384" t="s">
        <v>1</v>
      </c>
      <c r="G384">
        <f>SLOPE(E381:AE381,E380:AE380)</f>
        <v>-2.9059141412757731E-2</v>
      </c>
    </row>
    <row r="385" spans="1:69" x14ac:dyDescent="0.25">
      <c r="F385" t="s">
        <v>2</v>
      </c>
      <c r="G385">
        <f>INTERCEPT(E381:AE381,E380:AE380)</f>
        <v>508889.29515447485</v>
      </c>
    </row>
    <row r="399" spans="1:69" s="19" customFormat="1" ht="29.25" customHeight="1" x14ac:dyDescent="0.25">
      <c r="A399" s="17" t="s">
        <v>335</v>
      </c>
      <c r="B399" s="17" t="s">
        <v>0</v>
      </c>
      <c r="C399" s="17" t="s">
        <v>287</v>
      </c>
      <c r="D399" s="18" t="s">
        <v>313</v>
      </c>
      <c r="E399" s="17">
        <v>1990</v>
      </c>
      <c r="F399" s="17">
        <v>1991</v>
      </c>
      <c r="G399" s="17">
        <v>1992</v>
      </c>
      <c r="H399" s="17">
        <v>1993</v>
      </c>
      <c r="I399" s="17">
        <v>1994</v>
      </c>
      <c r="J399" s="17">
        <v>1995</v>
      </c>
      <c r="K399" s="17">
        <v>1996</v>
      </c>
      <c r="L399" s="17">
        <v>1997</v>
      </c>
      <c r="M399" s="17">
        <v>1998</v>
      </c>
      <c r="N399" s="17">
        <v>1999</v>
      </c>
      <c r="O399" s="17">
        <v>2000</v>
      </c>
      <c r="P399" s="17">
        <v>2001</v>
      </c>
      <c r="Q399" s="17">
        <v>2002</v>
      </c>
      <c r="R399" s="17">
        <v>2003</v>
      </c>
      <c r="S399" s="17">
        <v>2004</v>
      </c>
      <c r="T399" s="17">
        <v>2005</v>
      </c>
      <c r="U399" s="17">
        <v>2006</v>
      </c>
      <c r="V399" s="17">
        <v>2007</v>
      </c>
      <c r="W399" s="17">
        <v>2008</v>
      </c>
      <c r="X399" s="17">
        <v>2009</v>
      </c>
      <c r="Y399" s="17">
        <v>2010</v>
      </c>
      <c r="Z399" s="17">
        <v>2011</v>
      </c>
      <c r="AA399" s="17">
        <v>2012</v>
      </c>
      <c r="AB399" s="17">
        <v>2013</v>
      </c>
      <c r="AC399" s="17">
        <v>2014</v>
      </c>
      <c r="AD399" s="17">
        <v>2015</v>
      </c>
      <c r="AE399" s="17">
        <v>2016</v>
      </c>
      <c r="AF399" s="17">
        <v>2017</v>
      </c>
      <c r="AG399" s="17">
        <v>2018</v>
      </c>
      <c r="AH399" s="17">
        <v>2019</v>
      </c>
      <c r="AI399" s="17">
        <v>2020</v>
      </c>
      <c r="AJ399" s="17">
        <v>2021</v>
      </c>
      <c r="AK399" s="17">
        <v>2022</v>
      </c>
      <c r="AL399" s="17">
        <v>2023</v>
      </c>
      <c r="AM399" s="17">
        <v>2024</v>
      </c>
      <c r="AN399" s="17">
        <v>2025</v>
      </c>
      <c r="AO399" s="17">
        <v>2026</v>
      </c>
      <c r="AP399" s="17">
        <v>2027</v>
      </c>
      <c r="AQ399" s="17">
        <v>2028</v>
      </c>
      <c r="AR399" s="17">
        <v>2029</v>
      </c>
      <c r="AS399" s="17">
        <v>2030</v>
      </c>
      <c r="AT399" s="17">
        <v>2031</v>
      </c>
      <c r="AU399" s="17">
        <v>2032</v>
      </c>
      <c r="AV399" s="17">
        <v>2033</v>
      </c>
      <c r="AW399" s="17">
        <v>2034</v>
      </c>
      <c r="AX399" s="17">
        <v>2035</v>
      </c>
      <c r="AY399" s="17">
        <v>2036</v>
      </c>
      <c r="AZ399" s="17">
        <v>2037</v>
      </c>
      <c r="BA399" s="17">
        <v>2038</v>
      </c>
      <c r="BB399" s="17">
        <v>2039</v>
      </c>
      <c r="BC399" s="17">
        <v>2040</v>
      </c>
      <c r="BD399" s="17">
        <v>2041</v>
      </c>
      <c r="BE399" s="17">
        <v>2042</v>
      </c>
      <c r="BF399" s="17">
        <v>2043</v>
      </c>
      <c r="BG399" s="17">
        <v>2044</v>
      </c>
      <c r="BH399" s="17">
        <v>2045</v>
      </c>
      <c r="BI399" s="17">
        <v>2046</v>
      </c>
      <c r="BJ399" s="17">
        <v>2047</v>
      </c>
      <c r="BK399" s="17">
        <v>2048</v>
      </c>
      <c r="BL399" s="17">
        <v>2049</v>
      </c>
      <c r="BM399" s="17">
        <v>2050</v>
      </c>
      <c r="BP399" s="18" t="s">
        <v>312</v>
      </c>
      <c r="BQ399" s="17" t="s">
        <v>286</v>
      </c>
    </row>
    <row r="400" spans="1:69" ht="15.75" x14ac:dyDescent="0.25">
      <c r="A400" s="20" t="s">
        <v>458</v>
      </c>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c r="AG400" s="20"/>
      <c r="AH400" s="20"/>
      <c r="AI400" s="20"/>
      <c r="AJ400" s="20"/>
      <c r="AK400" s="20"/>
      <c r="AL400" s="20"/>
      <c r="AM400" s="20"/>
      <c r="AN400" s="20"/>
      <c r="AO400" s="20"/>
      <c r="AP400" s="20"/>
      <c r="AQ400" s="20"/>
      <c r="AR400" s="20"/>
      <c r="AS400" s="20"/>
      <c r="AT400" s="20"/>
      <c r="AU400" s="20"/>
      <c r="AV400" s="20"/>
      <c r="AW400" s="20"/>
      <c r="AX400" s="20"/>
      <c r="AY400" s="20"/>
      <c r="AZ400" s="20"/>
      <c r="BA400" s="20"/>
      <c r="BB400" s="20"/>
      <c r="BC400" s="20"/>
      <c r="BD400" s="20"/>
      <c r="BE400" s="20"/>
      <c r="BF400" s="20"/>
      <c r="BG400" s="20"/>
      <c r="BH400" s="20"/>
      <c r="BI400" s="20"/>
      <c r="BJ400" s="20"/>
      <c r="BK400" s="20"/>
      <c r="BL400" s="20"/>
      <c r="BM400" s="20"/>
    </row>
    <row r="401" spans="1:32" x14ac:dyDescent="0.25">
      <c r="A401" t="s">
        <v>459</v>
      </c>
      <c r="B401" t="s">
        <v>327</v>
      </c>
      <c r="E401" s="11">
        <f t="shared" ref="E401:T401" si="59">E259</f>
        <v>4163000</v>
      </c>
      <c r="F401" s="11">
        <f t="shared" si="59"/>
        <v>3816000</v>
      </c>
      <c r="G401" s="11">
        <f t="shared" si="59"/>
        <v>4173000</v>
      </c>
      <c r="H401" s="11">
        <f t="shared" si="59"/>
        <v>4377000</v>
      </c>
      <c r="I401" s="11">
        <f t="shared" si="59"/>
        <v>4661000</v>
      </c>
      <c r="J401" s="11">
        <f t="shared" si="59"/>
        <v>3526000</v>
      </c>
      <c r="K401" s="11">
        <f t="shared" si="59"/>
        <v>3761000</v>
      </c>
      <c r="L401" s="11">
        <f t="shared" si="59"/>
        <v>4023000</v>
      </c>
      <c r="M401" s="11">
        <f t="shared" si="59"/>
        <v>3560000</v>
      </c>
      <c r="N401" s="11">
        <f t="shared" si="59"/>
        <v>3567000</v>
      </c>
      <c r="O401" s="11">
        <f t="shared" si="59"/>
        <v>4013000</v>
      </c>
      <c r="P401" s="11">
        <f t="shared" si="59"/>
        <v>3189000</v>
      </c>
      <c r="Q401" s="11">
        <f t="shared" si="59"/>
        <v>3533000</v>
      </c>
      <c r="R401" s="11">
        <f t="shared" si="59"/>
        <v>3651000</v>
      </c>
      <c r="S401" s="11">
        <f t="shared" si="59"/>
        <v>3204000</v>
      </c>
      <c r="T401" s="11">
        <f t="shared" si="59"/>
        <v>3223000</v>
      </c>
      <c r="U401" s="11"/>
      <c r="V401" s="11">
        <f t="shared" ref="V401:AB401" si="60">V259</f>
        <v>2897000</v>
      </c>
      <c r="W401" s="11">
        <f t="shared" si="60"/>
        <v>3297000</v>
      </c>
      <c r="X401" s="11">
        <f t="shared" si="60"/>
        <v>2896000</v>
      </c>
      <c r="Y401" s="11">
        <f t="shared" si="60"/>
        <v>3263000</v>
      </c>
      <c r="Z401" s="11">
        <f t="shared" si="60"/>
        <v>2859000</v>
      </c>
      <c r="AA401" s="11">
        <f t="shared" si="60"/>
        <v>3141000</v>
      </c>
      <c r="AB401" s="11">
        <f t="shared" si="60"/>
        <v>3238000</v>
      </c>
      <c r="AC401" s="11"/>
      <c r="AD401" s="11">
        <f>AD259</f>
        <v>3048000</v>
      </c>
      <c r="AE401" s="11"/>
      <c r="AF401" s="11"/>
    </row>
    <row r="402" spans="1:32" x14ac:dyDescent="0.25">
      <c r="A402" t="s">
        <v>458</v>
      </c>
      <c r="B402" t="s">
        <v>327</v>
      </c>
      <c r="E402">
        <v>124083.5011138469</v>
      </c>
      <c r="F402">
        <v>152218.50271143019</v>
      </c>
      <c r="G402">
        <v>180353.50430901349</v>
      </c>
      <c r="H402">
        <v>208488.50590658933</v>
      </c>
      <c r="I402">
        <v>236623.50750417262</v>
      </c>
      <c r="J402">
        <v>264758.50910175592</v>
      </c>
      <c r="K402">
        <v>292893.51069933921</v>
      </c>
      <c r="L402">
        <v>321028.5122969225</v>
      </c>
      <c r="M402">
        <v>349163.5138945058</v>
      </c>
      <c r="N402">
        <v>377298.51549208909</v>
      </c>
      <c r="O402">
        <v>405433.51708967239</v>
      </c>
      <c r="P402">
        <v>433568.51868725568</v>
      </c>
      <c r="Q402">
        <v>461703.52028483152</v>
      </c>
      <c r="R402">
        <v>489838.52188241482</v>
      </c>
      <c r="S402">
        <v>594407</v>
      </c>
      <c r="T402">
        <v>484209</v>
      </c>
      <c r="U402">
        <v>536026</v>
      </c>
      <c r="V402">
        <v>660755</v>
      </c>
      <c r="W402">
        <v>654808</v>
      </c>
      <c r="X402">
        <v>518924</v>
      </c>
      <c r="Y402">
        <v>683837</v>
      </c>
      <c r="Z402">
        <v>778897</v>
      </c>
      <c r="AA402">
        <v>800756</v>
      </c>
      <c r="AB402">
        <v>726904.59500000009</v>
      </c>
      <c r="AC402">
        <v>905143.08</v>
      </c>
      <c r="AD402">
        <v>662862.79909999995</v>
      </c>
      <c r="AE402">
        <v>877638</v>
      </c>
      <c r="AF402">
        <v>926747</v>
      </c>
    </row>
    <row r="405" spans="1:32" x14ac:dyDescent="0.25">
      <c r="F405" t="s">
        <v>1</v>
      </c>
    </row>
    <row r="406" spans="1:32" x14ac:dyDescent="0.25">
      <c r="F406" t="s">
        <v>2</v>
      </c>
    </row>
    <row r="420" spans="1:69" s="19" customFormat="1" ht="29.25" customHeight="1" x14ac:dyDescent="0.25">
      <c r="A420" s="17" t="s">
        <v>335</v>
      </c>
      <c r="B420" s="17" t="s">
        <v>0</v>
      </c>
      <c r="C420" s="17" t="s">
        <v>287</v>
      </c>
      <c r="D420" s="18" t="s">
        <v>313</v>
      </c>
      <c r="E420" s="17">
        <v>1990</v>
      </c>
      <c r="F420" s="17">
        <v>1991</v>
      </c>
      <c r="G420" s="17">
        <v>1992</v>
      </c>
      <c r="H420" s="17">
        <v>1993</v>
      </c>
      <c r="I420" s="17">
        <v>1994</v>
      </c>
      <c r="J420" s="17">
        <v>1995</v>
      </c>
      <c r="K420" s="17">
        <v>1996</v>
      </c>
      <c r="L420" s="17">
        <v>1997</v>
      </c>
      <c r="M420" s="17">
        <v>1998</v>
      </c>
      <c r="N420" s="17">
        <v>1999</v>
      </c>
      <c r="O420" s="17">
        <v>2000</v>
      </c>
      <c r="P420" s="17">
        <v>2001</v>
      </c>
      <c r="Q420" s="17">
        <v>2002</v>
      </c>
      <c r="R420" s="17">
        <v>2003</v>
      </c>
      <c r="S420" s="17">
        <v>2004</v>
      </c>
      <c r="T420" s="17">
        <v>2005</v>
      </c>
      <c r="U420" s="17">
        <v>2006</v>
      </c>
      <c r="V420" s="17">
        <v>2007</v>
      </c>
      <c r="W420" s="17">
        <v>2008</v>
      </c>
      <c r="X420" s="17">
        <v>2009</v>
      </c>
      <c r="Y420" s="17">
        <v>2010</v>
      </c>
      <c r="Z420" s="17">
        <v>2011</v>
      </c>
      <c r="AA420" s="17">
        <v>2012</v>
      </c>
      <c r="AB420" s="17">
        <v>2013</v>
      </c>
      <c r="AC420" s="17">
        <v>2014</v>
      </c>
      <c r="AD420" s="17">
        <v>2015</v>
      </c>
      <c r="AE420" s="17">
        <v>2016</v>
      </c>
      <c r="AF420" s="17">
        <v>2017</v>
      </c>
      <c r="AG420" s="17">
        <v>2018</v>
      </c>
      <c r="AH420" s="17">
        <v>2019</v>
      </c>
      <c r="AI420" s="17">
        <v>2020</v>
      </c>
      <c r="AJ420" s="17">
        <v>2021</v>
      </c>
      <c r="AK420" s="17">
        <v>2022</v>
      </c>
      <c r="AL420" s="17">
        <v>2023</v>
      </c>
      <c r="AM420" s="17">
        <v>2024</v>
      </c>
      <c r="AN420" s="17">
        <v>2025</v>
      </c>
      <c r="AO420" s="17">
        <v>2026</v>
      </c>
      <c r="AP420" s="17">
        <v>2027</v>
      </c>
      <c r="AQ420" s="17">
        <v>2028</v>
      </c>
      <c r="AR420" s="17">
        <v>2029</v>
      </c>
      <c r="AS420" s="17">
        <v>2030</v>
      </c>
      <c r="AT420" s="17">
        <v>2031</v>
      </c>
      <c r="AU420" s="17">
        <v>2032</v>
      </c>
      <c r="AV420" s="17">
        <v>2033</v>
      </c>
      <c r="AW420" s="17">
        <v>2034</v>
      </c>
      <c r="AX420" s="17">
        <v>2035</v>
      </c>
      <c r="AY420" s="17">
        <v>2036</v>
      </c>
      <c r="AZ420" s="17">
        <v>2037</v>
      </c>
      <c r="BA420" s="17">
        <v>2038</v>
      </c>
      <c r="BB420" s="17">
        <v>2039</v>
      </c>
      <c r="BC420" s="17">
        <v>2040</v>
      </c>
      <c r="BD420" s="17">
        <v>2041</v>
      </c>
      <c r="BE420" s="17">
        <v>2042</v>
      </c>
      <c r="BF420" s="17">
        <v>2043</v>
      </c>
      <c r="BG420" s="17">
        <v>2044</v>
      </c>
      <c r="BH420" s="17">
        <v>2045</v>
      </c>
      <c r="BI420" s="17">
        <v>2046</v>
      </c>
      <c r="BJ420" s="17">
        <v>2047</v>
      </c>
      <c r="BK420" s="17">
        <v>2048</v>
      </c>
      <c r="BL420" s="17">
        <v>2049</v>
      </c>
      <c r="BM420" s="17">
        <v>2050</v>
      </c>
      <c r="BP420" s="18" t="s">
        <v>312</v>
      </c>
      <c r="BQ420" s="17" t="s">
        <v>286</v>
      </c>
    </row>
    <row r="421" spans="1:69" ht="15.75" x14ac:dyDescent="0.25">
      <c r="A421" s="20" t="s">
        <v>62</v>
      </c>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c r="AG421" s="20"/>
      <c r="AH421" s="20"/>
      <c r="AI421" s="20"/>
      <c r="AJ421" s="20"/>
      <c r="AK421" s="20"/>
      <c r="AL421" s="20"/>
      <c r="AM421" s="20"/>
      <c r="AN421" s="20"/>
      <c r="AO421" s="20"/>
      <c r="AP421" s="20"/>
      <c r="AQ421" s="20"/>
      <c r="AR421" s="20"/>
      <c r="AS421" s="20"/>
      <c r="AT421" s="20"/>
      <c r="AU421" s="20"/>
      <c r="AV421" s="20"/>
      <c r="AW421" s="20"/>
      <c r="AX421" s="20"/>
      <c r="AY421" s="20"/>
      <c r="AZ421" s="20"/>
      <c r="BA421" s="20"/>
      <c r="BB421" s="20"/>
      <c r="BC421" s="20"/>
      <c r="BD421" s="20"/>
      <c r="BE421" s="20"/>
      <c r="BF421" s="20"/>
      <c r="BG421" s="20"/>
      <c r="BH421" s="20"/>
      <c r="BI421" s="20"/>
      <c r="BJ421" s="20"/>
      <c r="BK421" s="20"/>
      <c r="BL421" s="20"/>
      <c r="BM421" s="20"/>
    </row>
    <row r="422" spans="1:69" x14ac:dyDescent="0.25">
      <c r="A422" t="s">
        <v>418</v>
      </c>
      <c r="B422" t="s">
        <v>411</v>
      </c>
      <c r="E422" s="11">
        <f t="shared" ref="E422:T422" si="61">E259</f>
        <v>4163000</v>
      </c>
      <c r="F422" s="11">
        <f t="shared" si="61"/>
        <v>3816000</v>
      </c>
      <c r="G422" s="11">
        <f t="shared" si="61"/>
        <v>4173000</v>
      </c>
      <c r="H422" s="11">
        <f t="shared" si="61"/>
        <v>4377000</v>
      </c>
      <c r="I422" s="11">
        <f t="shared" si="61"/>
        <v>4661000</v>
      </c>
      <c r="J422" s="11">
        <f t="shared" si="61"/>
        <v>3526000</v>
      </c>
      <c r="K422" s="11">
        <f t="shared" si="61"/>
        <v>3761000</v>
      </c>
      <c r="L422" s="11">
        <f t="shared" si="61"/>
        <v>4023000</v>
      </c>
      <c r="M422" s="11">
        <f t="shared" si="61"/>
        <v>3560000</v>
      </c>
      <c r="N422" s="11">
        <f t="shared" si="61"/>
        <v>3567000</v>
      </c>
      <c r="O422" s="11">
        <f t="shared" si="61"/>
        <v>4013000</v>
      </c>
      <c r="P422" s="11">
        <f t="shared" si="61"/>
        <v>3189000</v>
      </c>
      <c r="Q422" s="11">
        <f t="shared" si="61"/>
        <v>3533000</v>
      </c>
      <c r="R422" s="11">
        <f t="shared" si="61"/>
        <v>3651000</v>
      </c>
      <c r="S422" s="11">
        <f t="shared" si="61"/>
        <v>3204000</v>
      </c>
      <c r="T422" s="11">
        <f t="shared" si="61"/>
        <v>3223000</v>
      </c>
      <c r="U422" s="11"/>
      <c r="V422" s="11">
        <f t="shared" ref="V422:AF422" si="62">V259</f>
        <v>2897000</v>
      </c>
      <c r="W422" s="11">
        <f t="shared" si="62"/>
        <v>3297000</v>
      </c>
      <c r="X422" s="11">
        <f t="shared" si="62"/>
        <v>2896000</v>
      </c>
      <c r="Y422" s="11">
        <f t="shared" si="62"/>
        <v>3263000</v>
      </c>
      <c r="Z422" s="11">
        <f t="shared" si="62"/>
        <v>2859000</v>
      </c>
      <c r="AA422" s="11">
        <f t="shared" si="62"/>
        <v>3141000</v>
      </c>
      <c r="AB422" s="11">
        <f t="shared" si="62"/>
        <v>3238000</v>
      </c>
      <c r="AC422" s="11">
        <f t="shared" si="62"/>
        <v>3096000</v>
      </c>
      <c r="AD422" s="11">
        <f t="shared" si="62"/>
        <v>3048000</v>
      </c>
      <c r="AE422" s="11">
        <f t="shared" si="62"/>
        <v>2213000</v>
      </c>
      <c r="AF422" s="11">
        <f t="shared" si="62"/>
        <v>2995000</v>
      </c>
    </row>
    <row r="423" spans="1:69" x14ac:dyDescent="0.25">
      <c r="A423" t="s">
        <v>519</v>
      </c>
      <c r="B423" t="s">
        <v>482</v>
      </c>
      <c r="E423">
        <v>169222719.81423381</v>
      </c>
      <c r="F423">
        <v>146469055.03045925</v>
      </c>
      <c r="G423">
        <v>159221366.84252763</v>
      </c>
      <c r="H423">
        <v>166361838.74906701</v>
      </c>
      <c r="I423">
        <v>177207855.24554062</v>
      </c>
      <c r="J423">
        <v>134194234.50025843</v>
      </c>
      <c r="K423">
        <v>143395687.73539102</v>
      </c>
      <c r="L423">
        <v>154135462.82738763</v>
      </c>
      <c r="M423">
        <v>135980324.06223202</v>
      </c>
      <c r="N423">
        <v>136205316.98976544</v>
      </c>
      <c r="O423">
        <v>153316816.86155123</v>
      </c>
      <c r="P423">
        <v>121680505.97819223</v>
      </c>
      <c r="Q423">
        <v>134754504.74286324</v>
      </c>
      <c r="R423">
        <v>139005050.45193782</v>
      </c>
      <c r="S423">
        <v>122072648.78867763</v>
      </c>
      <c r="T423">
        <v>122727616.37001581</v>
      </c>
      <c r="U423">
        <v>76773886.659184024</v>
      </c>
      <c r="V423">
        <v>110722449.64123464</v>
      </c>
      <c r="W423">
        <v>126740304.25230721</v>
      </c>
      <c r="X423">
        <v>112126055.04929921</v>
      </c>
      <c r="Y423">
        <v>127466246.79321264</v>
      </c>
      <c r="Z423">
        <v>113245894.01580001</v>
      </c>
      <c r="AA423">
        <v>126977554.31790781</v>
      </c>
      <c r="AB423">
        <v>131940246.24150762</v>
      </c>
      <c r="AC423">
        <v>126043745.53137124</v>
      </c>
      <c r="AD423">
        <v>124059397.92754564</v>
      </c>
      <c r="AE423">
        <v>90409891.970684022</v>
      </c>
      <c r="AF423">
        <v>122439424.41759603</v>
      </c>
    </row>
    <row r="424" spans="1:69" x14ac:dyDescent="0.25">
      <c r="A424" t="s">
        <v>432</v>
      </c>
      <c r="B424" t="s">
        <v>411</v>
      </c>
      <c r="E424" s="11">
        <f>E299</f>
        <v>1563000</v>
      </c>
      <c r="F424" s="11">
        <f t="shared" ref="F424:AF424" si="63">F299</f>
        <v>1436000</v>
      </c>
      <c r="G424" s="11">
        <f t="shared" si="63"/>
        <v>750000</v>
      </c>
      <c r="H424" s="11">
        <f t="shared" si="63"/>
        <v>1075000</v>
      </c>
      <c r="I424" s="11">
        <f t="shared" si="63"/>
        <v>1048000</v>
      </c>
      <c r="J424" s="11">
        <f t="shared" si="63"/>
        <v>1363000</v>
      </c>
      <c r="K424" s="11">
        <f t="shared" si="63"/>
        <v>1294000</v>
      </c>
      <c r="L424" s="11">
        <f t="shared" si="63"/>
        <v>1382000</v>
      </c>
      <c r="M424" s="11">
        <f t="shared" si="63"/>
        <v>745000</v>
      </c>
      <c r="N424" s="11">
        <f t="shared" si="63"/>
        <v>718000</v>
      </c>
      <c r="O424" s="11">
        <f t="shared" si="63"/>
        <v>934000</v>
      </c>
      <c r="P424" s="11">
        <f t="shared" si="63"/>
        <v>974000</v>
      </c>
      <c r="Q424" s="11">
        <f t="shared" si="63"/>
        <v>941000</v>
      </c>
      <c r="R424" s="11">
        <f t="shared" si="63"/>
        <v>748000</v>
      </c>
      <c r="S424" s="11">
        <f t="shared" si="63"/>
        <v>830000</v>
      </c>
      <c r="T424" s="11">
        <f t="shared" si="63"/>
        <v>805000</v>
      </c>
      <c r="U424" s="11">
        <f t="shared" si="63"/>
        <v>765000</v>
      </c>
      <c r="V424" s="11">
        <f t="shared" si="63"/>
        <v>632000</v>
      </c>
      <c r="W424" s="11">
        <f t="shared" si="63"/>
        <v>748000</v>
      </c>
      <c r="X424" s="11">
        <f t="shared" si="63"/>
        <v>642000</v>
      </c>
      <c r="Y424" s="11">
        <f t="shared" si="63"/>
        <v>558000</v>
      </c>
      <c r="Z424" s="11">
        <f t="shared" si="63"/>
        <v>605000</v>
      </c>
      <c r="AA424" s="11">
        <f t="shared" si="63"/>
        <v>511000</v>
      </c>
      <c r="AB424" s="11">
        <f t="shared" si="63"/>
        <v>505000</v>
      </c>
      <c r="AC424" s="11">
        <f t="shared" si="63"/>
        <v>477000</v>
      </c>
      <c r="AD424" s="11">
        <f t="shared" si="63"/>
        <v>482000</v>
      </c>
      <c r="AE424" s="11">
        <f t="shared" si="63"/>
        <v>508000</v>
      </c>
      <c r="AF424" s="11">
        <f t="shared" si="63"/>
        <v>492000</v>
      </c>
    </row>
    <row r="425" spans="1:69" x14ac:dyDescent="0.25">
      <c r="A425" t="s">
        <v>520</v>
      </c>
      <c r="B425" t="s">
        <v>482</v>
      </c>
      <c r="E425">
        <v>12027674.492947873</v>
      </c>
      <c r="F425">
        <v>15073733.727081215</v>
      </c>
      <c r="G425">
        <v>9317109.7170359995</v>
      </c>
      <c r="H425">
        <v>13960385.955568802</v>
      </c>
      <c r="I425">
        <v>12951268.598936448</v>
      </c>
      <c r="J425">
        <v>13915210.572107857</v>
      </c>
      <c r="K425">
        <v>19086964.362997342</v>
      </c>
      <c r="L425">
        <v>17104848.961899597</v>
      </c>
      <c r="M425">
        <v>13260858.352196401</v>
      </c>
      <c r="N425">
        <v>12195250.161865054</v>
      </c>
      <c r="O425">
        <v>17086357.776156764</v>
      </c>
      <c r="P425">
        <v>17620050.867103875</v>
      </c>
      <c r="Q425">
        <v>17154163.058715936</v>
      </c>
      <c r="R425">
        <v>10885377.79194624</v>
      </c>
      <c r="S425">
        <v>11871375.563916</v>
      </c>
      <c r="T425">
        <v>13405603.487245198</v>
      </c>
      <c r="U425">
        <v>14812335.740283838</v>
      </c>
      <c r="V425">
        <v>13404854.889448704</v>
      </c>
      <c r="W425">
        <v>14988421.865818368</v>
      </c>
      <c r="X425">
        <v>13767379.251199199</v>
      </c>
      <c r="Y425">
        <v>10061071.645942945</v>
      </c>
      <c r="Z425">
        <v>14115618.755591758</v>
      </c>
      <c r="AA425">
        <v>13475324.524406973</v>
      </c>
      <c r="AB425">
        <v>13171510.859984927</v>
      </c>
      <c r="AC425">
        <v>12325332.56404507</v>
      </c>
      <c r="AD425">
        <v>10249436.701218529</v>
      </c>
      <c r="AE425">
        <v>13426952.396939136</v>
      </c>
      <c r="AF425">
        <v>13004056.258452863</v>
      </c>
    </row>
    <row r="426" spans="1:69" x14ac:dyDescent="0.25">
      <c r="A426" t="s">
        <v>441</v>
      </c>
      <c r="B426" t="s">
        <v>411</v>
      </c>
      <c r="E426" s="11"/>
      <c r="F426" s="11">
        <f t="shared" ref="F426:AF426" si="64">F332</f>
        <v>118000</v>
      </c>
      <c r="G426" s="11">
        <f t="shared" si="64"/>
        <v>134000</v>
      </c>
      <c r="H426" s="11">
        <f t="shared" si="64"/>
        <v>167000</v>
      </c>
      <c r="I426" s="11">
        <f t="shared" si="64"/>
        <v>163000</v>
      </c>
      <c r="J426" s="11">
        <f t="shared" si="64"/>
        <v>146000</v>
      </c>
      <c r="K426" s="11">
        <f t="shared" si="64"/>
        <v>174000</v>
      </c>
      <c r="L426" s="11">
        <f t="shared" si="64"/>
        <v>161000</v>
      </c>
      <c r="M426" s="11">
        <f t="shared" si="64"/>
        <v>131000</v>
      </c>
      <c r="N426" s="11">
        <f t="shared" si="64"/>
        <v>99000</v>
      </c>
      <c r="O426" s="11">
        <f t="shared" si="64"/>
        <v>142000</v>
      </c>
      <c r="P426" s="11">
        <f t="shared" si="64"/>
        <v>88000</v>
      </c>
      <c r="Q426" s="11">
        <f t="shared" si="64"/>
        <v>75000</v>
      </c>
      <c r="R426" s="11">
        <f t="shared" si="64"/>
        <v>95000</v>
      </c>
      <c r="S426" s="11">
        <f t="shared" si="64"/>
        <v>130000</v>
      </c>
      <c r="T426" s="11">
        <f t="shared" si="64"/>
        <v>86000</v>
      </c>
      <c r="U426" s="11">
        <f t="shared" si="64"/>
        <v>37000</v>
      </c>
      <c r="V426" s="11">
        <f t="shared" si="64"/>
        <v>69000</v>
      </c>
      <c r="W426" s="11">
        <f t="shared" si="64"/>
        <v>87000</v>
      </c>
      <c r="X426" s="11">
        <f t="shared" si="64"/>
        <v>86000</v>
      </c>
      <c r="Y426" s="11">
        <f t="shared" si="64"/>
        <v>87000</v>
      </c>
      <c r="Z426" s="11">
        <f t="shared" si="64"/>
        <v>69000</v>
      </c>
      <c r="AA426" s="11">
        <f t="shared" si="64"/>
        <v>49000</v>
      </c>
      <c r="AB426" s="11">
        <f t="shared" si="64"/>
        <v>63000</v>
      </c>
      <c r="AC426" s="11">
        <f t="shared" si="64"/>
        <v>79000</v>
      </c>
      <c r="AD426" s="11">
        <f t="shared" si="64"/>
        <v>70000</v>
      </c>
      <c r="AE426" s="11">
        <f t="shared" si="64"/>
        <v>48000</v>
      </c>
      <c r="AF426" s="11">
        <f t="shared" si="64"/>
        <v>42000</v>
      </c>
    </row>
    <row r="427" spans="1:69" x14ac:dyDescent="0.25">
      <c r="A427" t="s">
        <v>521</v>
      </c>
      <c r="B427" t="s">
        <v>482</v>
      </c>
      <c r="E427">
        <v>390687.3631584</v>
      </c>
      <c r="F427">
        <v>361799.87719679996</v>
      </c>
      <c r="G427">
        <v>48092.127955199998</v>
      </c>
      <c r="H427">
        <v>731712.72642101767</v>
      </c>
      <c r="I427">
        <v>784820.45288404799</v>
      </c>
      <c r="J427">
        <v>388730.34895175043</v>
      </c>
      <c r="K427">
        <v>1085449.9899444769</v>
      </c>
      <c r="L427">
        <v>767913.6197730815</v>
      </c>
      <c r="M427">
        <v>644364.57901744312</v>
      </c>
      <c r="N427">
        <v>332629.55174332805</v>
      </c>
      <c r="O427">
        <v>310743.09356160002</v>
      </c>
      <c r="P427">
        <v>135738.5035776</v>
      </c>
      <c r="Q427">
        <v>169256.39976</v>
      </c>
      <c r="R427">
        <v>170266.89153600001</v>
      </c>
      <c r="S427">
        <v>245534.82844799999</v>
      </c>
      <c r="T427">
        <v>170159.33773440003</v>
      </c>
      <c r="U427">
        <v>62943.126489599999</v>
      </c>
      <c r="V427">
        <v>115864.25639040001</v>
      </c>
      <c r="W427">
        <v>168245.86927680002</v>
      </c>
      <c r="X427">
        <v>183064.86347520002</v>
      </c>
      <c r="Y427">
        <v>129857.51237760003</v>
      </c>
      <c r="Z427">
        <v>101755.71665280001</v>
      </c>
      <c r="AA427">
        <v>89691.588067199991</v>
      </c>
      <c r="AB427">
        <v>97499.714860800013</v>
      </c>
      <c r="AC427">
        <v>174429.36856800001</v>
      </c>
      <c r="AD427">
        <v>78790.555871999997</v>
      </c>
      <c r="AE427">
        <v>45956.313446399996</v>
      </c>
      <c r="AF427">
        <v>40211.77426559999</v>
      </c>
    </row>
    <row r="428" spans="1:69" x14ac:dyDescent="0.25">
      <c r="A428" t="s">
        <v>524</v>
      </c>
      <c r="B428" t="s">
        <v>482</v>
      </c>
      <c r="E428">
        <f>E427+E425+E423</f>
        <v>181641081.67034009</v>
      </c>
      <c r="F428">
        <f t="shared" ref="F428:AF428" si="65">F427+F425+F423</f>
        <v>161904588.63473728</v>
      </c>
      <c r="G428">
        <f t="shared" si="65"/>
        <v>168586568.68751884</v>
      </c>
      <c r="H428">
        <f t="shared" si="65"/>
        <v>181053937.43105683</v>
      </c>
      <c r="I428">
        <f t="shared" si="65"/>
        <v>190943944.29736111</v>
      </c>
      <c r="J428">
        <f t="shared" si="65"/>
        <v>148498175.42131805</v>
      </c>
      <c r="K428">
        <f t="shared" si="65"/>
        <v>163568102.08833283</v>
      </c>
      <c r="L428">
        <f t="shared" si="65"/>
        <v>172008225.4090603</v>
      </c>
      <c r="M428">
        <f t="shared" si="65"/>
        <v>149885546.99344587</v>
      </c>
      <c r="N428">
        <f t="shared" si="65"/>
        <v>148733196.70337382</v>
      </c>
      <c r="O428">
        <f t="shared" si="65"/>
        <v>170713917.7312696</v>
      </c>
      <c r="P428">
        <f t="shared" si="65"/>
        <v>139436295.3488737</v>
      </c>
      <c r="Q428">
        <f t="shared" si="65"/>
        <v>152077924.20133919</v>
      </c>
      <c r="R428">
        <f t="shared" si="65"/>
        <v>150060695.13542005</v>
      </c>
      <c r="S428">
        <f t="shared" si="65"/>
        <v>134189559.18104163</v>
      </c>
      <c r="T428">
        <f t="shared" si="65"/>
        <v>136303379.1949954</v>
      </c>
      <c r="U428">
        <f t="shared" si="65"/>
        <v>91649165.525957465</v>
      </c>
      <c r="V428">
        <f t="shared" si="65"/>
        <v>124243168.78707375</v>
      </c>
      <c r="W428">
        <f t="shared" si="65"/>
        <v>141896971.98740238</v>
      </c>
      <c r="X428">
        <f t="shared" si="65"/>
        <v>126076499.16397361</v>
      </c>
      <c r="Y428">
        <f t="shared" si="65"/>
        <v>137657175.95153317</v>
      </c>
      <c r="Z428">
        <f t="shared" si="65"/>
        <v>127463268.48804457</v>
      </c>
      <c r="AA428">
        <f t="shared" si="65"/>
        <v>140542570.43038198</v>
      </c>
      <c r="AB428">
        <f t="shared" si="65"/>
        <v>145209256.81635335</v>
      </c>
      <c r="AC428">
        <f t="shared" si="65"/>
        <v>138543507.46398431</v>
      </c>
      <c r="AD428">
        <f t="shared" si="65"/>
        <v>134387625.18463618</v>
      </c>
      <c r="AE428">
        <f t="shared" si="65"/>
        <v>103882800.68106955</v>
      </c>
      <c r="AF428">
        <f t="shared" si="65"/>
        <v>135483692.45031449</v>
      </c>
    </row>
    <row r="429" spans="1:69" x14ac:dyDescent="0.25">
      <c r="A429" t="s">
        <v>525</v>
      </c>
      <c r="B429" t="s">
        <v>482</v>
      </c>
      <c r="E429">
        <v>537778349.14263368</v>
      </c>
      <c r="F429">
        <v>503233007.51376402</v>
      </c>
      <c r="G429">
        <v>469069511.5822835</v>
      </c>
      <c r="H429">
        <v>485572921.20647788</v>
      </c>
      <c r="I429">
        <v>530710134.13645947</v>
      </c>
      <c r="J429">
        <v>459104007.54067165</v>
      </c>
      <c r="K429">
        <v>514060604.9439612</v>
      </c>
      <c r="L429">
        <v>536207345.63600093</v>
      </c>
      <c r="M429">
        <v>488754935.73039883</v>
      </c>
      <c r="N429">
        <v>483182449.22643209</v>
      </c>
      <c r="O429">
        <v>532469089.08129185</v>
      </c>
      <c r="P429">
        <v>459294719.93354666</v>
      </c>
      <c r="Q429">
        <v>498250483.70226246</v>
      </c>
      <c r="R429">
        <v>470695460.13022161</v>
      </c>
      <c r="S429">
        <v>435705747.85614407</v>
      </c>
      <c r="T429">
        <v>448821499.50579911</v>
      </c>
      <c r="U429">
        <v>359749542.48783457</v>
      </c>
      <c r="V429">
        <v>415070956.32498163</v>
      </c>
      <c r="W429">
        <v>460225777.44077468</v>
      </c>
      <c r="X429">
        <v>422778243.14353353</v>
      </c>
      <c r="Y429">
        <v>426696257.18937546</v>
      </c>
      <c r="Z429">
        <v>423526375.13031304</v>
      </c>
      <c r="AA429">
        <v>444115291.09951985</v>
      </c>
      <c r="AB429">
        <v>471759061.44967419</v>
      </c>
      <c r="AC429">
        <v>445243961.00493294</v>
      </c>
      <c r="AD429">
        <v>424195280.05951917</v>
      </c>
      <c r="AE429">
        <v>360561558.56597871</v>
      </c>
      <c r="AF429">
        <v>424742574.51432645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38"/>
  <sheetViews>
    <sheetView workbookViewId="0">
      <selection activeCell="L39" sqref="L39"/>
    </sheetView>
  </sheetViews>
  <sheetFormatPr defaultRowHeight="15" x14ac:dyDescent="0.25"/>
  <cols>
    <col min="2" max="2" width="26.5703125" customWidth="1"/>
    <col min="3" max="3" width="11" customWidth="1"/>
  </cols>
  <sheetData>
    <row r="1" spans="1:53" x14ac:dyDescent="0.25">
      <c r="A1" s="31" t="s">
        <v>750</v>
      </c>
    </row>
    <row r="3" spans="1:53" x14ac:dyDescent="0.25">
      <c r="A3" s="32"/>
      <c r="B3" s="33"/>
      <c r="C3" s="34">
        <v>2000</v>
      </c>
      <c r="D3" s="34">
        <v>2001</v>
      </c>
      <c r="E3" s="34">
        <v>2002</v>
      </c>
      <c r="F3" s="34">
        <v>2003</v>
      </c>
      <c r="G3" s="34">
        <v>2004</v>
      </c>
      <c r="H3" s="34">
        <v>2005</v>
      </c>
      <c r="I3" s="34">
        <v>2006</v>
      </c>
      <c r="J3" s="34">
        <v>2007</v>
      </c>
      <c r="K3" s="34">
        <v>2008</v>
      </c>
      <c r="L3" s="34">
        <v>2009</v>
      </c>
      <c r="M3" s="34">
        <v>2010</v>
      </c>
      <c r="N3" s="34">
        <v>2011</v>
      </c>
      <c r="O3" s="34">
        <v>2012</v>
      </c>
      <c r="P3" s="34">
        <v>2013</v>
      </c>
      <c r="Q3" s="34">
        <v>2014</v>
      </c>
      <c r="R3" s="35">
        <v>2015</v>
      </c>
      <c r="S3" s="35">
        <v>2016</v>
      </c>
      <c r="T3" s="35">
        <v>2017</v>
      </c>
      <c r="U3" s="35">
        <v>2018</v>
      </c>
      <c r="V3" s="35">
        <v>2019</v>
      </c>
      <c r="W3" s="35">
        <v>2020</v>
      </c>
      <c r="X3" s="35">
        <v>2021</v>
      </c>
      <c r="Y3" s="35">
        <v>2022</v>
      </c>
      <c r="Z3" s="35">
        <v>2023</v>
      </c>
      <c r="AA3" s="35">
        <v>2024</v>
      </c>
      <c r="AB3" s="35">
        <v>2025</v>
      </c>
      <c r="AC3" s="35">
        <v>2026</v>
      </c>
      <c r="AD3" s="35">
        <v>2027</v>
      </c>
      <c r="AE3" s="35">
        <v>2028</v>
      </c>
      <c r="AF3" s="35">
        <v>2029</v>
      </c>
      <c r="AG3" s="35">
        <v>2030</v>
      </c>
      <c r="AH3" s="35">
        <v>2031</v>
      </c>
      <c r="AI3" s="35">
        <v>2032</v>
      </c>
      <c r="AJ3" s="35">
        <v>2033</v>
      </c>
      <c r="AK3" s="35">
        <v>2034</v>
      </c>
      <c r="AL3" s="35">
        <v>2035</v>
      </c>
      <c r="AM3" s="35">
        <v>2036</v>
      </c>
      <c r="AN3" s="35">
        <v>2037</v>
      </c>
      <c r="AO3" s="35">
        <v>2038</v>
      </c>
      <c r="AP3" s="35">
        <v>2039</v>
      </c>
      <c r="AQ3" s="35">
        <v>2040</v>
      </c>
      <c r="AR3" s="35">
        <v>2041</v>
      </c>
      <c r="AS3" s="35">
        <v>2042</v>
      </c>
      <c r="AT3" s="35">
        <v>2043</v>
      </c>
      <c r="AU3" s="35">
        <v>2044</v>
      </c>
      <c r="AV3" s="35">
        <v>2045</v>
      </c>
      <c r="AW3" s="35">
        <v>2046</v>
      </c>
      <c r="AX3" s="35">
        <v>2047</v>
      </c>
      <c r="AY3" s="35">
        <v>2048</v>
      </c>
      <c r="AZ3" s="35">
        <v>2049</v>
      </c>
      <c r="BA3" s="35">
        <v>2050</v>
      </c>
    </row>
    <row r="4" spans="1:53" x14ac:dyDescent="0.25">
      <c r="A4" s="33"/>
      <c r="B4" s="33" t="s">
        <v>751</v>
      </c>
      <c r="C4" s="36">
        <v>993.09182234073091</v>
      </c>
      <c r="D4" s="36">
        <v>993.09182234073091</v>
      </c>
      <c r="E4" s="36">
        <v>993.09182234073091</v>
      </c>
      <c r="F4" s="36">
        <v>1043.5184288423109</v>
      </c>
      <c r="G4" s="36">
        <v>1063.935684388</v>
      </c>
      <c r="H4" s="36">
        <v>1250.3949420410001</v>
      </c>
      <c r="I4" s="36">
        <v>1361.4582773811801</v>
      </c>
      <c r="J4" s="36">
        <v>1418.12680256985</v>
      </c>
      <c r="K4" s="36">
        <v>1510.0595450369999</v>
      </c>
      <c r="L4" s="36">
        <v>1467.5146597320002</v>
      </c>
      <c r="M4" s="36">
        <v>1455.5368726329998</v>
      </c>
      <c r="N4" s="36">
        <v>1511.75508982</v>
      </c>
      <c r="O4" s="36">
        <v>1600</v>
      </c>
      <c r="P4" s="36">
        <v>1550</v>
      </c>
      <c r="Q4" s="36">
        <v>1500</v>
      </c>
      <c r="R4" s="37">
        <v>1604.9091918984675</v>
      </c>
      <c r="S4" s="37">
        <v>1560</v>
      </c>
      <c r="T4" s="37">
        <v>1530</v>
      </c>
      <c r="U4" s="37">
        <v>1620</v>
      </c>
      <c r="V4" s="37">
        <v>1680</v>
      </c>
      <c r="W4" s="37">
        <v>1715</v>
      </c>
      <c r="X4" s="37">
        <v>1780</v>
      </c>
      <c r="Y4" s="37">
        <v>1785</v>
      </c>
      <c r="Z4" s="37">
        <v>1790</v>
      </c>
      <c r="AA4" s="37">
        <v>1795</v>
      </c>
      <c r="AB4" s="37">
        <v>1800</v>
      </c>
      <c r="AC4" s="37">
        <v>1805</v>
      </c>
      <c r="AD4" s="37">
        <v>1810</v>
      </c>
      <c r="AE4" s="37">
        <v>1815</v>
      </c>
    </row>
    <row r="5" spans="1:53" x14ac:dyDescent="0.25">
      <c r="A5" s="33"/>
      <c r="B5" s="33" t="s">
        <v>752</v>
      </c>
      <c r="C5" s="36">
        <v>1079.3522583407307</v>
      </c>
      <c r="D5" s="36">
        <v>1079.3522583407307</v>
      </c>
      <c r="E5" s="36">
        <v>1079.3522583407307</v>
      </c>
      <c r="F5" s="36">
        <v>1188.8597378423108</v>
      </c>
      <c r="G5" s="36">
        <v>1206.674888388</v>
      </c>
      <c r="H5" s="36">
        <v>1426.810047041</v>
      </c>
      <c r="I5" s="36">
        <v>1614.02513538118</v>
      </c>
      <c r="J5" s="36">
        <v>1649.1401165698499</v>
      </c>
      <c r="K5" s="36">
        <v>1693.2698300369998</v>
      </c>
      <c r="L5" s="36">
        <v>1660.260131732</v>
      </c>
      <c r="M5" s="36">
        <v>1679.6840026329999</v>
      </c>
      <c r="N5" s="36">
        <v>1828.6388368200001</v>
      </c>
      <c r="O5" s="36">
        <v>1876.7825659999999</v>
      </c>
      <c r="P5" s="36">
        <v>1848.129913</v>
      </c>
      <c r="Q5" s="36">
        <v>1879.0711650000001</v>
      </c>
      <c r="R5" s="37">
        <v>1922.8356980734377</v>
      </c>
      <c r="S5" s="37">
        <v>1990.456203544496</v>
      </c>
      <c r="T5" s="37">
        <v>2057.8989690155481</v>
      </c>
      <c r="U5" s="37">
        <v>2126.2640708919885</v>
      </c>
      <c r="V5" s="37">
        <v>2198.3453171198826</v>
      </c>
      <c r="W5" s="37">
        <v>2269.7994713342828</v>
      </c>
      <c r="X5" s="37">
        <v>2342.1782343068635</v>
      </c>
      <c r="Y5" s="37">
        <v>2416.4818482639166</v>
      </c>
      <c r="Z5" s="37">
        <v>2491.5186816187529</v>
      </c>
      <c r="AA5" s="37">
        <v>2570.8561685926552</v>
      </c>
    </row>
    <row r="6" spans="1:53" x14ac:dyDescent="0.25">
      <c r="A6" s="33"/>
      <c r="B6" s="33" t="s">
        <v>753</v>
      </c>
      <c r="C6" s="36">
        <f>'Intermediate calcs'!M33/1000</f>
        <v>850</v>
      </c>
      <c r="D6" s="36">
        <f>'Intermediate calcs'!N33/1000</f>
        <v>869</v>
      </c>
      <c r="E6" s="36">
        <f>'Intermediate calcs'!O33/1000</f>
        <v>896</v>
      </c>
      <c r="F6" s="36">
        <f>'Intermediate calcs'!P33/1000</f>
        <v>925</v>
      </c>
      <c r="G6" s="36">
        <f>'Intermediate calcs'!Q33/1000</f>
        <v>1043</v>
      </c>
      <c r="H6" s="36">
        <f>'Intermediate calcs'!R33/1000</f>
        <v>1273</v>
      </c>
      <c r="I6" s="36">
        <f>'Intermediate calcs'!S33/1000</f>
        <v>1427</v>
      </c>
      <c r="J6" s="36">
        <f>'Intermediate calcs'!T33/1000</f>
        <v>1499</v>
      </c>
      <c r="K6" s="36">
        <f>'Intermediate calcs'!U33/1000</f>
        <v>1584</v>
      </c>
      <c r="L6" s="36">
        <f>'Intermediate calcs'!V33/1000</f>
        <v>1644</v>
      </c>
      <c r="M6" s="36">
        <f>'Intermediate calcs'!W33/1000</f>
        <v>1681</v>
      </c>
      <c r="N6" s="36">
        <f>'Intermediate calcs'!X33/1000</f>
        <v>1721</v>
      </c>
      <c r="O6" s="36">
        <f>'Intermediate calcs'!Y33/1000</f>
        <v>1681</v>
      </c>
      <c r="P6" s="36">
        <f>'Intermediate calcs'!Z33/1000</f>
        <v>1691</v>
      </c>
      <c r="Q6" s="36">
        <f>'Intermediate calcs'!AA33/1000</f>
        <v>1668</v>
      </c>
      <c r="R6" s="36">
        <f>'Intermediate calcs'!AB33/1000</f>
        <v>1709</v>
      </c>
      <c r="S6" s="36">
        <f>'Intermediate calcs'!AC33/1000</f>
        <v>1704</v>
      </c>
      <c r="T6" s="36">
        <f>'Intermediate calcs'!AD33/1000</f>
        <v>1663</v>
      </c>
      <c r="U6" s="36">
        <f>'Intermediate calcs'!AE33/1000</f>
        <v>1873.9130791943549</v>
      </c>
      <c r="V6" s="36">
        <f>'Intermediate calcs'!AF33/1000</f>
        <v>1916.1139440254526</v>
      </c>
      <c r="W6" s="36">
        <f>'Intermediate calcs'!AG33/1000</f>
        <v>1958.3148088565508</v>
      </c>
      <c r="X6" s="36">
        <f>'Intermediate calcs'!AH33/1000</f>
        <v>2001.0899388955618</v>
      </c>
      <c r="Y6" s="36">
        <f>'Intermediate calcs'!AI33/1000</f>
        <v>2043.8650681450117</v>
      </c>
      <c r="Z6" s="36">
        <f>'Intermediate calcs'!AJ33/1000</f>
        <v>2086.6401973944612</v>
      </c>
      <c r="AA6" s="36">
        <f>'Intermediate calcs'!AK33/1000</f>
        <v>2129.4153266439102</v>
      </c>
      <c r="AB6" s="36">
        <f>'Intermediate calcs'!AL33/1000</f>
        <v>2172.1904566829203</v>
      </c>
      <c r="AC6" s="36">
        <f>'Intermediate calcs'!AM33/1000</f>
        <v>2218.5327206469401</v>
      </c>
      <c r="AD6" s="36">
        <f>'Intermediate calcs'!AN33/1000</f>
        <v>2264.874984610959</v>
      </c>
      <c r="AE6" s="36">
        <f>'Intermediate calcs'!AO33/1000</f>
        <v>2311.2172485749779</v>
      </c>
      <c r="AF6" s="36">
        <f>'Intermediate calcs'!AP33/1000</f>
        <v>2357.5595125389964</v>
      </c>
      <c r="AG6" s="36">
        <f>'Intermediate calcs'!AQ33/1000</f>
        <v>2403.9017765030162</v>
      </c>
      <c r="AH6" s="36">
        <f>'Intermediate calcs'!AR33/1000</f>
        <v>2448.6707142993496</v>
      </c>
      <c r="AI6" s="36">
        <f>'Intermediate calcs'!AS33/1000</f>
        <v>2493.439651306122</v>
      </c>
      <c r="AJ6" s="36">
        <f>'Intermediate calcs'!AT33/1000</f>
        <v>2538.2085891024562</v>
      </c>
      <c r="AK6" s="36">
        <f>'Intermediate calcs'!AU33/1000</f>
        <v>2582.97752610923</v>
      </c>
      <c r="AL6" s="36">
        <f>'Intermediate calcs'!AV33/1000</f>
        <v>2627.7464631160019</v>
      </c>
      <c r="AM6" s="36">
        <f>'Intermediate calcs'!AW33/1000</f>
        <v>2674.2754772457474</v>
      </c>
      <c r="AN6" s="36">
        <f>'Intermediate calcs'!AX33/1000</f>
        <v>2720.804491375492</v>
      </c>
      <c r="AO6" s="36">
        <f>'Intermediate calcs'!AY33/1000</f>
        <v>2767.3335047156761</v>
      </c>
      <c r="AP6" s="36">
        <f>'Intermediate calcs'!AZ33/1000</f>
        <v>2813.8625188454203</v>
      </c>
      <c r="AQ6" s="36">
        <f>'Intermediate calcs'!BA33/1000</f>
        <v>2860.3915329751653</v>
      </c>
      <c r="AR6" s="36">
        <f>'Intermediate calcs'!BB33/1000</f>
        <v>2913.5057217466156</v>
      </c>
      <c r="AS6" s="36">
        <f>'Intermediate calcs'!BC33/1000</f>
        <v>2966.6199097285044</v>
      </c>
      <c r="AT6" s="36">
        <f>'Intermediate calcs'!BD33/1000</f>
        <v>3019.7340984999546</v>
      </c>
      <c r="AU6" s="36">
        <f>'Intermediate calcs'!BE33/1000</f>
        <v>3072.8482872714048</v>
      </c>
      <c r="AV6" s="36">
        <f>'Intermediate calcs'!BF33/1000</f>
        <v>3125.9624760428537</v>
      </c>
      <c r="AW6" s="36">
        <f>'Intermediate calcs'!BG33/1000</f>
        <v>3177.2020444735531</v>
      </c>
      <c r="AX6" s="36">
        <f>'Intermediate calcs'!BH33/1000</f>
        <v>3228.4416129042502</v>
      </c>
      <c r="AY6" s="36">
        <f>'Intermediate calcs'!BI33/1000</f>
        <v>3279.6811821245092</v>
      </c>
      <c r="AZ6" s="36">
        <f>'Intermediate calcs'!BJ33/1000</f>
        <v>3330.9207505552063</v>
      </c>
      <c r="BA6" s="36">
        <f>'Intermediate calcs'!BK33/1000</f>
        <v>3382.1603189859043</v>
      </c>
    </row>
    <row r="7" spans="1:53" x14ac:dyDescent="0.25">
      <c r="A7" s="33"/>
      <c r="B7" s="33" t="s">
        <v>754</v>
      </c>
      <c r="C7" s="36">
        <f>'Intermediate calcs'!M30/1000</f>
        <v>927</v>
      </c>
      <c r="D7" s="36">
        <f>'Intermediate calcs'!N30/1000</f>
        <v>938</v>
      </c>
      <c r="E7" s="36">
        <f>'Intermediate calcs'!O30/1000</f>
        <v>965</v>
      </c>
      <c r="F7" s="36">
        <f>'Intermediate calcs'!P30/1000</f>
        <v>1032</v>
      </c>
      <c r="G7" s="36">
        <f>'Intermediate calcs'!Q30/1000</f>
        <v>1196</v>
      </c>
      <c r="H7" s="36">
        <f>'Intermediate calcs'!R30/1000</f>
        <v>1455</v>
      </c>
      <c r="I7" s="36">
        <f>'Intermediate calcs'!S30/1000</f>
        <v>1664</v>
      </c>
      <c r="J7" s="36">
        <f>'Intermediate calcs'!T30/1000</f>
        <v>1767</v>
      </c>
      <c r="K7" s="36">
        <f>'Intermediate calcs'!U30/1000</f>
        <v>1813</v>
      </c>
      <c r="L7" s="36">
        <f>'Intermediate calcs'!V30/1000</f>
        <v>1841</v>
      </c>
      <c r="M7" s="36">
        <f>'Intermediate calcs'!W30/1000</f>
        <v>1887</v>
      </c>
      <c r="N7" s="36">
        <f>'Intermediate calcs'!X30/1000</f>
        <v>1987</v>
      </c>
      <c r="O7" s="36">
        <f>'Intermediate calcs'!Y30/1000</f>
        <v>2048</v>
      </c>
      <c r="P7" s="36">
        <f>'Intermediate calcs'!Z30/1000</f>
        <v>2061</v>
      </c>
      <c r="Q7" s="36">
        <f>'Intermediate calcs'!AA30/1000</f>
        <v>2015</v>
      </c>
      <c r="R7" s="36">
        <f>'Intermediate calcs'!AB30/1000</f>
        <v>2076</v>
      </c>
      <c r="S7" s="36">
        <f>'Intermediate calcs'!AC30/1000</f>
        <v>2200</v>
      </c>
      <c r="T7" s="36">
        <f>'Intermediate calcs'!AD30/1000</f>
        <v>2155</v>
      </c>
      <c r="U7" s="36">
        <f>'Intermediate calcs'!AE30/1000</f>
        <v>2275.5165831531472</v>
      </c>
      <c r="V7" s="36">
        <f>'Intermediate calcs'!AF30/1000</f>
        <v>2331.1445987771758</v>
      </c>
      <c r="W7" s="36">
        <f>'Intermediate calcs'!AG30/1000</f>
        <v>2386.7726144012045</v>
      </c>
      <c r="X7" s="36">
        <f>'Intermediate calcs'!AH30/1000</f>
        <v>2443.1576105773133</v>
      </c>
      <c r="Y7" s="36">
        <f>'Intermediate calcs'!AI30/1000</f>
        <v>2499.5426057126447</v>
      </c>
      <c r="Z7" s="36">
        <f>'Intermediate calcs'!AJ30/1000</f>
        <v>2555.9276008479756</v>
      </c>
      <c r="AA7" s="36">
        <f>'Intermediate calcs'!AK30/1000</f>
        <v>2612.312595983306</v>
      </c>
      <c r="AB7" s="36">
        <f>'Intermediate calcs'!AL30/1000</f>
        <v>2668.6975921594139</v>
      </c>
      <c r="AC7" s="36">
        <f>'Intermediate calcs'!AM30/1000</f>
        <v>2729.7846858519501</v>
      </c>
      <c r="AD7" s="36">
        <f>'Intermediate calcs'!AN30/1000</f>
        <v>2790.871779544485</v>
      </c>
      <c r="AE7" s="36">
        <f>'Intermediate calcs'!AO30/1000</f>
        <v>2851.9588732370203</v>
      </c>
      <c r="AF7" s="36">
        <f>'Intermediate calcs'!AP30/1000</f>
        <v>2913.0459669295551</v>
      </c>
      <c r="AG7" s="36">
        <f>'Intermediate calcs'!AQ30/1000</f>
        <v>2974.1330606220913</v>
      </c>
      <c r="AH7" s="36">
        <f>'Intermediate calcs'!AR30/1000</f>
        <v>3033.1462391712284</v>
      </c>
      <c r="AI7" s="36">
        <f>'Intermediate calcs'!AS30/1000</f>
        <v>3092.159416679588</v>
      </c>
      <c r="AJ7" s="36">
        <f>'Intermediate calcs'!AT30/1000</f>
        <v>3151.172595228727</v>
      </c>
      <c r="AK7" s="36">
        <f>'Intermediate calcs'!AU30/1000</f>
        <v>3210.1857727370875</v>
      </c>
      <c r="AL7" s="36">
        <f>'Intermediate calcs'!AV30/1000</f>
        <v>3269.1989502454476</v>
      </c>
      <c r="AM7" s="36">
        <f>'Intermediate calcs'!AW30/1000</f>
        <v>3330.5322128536768</v>
      </c>
      <c r="AN7" s="36">
        <f>'Intermediate calcs'!AX30/1000</f>
        <v>3391.8654754619047</v>
      </c>
      <c r="AO7" s="36">
        <f>'Intermediate calcs'!AY30/1000</f>
        <v>3453.1987370293559</v>
      </c>
      <c r="AP7" s="36">
        <f>'Intermediate calcs'!AZ30/1000</f>
        <v>3514.5319996375842</v>
      </c>
      <c r="AQ7" s="36">
        <f>'Intermediate calcs'!BA30/1000</f>
        <v>3575.8652622458126</v>
      </c>
      <c r="AR7" s="36">
        <f>'Intermediate calcs'!BB30/1000</f>
        <v>3645.8789203701494</v>
      </c>
      <c r="AS7" s="36">
        <f>'Intermediate calcs'!BC30/1000</f>
        <v>3715.8925774537074</v>
      </c>
      <c r="AT7" s="36">
        <f>'Intermediate calcs'!BD30/1000</f>
        <v>3785.9062355780443</v>
      </c>
      <c r="AU7" s="36">
        <f>'Intermediate calcs'!BE30/1000</f>
        <v>3855.9198937023803</v>
      </c>
      <c r="AV7" s="36">
        <f>'Intermediate calcs'!BF30/1000</f>
        <v>3925.9335518267153</v>
      </c>
      <c r="AW7" s="36">
        <f>'Intermediate calcs'!BG30/1000</f>
        <v>3993.4761371419568</v>
      </c>
      <c r="AX7" s="36">
        <f>'Intermediate calcs'!BH30/1000</f>
        <v>4061.0187224571955</v>
      </c>
      <c r="AY7" s="36">
        <f>'Intermediate calcs'!BI30/1000</f>
        <v>4128.5613088132131</v>
      </c>
      <c r="AZ7" s="36">
        <f>'Intermediate calcs'!BJ30/1000</f>
        <v>4196.1038941284523</v>
      </c>
      <c r="BA7" s="36">
        <f>'Intermediate calcs'!BK30/1000</f>
        <v>4263.6464794436915</v>
      </c>
    </row>
    <row r="8" spans="1:53" x14ac:dyDescent="0.25">
      <c r="A8" s="33"/>
      <c r="B8" s="33"/>
      <c r="C8" s="36"/>
      <c r="D8" s="36"/>
      <c r="E8" s="36"/>
      <c r="F8" s="36"/>
      <c r="G8" s="36"/>
      <c r="H8" s="36"/>
      <c r="I8" s="36"/>
      <c r="J8" s="36"/>
      <c r="K8" s="36"/>
      <c r="L8" s="36"/>
      <c r="M8" s="36"/>
      <c r="N8" s="36"/>
      <c r="O8" s="36"/>
      <c r="P8" s="36"/>
      <c r="Q8" s="36"/>
      <c r="R8" s="37"/>
      <c r="S8" s="37"/>
      <c r="T8" s="37"/>
      <c r="U8" s="37"/>
      <c r="V8" s="37"/>
      <c r="W8" s="37"/>
      <c r="X8" s="37"/>
      <c r="Y8" s="37"/>
      <c r="Z8" s="37"/>
      <c r="AA8" s="37"/>
    </row>
    <row r="9" spans="1:53" x14ac:dyDescent="0.25">
      <c r="A9" s="32"/>
      <c r="B9" s="33"/>
      <c r="C9" s="34">
        <v>2000</v>
      </c>
      <c r="D9" s="34">
        <v>2001</v>
      </c>
      <c r="E9" s="34">
        <v>2002</v>
      </c>
      <c r="F9" s="34">
        <v>2003</v>
      </c>
      <c r="G9" s="34">
        <v>2004</v>
      </c>
      <c r="H9" s="34">
        <v>2005</v>
      </c>
      <c r="I9" s="34">
        <v>2006</v>
      </c>
      <c r="J9" s="34">
        <v>2007</v>
      </c>
      <c r="K9" s="34">
        <v>2008</v>
      </c>
      <c r="L9" s="34">
        <v>2009</v>
      </c>
      <c r="M9" s="34">
        <v>2010</v>
      </c>
      <c r="N9" s="34">
        <v>2011</v>
      </c>
      <c r="O9" s="34">
        <v>2012</v>
      </c>
      <c r="P9" s="34">
        <v>2013</v>
      </c>
      <c r="Q9" s="34">
        <v>2014</v>
      </c>
      <c r="R9" s="35">
        <v>2015</v>
      </c>
      <c r="S9" s="35">
        <v>2016</v>
      </c>
      <c r="T9" s="35">
        <v>2017</v>
      </c>
      <c r="U9" s="35">
        <v>2018</v>
      </c>
      <c r="V9" s="35">
        <v>2019</v>
      </c>
      <c r="W9" s="35">
        <v>2020</v>
      </c>
      <c r="X9" s="35">
        <v>2021</v>
      </c>
      <c r="Y9" s="35">
        <v>2022</v>
      </c>
      <c r="Z9" s="35">
        <v>2023</v>
      </c>
      <c r="AA9" s="35">
        <v>2024</v>
      </c>
      <c r="AB9" s="35">
        <v>2025</v>
      </c>
      <c r="AC9" s="35">
        <v>2026</v>
      </c>
      <c r="AD9" s="35">
        <v>2027</v>
      </c>
      <c r="AE9" s="35">
        <v>2028</v>
      </c>
      <c r="AF9" s="35">
        <v>2029</v>
      </c>
      <c r="AG9" s="35">
        <v>2030</v>
      </c>
      <c r="AH9" s="35">
        <v>2031</v>
      </c>
      <c r="AI9" s="35">
        <v>2032</v>
      </c>
      <c r="AJ9" s="35">
        <v>2033</v>
      </c>
      <c r="AK9" s="35">
        <v>2034</v>
      </c>
      <c r="AL9" s="35">
        <v>2035</v>
      </c>
      <c r="AM9" s="35">
        <v>2036</v>
      </c>
      <c r="AN9" s="35">
        <v>2037</v>
      </c>
      <c r="AO9" s="35">
        <v>2038</v>
      </c>
      <c r="AP9" s="35">
        <v>2039</v>
      </c>
      <c r="AQ9" s="35">
        <v>2040</v>
      </c>
      <c r="AR9" s="35">
        <v>2041</v>
      </c>
      <c r="AS9" s="35">
        <v>2042</v>
      </c>
      <c r="AT9" s="35">
        <v>2043</v>
      </c>
      <c r="AU9" s="35">
        <v>2044</v>
      </c>
      <c r="AV9" s="35">
        <v>2045</v>
      </c>
      <c r="AW9" s="35">
        <v>2046</v>
      </c>
      <c r="AX9" s="35">
        <v>2047</v>
      </c>
      <c r="AY9" s="35">
        <v>2048</v>
      </c>
      <c r="AZ9" s="35">
        <v>2049</v>
      </c>
      <c r="BA9" s="35">
        <v>2050</v>
      </c>
    </row>
    <row r="10" spans="1:53" x14ac:dyDescent="0.25">
      <c r="A10" s="33"/>
      <c r="B10" s="33" t="s">
        <v>755</v>
      </c>
      <c r="C10" s="36">
        <v>325.34589665653499</v>
      </c>
      <c r="D10" s="36">
        <v>325.34589665653499</v>
      </c>
      <c r="E10" s="36">
        <v>325.34589665653499</v>
      </c>
      <c r="F10" s="36">
        <v>318.8389787234043</v>
      </c>
      <c r="G10" s="36">
        <v>318.8389787234043</v>
      </c>
      <c r="H10" s="36">
        <v>325.21575829787241</v>
      </c>
      <c r="I10" s="36">
        <v>328.46791588085114</v>
      </c>
      <c r="J10" s="36">
        <v>363.86063999999999</v>
      </c>
      <c r="K10" s="36">
        <v>368.28791999999999</v>
      </c>
      <c r="L10" s="36">
        <v>373.60199999999998</v>
      </c>
      <c r="M10" s="36">
        <v>386.43599999999998</v>
      </c>
      <c r="N10" s="36">
        <v>404.49</v>
      </c>
      <c r="O10" s="36">
        <v>450.04</v>
      </c>
      <c r="P10" s="36">
        <v>439.4</v>
      </c>
      <c r="Q10" s="36">
        <v>421.88</v>
      </c>
      <c r="R10" s="37">
        <v>433.92676812049251</v>
      </c>
      <c r="S10" s="37">
        <v>435</v>
      </c>
      <c r="T10" s="37">
        <v>400</v>
      </c>
      <c r="U10" s="37">
        <v>410</v>
      </c>
      <c r="V10" s="37">
        <v>415</v>
      </c>
      <c r="W10" s="37">
        <v>424</v>
      </c>
      <c r="X10" s="37">
        <v>440</v>
      </c>
      <c r="Y10" s="37">
        <v>450</v>
      </c>
      <c r="Z10" s="37">
        <v>458</v>
      </c>
      <c r="AA10" s="37">
        <v>460</v>
      </c>
      <c r="AB10" s="37">
        <v>470</v>
      </c>
      <c r="AC10" s="37">
        <v>480</v>
      </c>
      <c r="AD10" s="37">
        <v>490</v>
      </c>
      <c r="AE10" s="37">
        <v>500</v>
      </c>
    </row>
    <row r="11" spans="1:53" x14ac:dyDescent="0.25">
      <c r="A11" s="33"/>
      <c r="B11" s="33" t="s">
        <v>756</v>
      </c>
      <c r="C11" s="36">
        <v>321.91089665653499</v>
      </c>
      <c r="D11" s="36">
        <v>321.91089665653499</v>
      </c>
      <c r="E11" s="36">
        <v>321.91089665653499</v>
      </c>
      <c r="F11" s="36">
        <v>316.1402608231254</v>
      </c>
      <c r="G11" s="36">
        <v>317.8939787234043</v>
      </c>
      <c r="H11" s="36">
        <v>324.27075829787242</v>
      </c>
      <c r="I11" s="36">
        <v>328.91791588085113</v>
      </c>
      <c r="J11" s="36">
        <v>364.32063999999997</v>
      </c>
      <c r="K11" s="36">
        <v>367.77791999999999</v>
      </c>
      <c r="L11" s="36">
        <v>371.36519499999997</v>
      </c>
      <c r="M11" s="36">
        <v>382.88327899999996</v>
      </c>
      <c r="N11" s="36">
        <v>401.97165999999999</v>
      </c>
      <c r="O11" s="36">
        <v>445.23</v>
      </c>
      <c r="P11" s="36">
        <v>435.75099999999998</v>
      </c>
      <c r="Q11" s="36">
        <v>416.88200000000001</v>
      </c>
      <c r="R11" s="37">
        <f>R10-4</f>
        <v>429.92676812049251</v>
      </c>
      <c r="S11" s="37">
        <f t="shared" ref="S11:AE11" si="0">S10-4</f>
        <v>431</v>
      </c>
      <c r="T11" s="37">
        <f t="shared" si="0"/>
        <v>396</v>
      </c>
      <c r="U11" s="37">
        <f t="shared" si="0"/>
        <v>406</v>
      </c>
      <c r="V11" s="37">
        <f t="shared" si="0"/>
        <v>411</v>
      </c>
      <c r="W11" s="37">
        <f t="shared" si="0"/>
        <v>420</v>
      </c>
      <c r="X11" s="37">
        <f t="shared" si="0"/>
        <v>436</v>
      </c>
      <c r="Y11" s="37">
        <f t="shared" si="0"/>
        <v>446</v>
      </c>
      <c r="Z11" s="37">
        <f t="shared" si="0"/>
        <v>454</v>
      </c>
      <c r="AA11" s="37">
        <f t="shared" si="0"/>
        <v>456</v>
      </c>
      <c r="AB11" s="37">
        <f t="shared" si="0"/>
        <v>466</v>
      </c>
      <c r="AC11" s="37">
        <f t="shared" si="0"/>
        <v>476</v>
      </c>
      <c r="AD11" s="37">
        <f t="shared" si="0"/>
        <v>486</v>
      </c>
      <c r="AE11" s="37">
        <f t="shared" si="0"/>
        <v>496</v>
      </c>
    </row>
    <row r="12" spans="1:53" x14ac:dyDescent="0.25">
      <c r="A12" s="33"/>
      <c r="B12" s="33" t="s">
        <v>757</v>
      </c>
      <c r="C12" s="36">
        <f>'Intermediate calcs'!M29/1000</f>
        <v>329</v>
      </c>
      <c r="D12" s="36">
        <f>'Intermediate calcs'!N29/1000</f>
        <v>330</v>
      </c>
      <c r="E12" s="36">
        <f>'Intermediate calcs'!O29/1000</f>
        <v>340</v>
      </c>
      <c r="F12" s="36">
        <f>'Intermediate calcs'!P29/1000</f>
        <v>328</v>
      </c>
      <c r="G12" s="36">
        <f>'Intermediate calcs'!Q29/1000</f>
        <v>348</v>
      </c>
      <c r="H12" s="36">
        <f>'Intermediate calcs'!R29/1000</f>
        <v>375</v>
      </c>
      <c r="I12" s="36">
        <f>'Intermediate calcs'!S29/1000</f>
        <v>412</v>
      </c>
      <c r="J12" s="36">
        <f>'Intermediate calcs'!T29/1000</f>
        <v>438</v>
      </c>
      <c r="K12" s="36">
        <f>'Intermediate calcs'!U29/1000</f>
        <v>426</v>
      </c>
      <c r="L12" s="36">
        <f>'Intermediate calcs'!V29/1000</f>
        <v>404</v>
      </c>
      <c r="M12" s="36">
        <f>'Intermediate calcs'!W29/1000</f>
        <v>413</v>
      </c>
      <c r="N12" s="36">
        <f>'Intermediate calcs'!X29/1000</f>
        <v>452</v>
      </c>
      <c r="O12" s="36">
        <f>'Intermediate calcs'!Y29/1000</f>
        <v>477</v>
      </c>
      <c r="P12" s="36">
        <f>'Intermediate calcs'!Z29/1000</f>
        <v>468</v>
      </c>
      <c r="Q12" s="36">
        <f>'Intermediate calcs'!AA29/1000</f>
        <v>453</v>
      </c>
      <c r="R12" s="36">
        <f>'Intermediate calcs'!AB29/1000</f>
        <v>477</v>
      </c>
      <c r="S12" s="36">
        <f>'Intermediate calcs'!AC29/1000</f>
        <v>478</v>
      </c>
      <c r="T12" s="36">
        <f>'Intermediate calcs'!AD29/1000</f>
        <v>445</v>
      </c>
      <c r="U12" s="36">
        <f>'Intermediate calcs'!AE29/1000</f>
        <v>486.5851576717522</v>
      </c>
      <c r="V12" s="36">
        <f>'Intermediate calcs'!AF29/1000</f>
        <v>491.14218538837775</v>
      </c>
      <c r="W12" s="36">
        <f>'Intermediate calcs'!AG29/1000</f>
        <v>488.97681247086626</v>
      </c>
      <c r="X12" s="36">
        <f>'Intermediate calcs'!AH29/1000</f>
        <v>494.58844935570505</v>
      </c>
      <c r="Y12" s="36">
        <f>'Intermediate calcs'!AI29/1000</f>
        <v>500.13175130277506</v>
      </c>
      <c r="Z12" s="36">
        <f>'Intermediate calcs'!AJ29/1000</f>
        <v>505.69039255744616</v>
      </c>
      <c r="AA12" s="36">
        <f>'Intermediate calcs'!AK29/1000</f>
        <v>511.19020701907453</v>
      </c>
      <c r="AB12" s="36">
        <f>'Intermediate calcs'!AL29/1000</f>
        <v>516.75825457424355</v>
      </c>
      <c r="AC12" s="36">
        <f>'Intermediate calcs'!AM29/1000</f>
        <v>522.96378028380047</v>
      </c>
      <c r="AD12" s="36">
        <f>'Intermediate calcs'!AN29/1000</f>
        <v>529.15121428020404</v>
      </c>
      <c r="AE12" s="36">
        <f>'Intermediate calcs'!AO29/1000</f>
        <v>535.43100793463316</v>
      </c>
      <c r="AF12" s="36">
        <f>'Intermediate calcs'!AP29/1000</f>
        <v>541.77938192549811</v>
      </c>
      <c r="AG12" s="36">
        <f>'Intermediate calcs'!AQ29/1000</f>
        <v>548.20259575574778</v>
      </c>
      <c r="AH12" s="36">
        <f>'Intermediate calcs'!AR29/1000</f>
        <v>554.92175889142152</v>
      </c>
      <c r="AI12" s="36">
        <f>'Intermediate calcs'!AS29/1000</f>
        <v>561.51788368183031</v>
      </c>
      <c r="AJ12" s="36">
        <f>'Intermediate calcs'!AT29/1000</f>
        <v>568.39152100916999</v>
      </c>
      <c r="AK12" s="36">
        <f>'Intermediate calcs'!AU29/1000</f>
        <v>575.4591636850231</v>
      </c>
      <c r="AL12" s="36">
        <f>'Intermediate calcs'!AV29/1000</f>
        <v>582.73131218249284</v>
      </c>
      <c r="AM12" s="36">
        <f>'Intermediate calcs'!AW29/1000</f>
        <v>590.25802565240213</v>
      </c>
      <c r="AN12" s="36">
        <f>'Intermediate calcs'!AX29/1000</f>
        <v>597.92540428118923</v>
      </c>
      <c r="AO12" s="36">
        <f>'Intermediate calcs'!AY29/1000</f>
        <v>605.64503937256814</v>
      </c>
      <c r="AP12" s="36">
        <f>'Intermediate calcs'!AZ29/1000</f>
        <v>613.50666628121894</v>
      </c>
      <c r="AQ12" s="36">
        <f>'Intermediate calcs'!BA29/1000</f>
        <v>621.58974171283444</v>
      </c>
      <c r="AR12" s="36">
        <f>'Intermediate calcs'!BB29/1000</f>
        <v>630.43205724263089</v>
      </c>
      <c r="AS12" s="36">
        <f>'Intermediate calcs'!BC29/1000</f>
        <v>639.44437160838049</v>
      </c>
      <c r="AT12" s="36">
        <f>'Intermediate calcs'!BD29/1000</f>
        <v>648.61699408413529</v>
      </c>
      <c r="AU12" s="36">
        <f>'Intermediate calcs'!BE29/1000</f>
        <v>657.97384493453296</v>
      </c>
      <c r="AV12" s="36">
        <f>'Intermediate calcs'!BF29/1000</f>
        <v>667.60976202715233</v>
      </c>
      <c r="AW12" s="36">
        <f>'Intermediate calcs'!BG29/1000</f>
        <v>677.31128652552695</v>
      </c>
      <c r="AX12" s="36">
        <f>'Intermediate calcs'!BH29/1000</f>
        <v>687.25342976428192</v>
      </c>
      <c r="AY12" s="36">
        <f>'Intermediate calcs'!BI29/1000</f>
        <v>697.25591186319696</v>
      </c>
      <c r="AZ12" s="36">
        <f>'Intermediate calcs'!BJ29/1000</f>
        <v>707.52082035224294</v>
      </c>
      <c r="BA12" s="36">
        <f>'Intermediate calcs'!BK29/1000</f>
        <v>718.07005442390982</v>
      </c>
    </row>
    <row r="13" spans="1:53" x14ac:dyDescent="0.25">
      <c r="A13" s="33"/>
      <c r="B13" s="33" t="s">
        <v>758</v>
      </c>
      <c r="C13" s="36">
        <f>'Intermediate calcs'!M26/1000</f>
        <v>310</v>
      </c>
      <c r="D13" s="36">
        <f>'Intermediate calcs'!N26/1000</f>
        <v>308</v>
      </c>
      <c r="E13" s="36">
        <f>'Intermediate calcs'!O26/1000</f>
        <v>313</v>
      </c>
      <c r="F13" s="36">
        <f>'Intermediate calcs'!P26/1000</f>
        <v>305</v>
      </c>
      <c r="G13" s="36">
        <f>'Intermediate calcs'!Q26/1000</f>
        <v>329</v>
      </c>
      <c r="H13" s="36">
        <f>'Intermediate calcs'!R26/1000</f>
        <v>357</v>
      </c>
      <c r="I13" s="36">
        <f>'Intermediate calcs'!S26/1000</f>
        <v>392</v>
      </c>
      <c r="J13" s="36">
        <f>'Intermediate calcs'!T26/1000</f>
        <v>416</v>
      </c>
      <c r="K13" s="36">
        <f>'Intermediate calcs'!U26/1000</f>
        <v>404</v>
      </c>
      <c r="L13" s="36">
        <f>'Intermediate calcs'!V26/1000</f>
        <v>379</v>
      </c>
      <c r="M13" s="36">
        <f>'Intermediate calcs'!W26/1000</f>
        <v>386</v>
      </c>
      <c r="N13" s="36">
        <f>'Intermediate calcs'!X26/1000</f>
        <v>426</v>
      </c>
      <c r="O13" s="36">
        <f>'Intermediate calcs'!Y26/1000</f>
        <v>447</v>
      </c>
      <c r="P13" s="36">
        <f>'Intermediate calcs'!Z26/1000</f>
        <v>433</v>
      </c>
      <c r="Q13" s="36">
        <f>'Intermediate calcs'!AA26/1000</f>
        <v>418</v>
      </c>
      <c r="R13" s="36">
        <f>'Intermediate calcs'!AB26/1000</f>
        <v>438</v>
      </c>
      <c r="S13" s="36">
        <f>'Intermediate calcs'!AC26/1000</f>
        <v>441</v>
      </c>
      <c r="T13" s="36">
        <f>'Intermediate calcs'!AD26/1000</f>
        <v>412</v>
      </c>
      <c r="U13" s="36">
        <f>'Intermediate calcs'!AE26/1000</f>
        <v>454.84885734851554</v>
      </c>
      <c r="V13" s="36">
        <f>'Intermediate calcs'!AF26/1000</f>
        <v>459.11028413462356</v>
      </c>
      <c r="W13" s="36">
        <f>'Intermediate calcs'!AG26/1000</f>
        <v>457.08537256366003</v>
      </c>
      <c r="X13" s="36">
        <f>'Intermediate calcs'!AH26/1000</f>
        <v>462.33299913562911</v>
      </c>
      <c r="Y13" s="36">
        <f>'Intermediate calcs'!AI26/1000</f>
        <v>467.51672345544102</v>
      </c>
      <c r="Z13" s="36">
        <f>'Intermediate calcs'!AJ26/1000</f>
        <v>472.71479206726877</v>
      </c>
      <c r="AA13" s="36">
        <f>'Intermediate calcs'!AK26/1000</f>
        <v>477.85784980639579</v>
      </c>
      <c r="AB13" s="36">
        <f>'Intermediate calcs'!AL26/1000</f>
        <v>483.06471455978613</v>
      </c>
      <c r="AC13" s="36">
        <f>'Intermediate calcs'!AM26/1000</f>
        <v>488.86770614224014</v>
      </c>
      <c r="AD13" s="36">
        <f>'Intermediate calcs'!AN26/1000</f>
        <v>494.65377956754605</v>
      </c>
      <c r="AE13" s="36">
        <f>'Intermediate calcs'!AO26/1000</f>
        <v>500.52622155261076</v>
      </c>
      <c r="AF13" s="36">
        <f>'Intermediate calcs'!AP26/1000</f>
        <v>506.46279527021272</v>
      </c>
      <c r="AG13" s="36">
        <f>'Intermediate calcs'!AQ26/1000</f>
        <v>512.46935418782971</v>
      </c>
      <c r="AH13" s="36">
        <f>'Intermediate calcs'!AR26/1000</f>
        <v>518.75266505340244</v>
      </c>
      <c r="AI13" s="36">
        <f>'Intermediate calcs'!AS26/1000</f>
        <v>524.92091870782042</v>
      </c>
      <c r="AJ13" s="36">
        <f>'Intermediate calcs'!AT26/1000</f>
        <v>531.34868348042687</v>
      </c>
      <c r="AK13" s="36">
        <f>'Intermediate calcs'!AU26/1000</f>
        <v>537.95786904751026</v>
      </c>
      <c r="AL13" s="36">
        <f>'Intermediate calcs'!AV26/1000</f>
        <v>544.75829474749264</v>
      </c>
      <c r="AM13" s="36">
        <f>'Intermediate calcs'!AW26/1000</f>
        <v>551.79677254191392</v>
      </c>
      <c r="AN13" s="36">
        <f>'Intermediate calcs'!AX26/1000</f>
        <v>558.96679096175808</v>
      </c>
      <c r="AO13" s="36">
        <f>'Intermediate calcs'!AY26/1000</f>
        <v>566.18567612178538</v>
      </c>
      <c r="AP13" s="36">
        <f>'Intermediate calcs'!AZ26/1000</f>
        <v>573.53734250921741</v>
      </c>
      <c r="AQ13" s="36">
        <f>'Intermediate calcs'!BA26/1000</f>
        <v>581.09609270789394</v>
      </c>
      <c r="AR13" s="36">
        <f>'Intermediate calcs'!BB26/1000</f>
        <v>589.36483334171123</v>
      </c>
      <c r="AS13" s="36">
        <f>'Intermediate calcs'!BC26/1000</f>
        <v>597.79254548902065</v>
      </c>
      <c r="AT13" s="36">
        <f>'Intermediate calcs'!BD26/1000</f>
        <v>606.37016703264885</v>
      </c>
      <c r="AU13" s="36">
        <f>'Intermediate calcs'!BE26/1000</f>
        <v>615.12006660030568</v>
      </c>
      <c r="AV13" s="36">
        <f>'Intermediate calcs'!BF26/1000</f>
        <v>624.13093020716803</v>
      </c>
      <c r="AW13" s="36">
        <f>'Intermediate calcs'!BG26/1000</f>
        <v>633.20314546112093</v>
      </c>
      <c r="AX13" s="36">
        <f>'Intermediate calcs'!BH26/1000</f>
        <v>642.50037122834226</v>
      </c>
      <c r="AY13" s="36">
        <f>'Intermediate calcs'!BI26/1000</f>
        <v>651.85402185205328</v>
      </c>
      <c r="AZ13" s="36">
        <f>'Intermediate calcs'!BJ26/1000</f>
        <v>661.45307604094432</v>
      </c>
      <c r="BA13" s="36">
        <f>'Intermediate calcs'!BK26/1000</f>
        <v>671.31801245156009</v>
      </c>
    </row>
    <row r="14" spans="1:53" x14ac:dyDescent="0.25">
      <c r="A14" s="33"/>
      <c r="B14" s="33"/>
      <c r="C14" s="36"/>
      <c r="D14" s="36"/>
      <c r="E14" s="36"/>
      <c r="F14" s="36"/>
      <c r="G14" s="36"/>
      <c r="H14" s="36"/>
      <c r="I14" s="36"/>
      <c r="J14" s="36"/>
      <c r="K14" s="36"/>
      <c r="L14" s="36"/>
      <c r="M14" s="36"/>
      <c r="N14" s="36"/>
      <c r="O14" s="36"/>
      <c r="P14" s="36"/>
      <c r="Q14" s="36"/>
      <c r="R14" s="37"/>
      <c r="S14" s="37"/>
      <c r="T14" s="37"/>
      <c r="U14" s="37"/>
      <c r="V14" s="37"/>
      <c r="W14" s="37"/>
      <c r="X14" s="37"/>
      <c r="Y14" s="37"/>
      <c r="Z14" s="37"/>
      <c r="AA14" s="37"/>
    </row>
    <row r="15" spans="1:53" x14ac:dyDescent="0.25">
      <c r="A15" s="32"/>
      <c r="B15" s="33"/>
      <c r="C15" s="34">
        <v>2000</v>
      </c>
      <c r="D15" s="34">
        <v>2001</v>
      </c>
      <c r="E15" s="34">
        <v>2002</v>
      </c>
      <c r="F15" s="34">
        <v>2003</v>
      </c>
      <c r="G15" s="34">
        <v>2004</v>
      </c>
      <c r="H15" s="34">
        <v>2005</v>
      </c>
      <c r="I15" s="34">
        <v>2006</v>
      </c>
      <c r="J15" s="34">
        <v>2007</v>
      </c>
      <c r="K15" s="34">
        <v>2008</v>
      </c>
      <c r="L15" s="34">
        <v>2009</v>
      </c>
      <c r="M15" s="34">
        <v>2010</v>
      </c>
      <c r="N15" s="34">
        <v>2011</v>
      </c>
      <c r="O15" s="34">
        <v>2012</v>
      </c>
      <c r="P15" s="34">
        <v>2013</v>
      </c>
      <c r="Q15" s="34">
        <v>2014</v>
      </c>
      <c r="R15" s="35">
        <v>2015</v>
      </c>
      <c r="S15" s="35">
        <v>2016</v>
      </c>
      <c r="T15" s="35">
        <v>2017</v>
      </c>
      <c r="U15" s="35">
        <v>2018</v>
      </c>
      <c r="V15" s="35">
        <v>2019</v>
      </c>
      <c r="W15" s="35">
        <v>2020</v>
      </c>
      <c r="X15" s="35">
        <v>2021</v>
      </c>
      <c r="Y15" s="35">
        <v>2022</v>
      </c>
      <c r="Z15" s="35">
        <v>2023</v>
      </c>
      <c r="AA15" s="35">
        <v>2024</v>
      </c>
      <c r="AB15" s="35">
        <v>2025</v>
      </c>
      <c r="AC15" s="35">
        <v>2026</v>
      </c>
      <c r="AD15" s="35">
        <v>2027</v>
      </c>
      <c r="AE15" s="35">
        <v>2028</v>
      </c>
      <c r="AF15" s="35">
        <v>2029</v>
      </c>
      <c r="AG15" s="35">
        <v>2030</v>
      </c>
      <c r="AH15" s="35">
        <v>2031</v>
      </c>
      <c r="AI15" s="35">
        <v>2032</v>
      </c>
      <c r="AJ15" s="35">
        <v>2033</v>
      </c>
      <c r="AK15" s="35">
        <v>2034</v>
      </c>
      <c r="AL15" s="35">
        <v>2035</v>
      </c>
      <c r="AM15" s="35">
        <v>2036</v>
      </c>
      <c r="AN15" s="35">
        <v>2037</v>
      </c>
      <c r="AO15" s="35">
        <v>2038</v>
      </c>
      <c r="AP15" s="35">
        <v>2039</v>
      </c>
      <c r="AQ15" s="35">
        <v>2040</v>
      </c>
      <c r="AR15" s="35">
        <v>2041</v>
      </c>
      <c r="AS15" s="35">
        <v>2042</v>
      </c>
      <c r="AT15" s="35">
        <v>2043</v>
      </c>
      <c r="AU15" s="35">
        <v>2044</v>
      </c>
      <c r="AV15" s="35">
        <v>2045</v>
      </c>
      <c r="AW15" s="35">
        <v>2046</v>
      </c>
      <c r="AX15" s="35">
        <v>2047</v>
      </c>
      <c r="AY15" s="35">
        <v>2048</v>
      </c>
      <c r="AZ15" s="35">
        <v>2049</v>
      </c>
      <c r="BA15" s="35">
        <v>2050</v>
      </c>
    </row>
    <row r="16" spans="1:53" x14ac:dyDescent="0.25">
      <c r="A16" s="38"/>
      <c r="B16" s="38" t="s">
        <v>759</v>
      </c>
      <c r="C16" s="39">
        <v>610.16713705625</v>
      </c>
      <c r="D16" s="39">
        <v>610.16713705625</v>
      </c>
      <c r="E16" s="39">
        <v>610.16713705625</v>
      </c>
      <c r="F16" s="39">
        <v>536</v>
      </c>
      <c r="G16" s="39">
        <v>559.68422552599998</v>
      </c>
      <c r="H16" s="39">
        <v>575.65290859000004</v>
      </c>
      <c r="I16" s="39">
        <v>579.69497297999999</v>
      </c>
      <c r="J16" s="39">
        <v>601.65087453649994</v>
      </c>
      <c r="K16" s="39">
        <v>631</v>
      </c>
      <c r="L16" s="39">
        <v>612.06999999999994</v>
      </c>
      <c r="M16" s="39">
        <v>654.91489999999999</v>
      </c>
      <c r="N16" s="39">
        <v>622.16915499999993</v>
      </c>
      <c r="O16" s="39">
        <v>613.14770225249993</v>
      </c>
      <c r="P16" s="39">
        <v>665.92799245872072</v>
      </c>
      <c r="Q16" s="39">
        <v>698.08925804689954</v>
      </c>
      <c r="R16" s="40">
        <v>699.22078053934399</v>
      </c>
      <c r="S16" s="40">
        <v>710.39885911430974</v>
      </c>
      <c r="T16" s="40">
        <v>739.18964380980105</v>
      </c>
      <c r="U16" s="40">
        <v>753.56215690376871</v>
      </c>
      <c r="V16" s="40">
        <v>770.46731576083528</v>
      </c>
      <c r="W16" s="40">
        <v>785.71589617587529</v>
      </c>
      <c r="X16" s="40">
        <v>803.32741953910943</v>
      </c>
      <c r="Y16" s="40">
        <v>821.94908336777723</v>
      </c>
      <c r="Z16" s="40">
        <v>844.55586695223269</v>
      </c>
      <c r="AA16" s="40">
        <v>859.84984588505426</v>
      </c>
      <c r="AB16" s="40">
        <v>875</v>
      </c>
      <c r="AC16" s="40">
        <v>890</v>
      </c>
      <c r="AD16" s="40">
        <v>910</v>
      </c>
      <c r="AE16" s="40">
        <v>925</v>
      </c>
    </row>
    <row r="17" spans="1:53" x14ac:dyDescent="0.25">
      <c r="A17" s="38"/>
      <c r="B17" s="38" t="s">
        <v>760</v>
      </c>
      <c r="C17" s="39">
        <v>649.892624710375</v>
      </c>
      <c r="D17" s="39">
        <v>649.892624710375</v>
      </c>
      <c r="E17" s="39">
        <v>649.892624710375</v>
      </c>
      <c r="F17" s="39">
        <v>574.19949799999995</v>
      </c>
      <c r="G17" s="39">
        <v>612.06163379999998</v>
      </c>
      <c r="H17" s="39">
        <v>642.21783919999996</v>
      </c>
      <c r="I17" s="39">
        <v>636.26177159999997</v>
      </c>
      <c r="J17" s="39">
        <v>658.9</v>
      </c>
      <c r="K17" s="39">
        <v>671.91341149238087</v>
      </c>
      <c r="L17" s="39">
        <v>649.94999999999993</v>
      </c>
      <c r="M17" s="39">
        <v>695.36469999999997</v>
      </c>
      <c r="N17" s="39">
        <v>663.10915499999999</v>
      </c>
      <c r="O17" s="39">
        <v>670.91943283249987</v>
      </c>
      <c r="P17" s="39">
        <v>716.42099245872066</v>
      </c>
      <c r="Q17" s="39">
        <v>729.84874533689958</v>
      </c>
      <c r="R17" s="40">
        <v>740.51634422626432</v>
      </c>
      <c r="S17" s="40">
        <v>752.08174895984371</v>
      </c>
      <c r="T17" s="40">
        <v>781.10112686931438</v>
      </c>
      <c r="U17" s="40">
        <v>797.63162045872559</v>
      </c>
      <c r="V17" s="40">
        <v>815.73258961364343</v>
      </c>
      <c r="W17" s="40">
        <v>831.42566617367947</v>
      </c>
      <c r="X17" s="40">
        <v>848.73455405867912</v>
      </c>
      <c r="Y17" s="40">
        <v>866.8135090431233</v>
      </c>
      <c r="Z17" s="40">
        <v>888.81185294880709</v>
      </c>
      <c r="AA17" s="40">
        <v>904.54032017152463</v>
      </c>
    </row>
    <row r="18" spans="1:53" x14ac:dyDescent="0.25">
      <c r="A18" s="38"/>
      <c r="B18" s="38" t="s">
        <v>761</v>
      </c>
      <c r="C18" s="39">
        <f>'Intermediate calcs'!M8/1000</f>
        <v>624.6</v>
      </c>
      <c r="D18" s="39">
        <f>'Intermediate calcs'!N8/1000</f>
        <v>524.29999999999995</v>
      </c>
      <c r="E18" s="39">
        <f>'Intermediate calcs'!O8/1000</f>
        <v>573.4</v>
      </c>
      <c r="F18" s="39">
        <f>'Intermediate calcs'!P8/1000</f>
        <v>609.70000000000005</v>
      </c>
      <c r="G18" s="39">
        <f>'Intermediate calcs'!Q8/1000</f>
        <v>631.70000000000005</v>
      </c>
      <c r="H18" s="39">
        <f>'Intermediate calcs'!R8/1000</f>
        <v>672.3</v>
      </c>
      <c r="I18" s="39">
        <f>'Intermediate calcs'!S8/1000</f>
        <v>808.1</v>
      </c>
      <c r="J18" s="39">
        <f>'Intermediate calcs'!T8/1000</f>
        <v>861.4</v>
      </c>
      <c r="K18" s="39">
        <f>'Intermediate calcs'!U8/1000</f>
        <v>770.2</v>
      </c>
      <c r="L18" s="39">
        <f>'Intermediate calcs'!V8/1000</f>
        <v>796.7</v>
      </c>
      <c r="M18" s="39">
        <f>'Intermediate calcs'!W8/1000</f>
        <v>885.8</v>
      </c>
      <c r="N18" s="39">
        <f>'Intermediate calcs'!X8/1000</f>
        <v>869.5</v>
      </c>
      <c r="O18" s="39">
        <f>'Intermediate calcs'!Y8/1000</f>
        <v>852.1</v>
      </c>
      <c r="P18" s="39">
        <f>'Intermediate calcs'!Z8/1000</f>
        <v>904.5</v>
      </c>
      <c r="Q18" s="39">
        <f>'Intermediate calcs'!AA8/1000</f>
        <v>982.6</v>
      </c>
      <c r="R18" s="39">
        <f>'Intermediate calcs'!AB8/1000</f>
        <v>1037.9000000000001</v>
      </c>
      <c r="S18" s="39">
        <f>'Intermediate calcs'!AC8/1000</f>
        <v>1090.9000000000001</v>
      </c>
      <c r="T18" s="39">
        <f>'Intermediate calcs'!AD8/1000</f>
        <v>1046.3</v>
      </c>
      <c r="U18" s="39">
        <f>'Intermediate calcs'!AE8/1000</f>
        <v>997.60411615216424</v>
      </c>
      <c r="V18" s="39">
        <f>'Intermediate calcs'!AF8/1000</f>
        <v>1008.3896597914148</v>
      </c>
      <c r="W18" s="39">
        <f>'Intermediate calcs'!AG8/1000</f>
        <v>1003.5102392846655</v>
      </c>
      <c r="X18" s="39">
        <f>'Intermediate calcs'!AH8/1000</f>
        <v>1016.7555653583352</v>
      </c>
      <c r="Y18" s="39">
        <f>'Intermediate calcs'!AI8/1000</f>
        <v>1029.8416530245868</v>
      </c>
      <c r="Z18" s="39">
        <f>'Intermediate calcs'!AJ8/1000</f>
        <v>1042.9634853178954</v>
      </c>
      <c r="AA18" s="39">
        <f>'Intermediate calcs'!AK8/1000</f>
        <v>1055.948235688541</v>
      </c>
      <c r="AB18" s="39">
        <f>'Intermediate calcs'!AL8/1000</f>
        <v>1069.0919871427277</v>
      </c>
      <c r="AC18" s="39">
        <f>'Intermediate calcs'!AM8/1000</f>
        <v>1083.7353017954988</v>
      </c>
      <c r="AD18" s="39">
        <f>'Intermediate calcs'!AN8/1000</f>
        <v>1098.336457991297</v>
      </c>
      <c r="AE18" s="39">
        <f>'Intermediate calcs'!AO8/1000</f>
        <v>1113.1528365176657</v>
      </c>
      <c r="AF18" s="39">
        <f>'Intermediate calcs'!AP8/1000</f>
        <v>1128.1290252918695</v>
      </c>
      <c r="AG18" s="39">
        <f>'Intermediate calcs'!AQ8/1000</f>
        <v>1143.2796106045209</v>
      </c>
      <c r="AH18" s="39">
        <f>'Intermediate calcs'!AR8/1000</f>
        <v>1159.1136294890719</v>
      </c>
      <c r="AI18" s="39">
        <f>'Intermediate calcs'!AS8/1000</f>
        <v>1174.6609366179582</v>
      </c>
      <c r="AJ18" s="39">
        <f>'Intermediate calcs'!AT8/1000</f>
        <v>1190.8549210573194</v>
      </c>
      <c r="AK18" s="39">
        <f>'Intermediate calcs'!AU8/1000</f>
        <v>1207.5009890562692</v>
      </c>
      <c r="AL18" s="39">
        <f>'Intermediate calcs'!AV8/1000</f>
        <v>1224.6236094860583</v>
      </c>
      <c r="AM18" s="39">
        <f>'Intermediate calcs'!AW8/1000</f>
        <v>1242.3463762879051</v>
      </c>
      <c r="AN18" s="39">
        <f>'Intermediate calcs'!AX8/1000</f>
        <v>1260.3969299608921</v>
      </c>
      <c r="AO18" s="39">
        <f>'Intermediate calcs'!AY8/1000</f>
        <v>1278.5692549528628</v>
      </c>
      <c r="AP18" s="39">
        <f>'Intermediate calcs'!AZ8/1000</f>
        <v>1297.0724582825865</v>
      </c>
      <c r="AQ18" s="39">
        <f>'Intermediate calcs'!BA8/1000</f>
        <v>1316.0916949999671</v>
      </c>
      <c r="AR18" s="39">
        <f>'Intermediate calcs'!BB8/1000</f>
        <v>1336.9061375101901</v>
      </c>
      <c r="AS18" s="39">
        <f>'Intermediate calcs'!BC8/1000</f>
        <v>1358.1167220824623</v>
      </c>
      <c r="AT18" s="39">
        <f>'Intermediate calcs'!BD8/1000</f>
        <v>1379.7008667790344</v>
      </c>
      <c r="AU18" s="39">
        <f>'Intermediate calcs'!BE8/1000</f>
        <v>1401.7143121139541</v>
      </c>
      <c r="AV18" s="39">
        <f>'Intermediate calcs'!BF8/1000</f>
        <v>1424.3780552988044</v>
      </c>
      <c r="AW18" s="39">
        <f>'Intermediate calcs'!BG8/1000</f>
        <v>1447.1872862497273</v>
      </c>
      <c r="AX18" s="39">
        <f>'Intermediate calcs'!BH8/1000</f>
        <v>1470.5572222442877</v>
      </c>
      <c r="AY18" s="39">
        <f>'Intermediate calcs'!BI8/1000</f>
        <v>1494.067763679285</v>
      </c>
      <c r="AZ18" s="39">
        <f>'Intermediate calcs'!BJ8/1000</f>
        <v>1518.1898277228199</v>
      </c>
      <c r="BA18" s="39">
        <f>'Intermediate calcs'!BK8/1000</f>
        <v>1542.9744452647194</v>
      </c>
    </row>
    <row r="19" spans="1:53" x14ac:dyDescent="0.25">
      <c r="A19" s="38"/>
      <c r="B19" s="38" t="s">
        <v>762</v>
      </c>
      <c r="C19" s="39">
        <f>'Intermediate calcs'!M5/1000</f>
        <v>671</v>
      </c>
      <c r="D19" s="39">
        <f>'Intermediate calcs'!N5/1000</f>
        <v>554</v>
      </c>
      <c r="E19" s="39">
        <f>'Intermediate calcs'!O5/1000</f>
        <v>602</v>
      </c>
      <c r="F19" s="39">
        <f>'Intermediate calcs'!P5/1000</f>
        <v>643</v>
      </c>
      <c r="G19" s="39">
        <f>'Intermediate calcs'!Q5/1000</f>
        <v>675</v>
      </c>
      <c r="H19" s="39">
        <f>'Intermediate calcs'!R5/1000</f>
        <v>723</v>
      </c>
      <c r="I19" s="39">
        <f>'Intermediate calcs'!S5/1000</f>
        <v>825</v>
      </c>
      <c r="J19" s="39">
        <f>'Intermediate calcs'!T5/1000</f>
        <v>865</v>
      </c>
      <c r="K19" s="39">
        <f>'Intermediate calcs'!U5/1000</f>
        <v>767</v>
      </c>
      <c r="L19" s="39">
        <f>'Intermediate calcs'!V5/1000</f>
        <v>784</v>
      </c>
      <c r="M19" s="39">
        <f>'Intermediate calcs'!W5/1000</f>
        <v>880</v>
      </c>
      <c r="N19" s="39">
        <f>'Intermediate calcs'!X5/1000</f>
        <v>879</v>
      </c>
      <c r="O19" s="39">
        <f>'Intermediate calcs'!Y5/1000</f>
        <v>865</v>
      </c>
      <c r="P19" s="39">
        <f>'Intermediate calcs'!Z5/1000</f>
        <v>910</v>
      </c>
      <c r="Q19" s="39">
        <f>'Intermediate calcs'!AA5/1000</f>
        <v>981</v>
      </c>
      <c r="R19" s="39">
        <f>'Intermediate calcs'!AB5/1000</f>
        <v>1023</v>
      </c>
      <c r="S19" s="39">
        <f>'Intermediate calcs'!AC5/1000</f>
        <v>1072</v>
      </c>
      <c r="T19" s="39">
        <f>'Intermediate calcs'!AD5/1000</f>
        <v>1025</v>
      </c>
      <c r="U19" s="39">
        <f>'Intermediate calcs'!AE5/1000</f>
        <v>986.26582429146799</v>
      </c>
      <c r="V19" s="39">
        <f>'Intermediate calcs'!AF5/1000</f>
        <v>995.50842395568839</v>
      </c>
      <c r="W19" s="39">
        <f>'Intermediate calcs'!AG5/1000</f>
        <v>991.32703710624401</v>
      </c>
      <c r="X19" s="39">
        <f>'Intermediate calcs'!AH5/1000</f>
        <v>1002.677530916818</v>
      </c>
      <c r="Y19" s="39">
        <f>'Intermediate calcs'!AI5/1000</f>
        <v>1013.8915664365389</v>
      </c>
      <c r="Z19" s="39">
        <f>'Intermediate calcs'!AJ5/1000</f>
        <v>1025.1362330759405</v>
      </c>
      <c r="AA19" s="39">
        <f>'Intermediate calcs'!AK5/1000</f>
        <v>1036.2634282762795</v>
      </c>
      <c r="AB19" s="39">
        <f>'Intermediate calcs'!AL5/1000</f>
        <v>1047.5268783943582</v>
      </c>
      <c r="AC19" s="39">
        <f>'Intermediate calcs'!AM5/1000</f>
        <v>1060.0753691908944</v>
      </c>
      <c r="AD19" s="39">
        <f>'Intermediate calcs'!AN5/1000</f>
        <v>1072.5877325789947</v>
      </c>
      <c r="AE19" s="39">
        <f>'Intermediate calcs'!AO5/1000</f>
        <v>1085.2845293073879</v>
      </c>
      <c r="AF19" s="39">
        <f>'Intermediate calcs'!AP5/1000</f>
        <v>1098.1182743614643</v>
      </c>
      <c r="AG19" s="39">
        <f>'Intermediate calcs'!AQ5/1000</f>
        <v>1111.1014673656496</v>
      </c>
      <c r="AH19" s="39">
        <f>'Intermediate calcs'!AR5/1000</f>
        <v>1124.6703242096407</v>
      </c>
      <c r="AI19" s="39">
        <f>'Intermediate calcs'!AS5/1000</f>
        <v>1137.9934853274572</v>
      </c>
      <c r="AJ19" s="39">
        <f>'Intermediate calcs'!AT5/1000</f>
        <v>1151.8708122520768</v>
      </c>
      <c r="AK19" s="39">
        <f>'Intermediate calcs'!AU5/1000</f>
        <v>1166.1355491669397</v>
      </c>
      <c r="AL19" s="39">
        <f>'Intermediate calcs'!AV5/1000</f>
        <v>1180.8086645080166</v>
      </c>
      <c r="AM19" s="39">
        <f>'Intermediate calcs'!AW5/1000</f>
        <v>1195.9960712786583</v>
      </c>
      <c r="AN19" s="39">
        <f>'Intermediate calcs'!AX5/1000</f>
        <v>1211.4643728216424</v>
      </c>
      <c r="AO19" s="39">
        <f>'Intermediate calcs'!AY5/1000</f>
        <v>1227.0370254840134</v>
      </c>
      <c r="AP19" s="39">
        <f>'Intermediate calcs'!AZ5/1000</f>
        <v>1242.8932221304151</v>
      </c>
      <c r="AQ19" s="39">
        <f>'Intermediate calcs'!BA5/1000</f>
        <v>1259.1916301455724</v>
      </c>
      <c r="AR19" s="39">
        <f>'Intermediate calcs'!BB5/1000</f>
        <v>1277.0284277879107</v>
      </c>
      <c r="AS19" s="39">
        <f>'Intermediate calcs'!BC5/1000</f>
        <v>1295.2046967273986</v>
      </c>
      <c r="AT19" s="39">
        <f>'Intermediate calcs'!BD5/1000</f>
        <v>1313.7010855231408</v>
      </c>
      <c r="AU19" s="39">
        <f>'Intermediate calcs'!BE5/1000</f>
        <v>1332.5653606367687</v>
      </c>
      <c r="AV19" s="39">
        <f>'Intermediate calcs'!BF5/1000</f>
        <v>1351.9869041543311</v>
      </c>
      <c r="AW19" s="39">
        <f>'Intermediate calcs'!BG5/1000</f>
        <v>1371.5331224423853</v>
      </c>
      <c r="AX19" s="39">
        <f>'Intermediate calcs'!BH5/1000</f>
        <v>1391.5598331767537</v>
      </c>
      <c r="AY19" s="39">
        <f>'Intermediate calcs'!BI5/1000</f>
        <v>1411.7070348052334</v>
      </c>
      <c r="AZ19" s="39">
        <f>'Intermediate calcs'!BJ5/1000</f>
        <v>1432.3782766532306</v>
      </c>
      <c r="BA19" s="39">
        <f>'Intermediate calcs'!BK5/1000</f>
        <v>1453.6172893013227</v>
      </c>
    </row>
    <row r="20" spans="1:53" x14ac:dyDescent="0.25">
      <c r="A20" s="38"/>
      <c r="B20" s="38"/>
      <c r="C20" s="39"/>
      <c r="D20" s="39"/>
      <c r="E20" s="39"/>
      <c r="F20" s="39"/>
      <c r="G20" s="39"/>
      <c r="H20" s="39"/>
      <c r="I20" s="39"/>
      <c r="J20" s="39"/>
      <c r="K20" s="39"/>
      <c r="L20" s="39"/>
      <c r="M20" s="39"/>
      <c r="N20" s="39"/>
      <c r="O20" s="39"/>
      <c r="P20" s="39"/>
      <c r="Q20" s="39"/>
      <c r="R20" s="40"/>
      <c r="S20" s="40"/>
      <c r="T20" s="40"/>
      <c r="U20" s="40"/>
      <c r="V20" s="40"/>
      <c r="W20" s="40"/>
      <c r="X20" s="40"/>
      <c r="Y20" s="40"/>
      <c r="Z20" s="40"/>
      <c r="AA20" s="40"/>
    </row>
    <row r="21" spans="1:53" x14ac:dyDescent="0.25">
      <c r="A21" s="32"/>
      <c r="B21" s="33"/>
      <c r="C21" s="34">
        <v>2000</v>
      </c>
      <c r="D21" s="34">
        <v>2001</v>
      </c>
      <c r="E21" s="34">
        <v>2002</v>
      </c>
      <c r="F21" s="34">
        <v>2003</v>
      </c>
      <c r="G21" s="34">
        <v>2004</v>
      </c>
      <c r="H21" s="34">
        <v>2005</v>
      </c>
      <c r="I21" s="34">
        <v>2006</v>
      </c>
      <c r="J21" s="34">
        <v>2007</v>
      </c>
      <c r="K21" s="34">
        <v>2008</v>
      </c>
      <c r="L21" s="34">
        <v>2009</v>
      </c>
      <c r="M21" s="34">
        <v>2010</v>
      </c>
      <c r="N21" s="34">
        <v>2011</v>
      </c>
      <c r="O21" s="34">
        <v>2012</v>
      </c>
      <c r="P21" s="34">
        <v>2013</v>
      </c>
      <c r="Q21" s="34">
        <v>2014</v>
      </c>
      <c r="R21" s="35">
        <v>2015</v>
      </c>
      <c r="S21" s="35">
        <v>2016</v>
      </c>
      <c r="T21" s="35">
        <v>2017</v>
      </c>
      <c r="U21" s="35">
        <v>2018</v>
      </c>
      <c r="V21" s="35">
        <v>2019</v>
      </c>
      <c r="W21" s="35">
        <v>2020</v>
      </c>
      <c r="X21" s="35">
        <v>2021</v>
      </c>
      <c r="Y21" s="35">
        <v>2022</v>
      </c>
      <c r="Z21" s="35">
        <v>2023</v>
      </c>
      <c r="AA21" s="35">
        <v>2024</v>
      </c>
      <c r="AB21" s="35">
        <v>2025</v>
      </c>
      <c r="AC21" s="35">
        <v>2026</v>
      </c>
      <c r="AD21" s="35">
        <v>2027</v>
      </c>
      <c r="AE21" s="35">
        <v>2028</v>
      </c>
      <c r="AF21" s="35">
        <v>2029</v>
      </c>
      <c r="AG21" s="35">
        <v>2030</v>
      </c>
      <c r="AH21" s="35">
        <v>2031</v>
      </c>
      <c r="AI21" s="35">
        <v>2032</v>
      </c>
      <c r="AJ21" s="35">
        <v>2033</v>
      </c>
      <c r="AK21" s="35">
        <v>2034</v>
      </c>
      <c r="AL21" s="35">
        <v>2035</v>
      </c>
      <c r="AM21" s="35">
        <v>2036</v>
      </c>
      <c r="AN21" s="35">
        <v>2037</v>
      </c>
      <c r="AO21" s="35">
        <v>2038</v>
      </c>
      <c r="AP21" s="35">
        <v>2039</v>
      </c>
      <c r="AQ21" s="35">
        <v>2040</v>
      </c>
      <c r="AR21" s="35">
        <v>2041</v>
      </c>
      <c r="AS21" s="35">
        <v>2042</v>
      </c>
      <c r="AT21" s="35">
        <v>2043</v>
      </c>
      <c r="AU21" s="35">
        <v>2044</v>
      </c>
      <c r="AV21" s="35">
        <v>2045</v>
      </c>
      <c r="AW21" s="35">
        <v>2046</v>
      </c>
      <c r="AX21" s="35">
        <v>2047</v>
      </c>
      <c r="AY21" s="35">
        <v>2048</v>
      </c>
      <c r="AZ21" s="35">
        <v>2049</v>
      </c>
      <c r="BA21" s="35">
        <v>2050</v>
      </c>
    </row>
    <row r="22" spans="1:53" x14ac:dyDescent="0.25">
      <c r="A22" s="33"/>
      <c r="B22" s="33" t="s">
        <v>763</v>
      </c>
      <c r="C22" s="36">
        <v>129.63</v>
      </c>
      <c r="D22" s="36">
        <v>129.63</v>
      </c>
      <c r="E22" s="36">
        <v>129.63</v>
      </c>
      <c r="F22" s="36">
        <v>143.13999999999999</v>
      </c>
      <c r="G22" s="36">
        <v>146.053</v>
      </c>
      <c r="H22" s="36">
        <v>149.999</v>
      </c>
      <c r="I22" s="36">
        <v>157.24799999999999</v>
      </c>
      <c r="J22" s="36">
        <v>152.83564942134379</v>
      </c>
      <c r="K22" s="36">
        <v>162.80000000000001</v>
      </c>
      <c r="L22" s="36">
        <v>165.18375564550669</v>
      </c>
      <c r="M22" s="36">
        <v>169.66697423006443</v>
      </c>
      <c r="N22" s="36">
        <v>186.75616508255388</v>
      </c>
      <c r="O22" s="36">
        <v>191.25698866104344</v>
      </c>
      <c r="P22" s="36">
        <v>197.47194670605705</v>
      </c>
      <c r="Q22" s="36">
        <v>204.80493212570124</v>
      </c>
      <c r="R22" s="37">
        <v>208.64102609863633</v>
      </c>
      <c r="S22" s="37">
        <v>213.80677245749976</v>
      </c>
      <c r="T22" s="37">
        <v>217.57407311191287</v>
      </c>
      <c r="U22" s="37">
        <v>225.22145508819884</v>
      </c>
      <c r="V22" s="37">
        <v>232.86299528535966</v>
      </c>
      <c r="W22" s="37">
        <v>241.53716288131423</v>
      </c>
      <c r="X22" s="37">
        <v>245</v>
      </c>
      <c r="Y22" s="37">
        <v>250</v>
      </c>
      <c r="Z22" s="37">
        <v>255</v>
      </c>
      <c r="AA22" s="37">
        <v>260</v>
      </c>
      <c r="AB22" s="37">
        <v>265</v>
      </c>
      <c r="AC22" s="37">
        <v>270</v>
      </c>
      <c r="AD22" s="37">
        <v>275</v>
      </c>
      <c r="AE22" s="37">
        <v>280</v>
      </c>
    </row>
    <row r="23" spans="1:53" x14ac:dyDescent="0.25">
      <c r="A23" s="33"/>
      <c r="B23" s="33" t="s">
        <v>764</v>
      </c>
      <c r="C23" s="36">
        <v>137.82499999999999</v>
      </c>
      <c r="D23" s="36">
        <v>137.82499999999999</v>
      </c>
      <c r="E23" s="36">
        <v>137.82499999999999</v>
      </c>
      <c r="F23" s="36">
        <v>156.29499999999999</v>
      </c>
      <c r="G23" s="36">
        <v>167.84399999999999</v>
      </c>
      <c r="H23" s="36">
        <v>176.53800000000001</v>
      </c>
      <c r="I23" s="36">
        <v>177.79399999999998</v>
      </c>
      <c r="J23" s="36">
        <v>173.29521483689047</v>
      </c>
      <c r="K23" s="36">
        <v>179.18</v>
      </c>
      <c r="L23" s="36">
        <v>188.69627164870266</v>
      </c>
      <c r="M23" s="36">
        <v>192.2214902332604</v>
      </c>
      <c r="N23" s="36">
        <v>215.34616508255388</v>
      </c>
      <c r="O23" s="36">
        <v>223.20098866104343</v>
      </c>
      <c r="P23" s="36">
        <v>219.00718870605706</v>
      </c>
      <c r="Q23" s="36">
        <v>215.58134712570126</v>
      </c>
      <c r="R23" s="37">
        <v>221.42544983376598</v>
      </c>
      <c r="S23" s="37">
        <v>226.46723800236197</v>
      </c>
      <c r="T23" s="37">
        <v>230.37779215363364</v>
      </c>
      <c r="U23" s="37">
        <v>237.99020308913876</v>
      </c>
      <c r="V23" s="37">
        <v>245.3694152709713</v>
      </c>
      <c r="W23" s="37">
        <v>253.78761345428606</v>
      </c>
      <c r="X23" s="37">
        <v>263.23358248496942</v>
      </c>
      <c r="Y23" s="37">
        <v>274.0317887557747</v>
      </c>
      <c r="Z23" s="37">
        <v>283.56552384740866</v>
      </c>
      <c r="AA23" s="37">
        <v>293.35792027883537</v>
      </c>
    </row>
    <row r="24" spans="1:53" x14ac:dyDescent="0.25">
      <c r="A24" s="33"/>
      <c r="B24" s="33" t="s">
        <v>765</v>
      </c>
      <c r="C24" s="36">
        <f>'Intermediate calcs'!M25/1000</f>
        <v>123</v>
      </c>
      <c r="D24" s="36">
        <f>'Intermediate calcs'!N25/1000</f>
        <v>106.9</v>
      </c>
      <c r="E24" s="36">
        <f>'Intermediate calcs'!O25/1000</f>
        <v>116.6</v>
      </c>
      <c r="F24" s="36">
        <f>'Intermediate calcs'!P25/1000</f>
        <v>135</v>
      </c>
      <c r="G24" s="36">
        <f>'Intermediate calcs'!Q25/1000</f>
        <v>156.80000000000001</v>
      </c>
      <c r="H24" s="36">
        <f>'Intermediate calcs'!R25/1000</f>
        <v>159.69999999999999</v>
      </c>
      <c r="I24" s="36">
        <f>'Intermediate calcs'!S25/1000</f>
        <v>171.4</v>
      </c>
      <c r="J24" s="36">
        <f>'Intermediate calcs'!T25/1000</f>
        <v>187.1</v>
      </c>
      <c r="K24" s="36">
        <f>'Intermediate calcs'!U25/1000</f>
        <v>181.7</v>
      </c>
      <c r="L24" s="36">
        <f>'Intermediate calcs'!V25/1000</f>
        <v>180.7</v>
      </c>
      <c r="M24" s="36">
        <f>'Intermediate calcs'!W25/1000</f>
        <v>191.9</v>
      </c>
      <c r="N24" s="36">
        <f>'Intermediate calcs'!X25/1000</f>
        <v>205.1</v>
      </c>
      <c r="O24" s="36">
        <f>'Intermediate calcs'!Y25/1000</f>
        <v>206</v>
      </c>
      <c r="P24" s="36">
        <f>'Intermediate calcs'!Z25/1000</f>
        <v>213.5</v>
      </c>
      <c r="Q24" s="36">
        <f>'Intermediate calcs'!AA25/1000</f>
        <v>224.2</v>
      </c>
      <c r="R24" s="36">
        <f>'Intermediate calcs'!AB25/1000</f>
        <v>233</v>
      </c>
      <c r="S24" s="36">
        <f>'Intermediate calcs'!AC25/1000</f>
        <v>243.1</v>
      </c>
      <c r="T24" s="36">
        <f>'Intermediate calcs'!AD25/1000</f>
        <v>231.8</v>
      </c>
      <c r="U24" s="36">
        <f>'Intermediate calcs'!AE25/1000</f>
        <v>234.0568642519697</v>
      </c>
      <c r="V24" s="36">
        <f>'Intermediate calcs'!AF25/1000</f>
        <v>236.05047349575435</v>
      </c>
      <c r="W24" s="36">
        <f>'Intermediate calcs'!AG25/1000</f>
        <v>230.68975956111498</v>
      </c>
      <c r="X24" s="36">
        <f>'Intermediate calcs'!AH25/1000</f>
        <v>233.7964018933082</v>
      </c>
      <c r="Y24" s="36">
        <f>'Intermediate calcs'!AI25/1000</f>
        <v>236.82828568792027</v>
      </c>
      <c r="Z24" s="36">
        <f>'Intermediate calcs'!AJ25/1000</f>
        <v>239.87695072357593</v>
      </c>
      <c r="AA24" s="36">
        <f>'Intermediate calcs'!AK25/1000</f>
        <v>242.86125909988726</v>
      </c>
      <c r="AB24" s="36">
        <f>'Intermediate calcs'!AL25/1000</f>
        <v>245.92021459593832</v>
      </c>
      <c r="AC24" s="36">
        <f>'Intermediate calcs'!AM25/1000</f>
        <v>249.42368419762073</v>
      </c>
      <c r="AD24" s="36">
        <f>'Intermediate calcs'!AN25/1000</f>
        <v>252.90736141967258</v>
      </c>
      <c r="AE24" s="36">
        <f>'Intermediate calcs'!AO25/1000</f>
        <v>256.49208033958422</v>
      </c>
      <c r="AF24" s="36">
        <f>'Intermediate calcs'!AP25/1000</f>
        <v>260.15182631981025</v>
      </c>
      <c r="AG24" s="36">
        <f>'Intermediate calcs'!AQ25/1000</f>
        <v>263.89344727229837</v>
      </c>
      <c r="AH24" s="36">
        <f>'Intermediate calcs'!AR25/1000</f>
        <v>268.07037698354225</v>
      </c>
      <c r="AI24" s="36">
        <f>'Intermediate calcs'!AS25/1000</f>
        <v>272.11270249200561</v>
      </c>
      <c r="AJ24" s="36">
        <f>'Intermediate calcs'!AT25/1000</f>
        <v>276.45862735692504</v>
      </c>
      <c r="AK24" s="36">
        <f>'Intermediate calcs'!AU25/1000</f>
        <v>281.01679461637747</v>
      </c>
      <c r="AL24" s="36">
        <f>'Intermediate calcs'!AV25/1000</f>
        <v>285.79869175833659</v>
      </c>
      <c r="AM24" s="36">
        <f>'Intermediate calcs'!AW25/1000</f>
        <v>290.73430461135041</v>
      </c>
      <c r="AN24" s="36">
        <f>'Intermediate calcs'!AX25/1000</f>
        <v>295.82380550148594</v>
      </c>
      <c r="AO24" s="36">
        <f>'Intermediate calcs'!AY25/1000</f>
        <v>300.97047514892472</v>
      </c>
      <c r="AP24" s="36">
        <f>'Intermediate calcs'!AZ25/1000</f>
        <v>306.27248414512525</v>
      </c>
      <c r="AQ24" s="36">
        <f>'Intermediate calcs'!BA25/1000</f>
        <v>311.81675838166217</v>
      </c>
      <c r="AR24" s="36">
        <f>'Intermediate calcs'!BB25/1000</f>
        <v>317.72479344504848</v>
      </c>
      <c r="AS24" s="36">
        <f>'Intermediate calcs'!BC25/1000</f>
        <v>323.81880771792959</v>
      </c>
      <c r="AT24" s="36">
        <f>'Intermediate calcs'!BD25/1000</f>
        <v>330.08819940982761</v>
      </c>
      <c r="AU24" s="36">
        <f>'Intermediate calcs'!BE25/1000</f>
        <v>336.5591374063124</v>
      </c>
      <c r="AV24" s="36">
        <f>'Intermediate calcs'!BF25/1000</f>
        <v>343.33537457271899</v>
      </c>
      <c r="AW24" s="36">
        <f>'Intermediate calcs'!BG25/1000</f>
        <v>350.31628584742418</v>
      </c>
      <c r="AX24" s="36">
        <f>'Intermediate calcs'!BH25/1000</f>
        <v>357.5604346284685</v>
      </c>
      <c r="AY24" s="36">
        <f>'Intermediate calcs'!BI25/1000</f>
        <v>364.87059421810602</v>
      </c>
      <c r="AZ24" s="36">
        <f>'Intermediate calcs'!BJ25/1000</f>
        <v>372.467848993659</v>
      </c>
      <c r="BA24" s="36">
        <f>'Intermediate calcs'!BK25/1000</f>
        <v>380.37615667074141</v>
      </c>
    </row>
    <row r="25" spans="1:53" x14ac:dyDescent="0.25">
      <c r="A25" s="33"/>
      <c r="B25" s="33" t="s">
        <v>766</v>
      </c>
      <c r="C25" s="36">
        <f>'Intermediate calcs'!M22/1000</f>
        <v>131</v>
      </c>
      <c r="D25" s="36">
        <f>'Intermediate calcs'!N22/1000</f>
        <v>115</v>
      </c>
      <c r="E25" s="36">
        <f>'Intermediate calcs'!O22/1000</f>
        <v>123</v>
      </c>
      <c r="F25" s="36">
        <f>'Intermediate calcs'!P22/1000</f>
        <v>146</v>
      </c>
      <c r="G25" s="36">
        <f>'Intermediate calcs'!Q22/1000</f>
        <v>174</v>
      </c>
      <c r="H25" s="36">
        <f>'Intermediate calcs'!R22/1000</f>
        <v>182</v>
      </c>
      <c r="I25" s="36">
        <f>'Intermediate calcs'!S22/1000</f>
        <v>193</v>
      </c>
      <c r="J25" s="36">
        <f>'Intermediate calcs'!T22/1000</f>
        <v>206</v>
      </c>
      <c r="K25" s="36">
        <f>'Intermediate calcs'!U22/1000</f>
        <v>198</v>
      </c>
      <c r="L25" s="36">
        <f>'Intermediate calcs'!V22/1000</f>
        <v>199</v>
      </c>
      <c r="M25" s="36">
        <f>'Intermediate calcs'!W22/1000</f>
        <v>215</v>
      </c>
      <c r="N25" s="36">
        <f>'Intermediate calcs'!X22/1000</f>
        <v>231</v>
      </c>
      <c r="O25" s="36">
        <f>'Intermediate calcs'!Y22/1000</f>
        <v>237</v>
      </c>
      <c r="P25" s="36">
        <f>'Intermediate calcs'!Z22/1000</f>
        <v>245</v>
      </c>
      <c r="Q25" s="36">
        <f>'Intermediate calcs'!AA22/1000</f>
        <v>236</v>
      </c>
      <c r="R25" s="36">
        <f>'Intermediate calcs'!AB22/1000</f>
        <v>254</v>
      </c>
      <c r="S25" s="36">
        <f>'Intermediate calcs'!AC22/1000</f>
        <v>263</v>
      </c>
      <c r="T25" s="36">
        <f>'Intermediate calcs'!AD22/1000</f>
        <v>254</v>
      </c>
      <c r="U25" s="36">
        <f>'Intermediate calcs'!AE22/1000</f>
        <v>261.44792993549078</v>
      </c>
      <c r="V25" s="36">
        <f>'Intermediate calcs'!AF22/1000</f>
        <v>263.83737351228933</v>
      </c>
      <c r="W25" s="36">
        <f>'Intermediate calcs'!AG22/1000</f>
        <v>257.412281173802</v>
      </c>
      <c r="X25" s="36">
        <f>'Intermediate calcs'!AH22/1000</f>
        <v>261.13575235513406</v>
      </c>
      <c r="Y25" s="36">
        <f>'Intermediate calcs'!AI22/1000</f>
        <v>264.76962157058892</v>
      </c>
      <c r="Z25" s="36">
        <f>'Intermediate calcs'!AJ22/1000</f>
        <v>268.42360396958122</v>
      </c>
      <c r="AA25" s="36">
        <f>'Intermediate calcs'!AK22/1000</f>
        <v>272.00045159064564</v>
      </c>
      <c r="AB25" s="36">
        <f>'Intermediate calcs'!AL22/1000</f>
        <v>275.66676763755356</v>
      </c>
      <c r="AC25" s="36">
        <f>'Intermediate calcs'!AM22/1000</f>
        <v>279.86585678320614</v>
      </c>
      <c r="AD25" s="36">
        <f>'Intermediate calcs'!AN22/1000</f>
        <v>284.04122374030788</v>
      </c>
      <c r="AE25" s="36">
        <f>'Intermediate calcs'!AO22/1000</f>
        <v>288.33769438745952</v>
      </c>
      <c r="AF25" s="36">
        <f>'Intermediate calcs'!AP22/1000</f>
        <v>292.72408883884367</v>
      </c>
      <c r="AG25" s="36">
        <f>'Intermediate calcs'!AQ22/1000</f>
        <v>297.20861467037781</v>
      </c>
      <c r="AH25" s="36">
        <f>'Intermediate calcs'!AR22/1000</f>
        <v>302.21488051730142</v>
      </c>
      <c r="AI25" s="36">
        <f>'Intermediate calcs'!AS22/1000</f>
        <v>307.05981627973307</v>
      </c>
      <c r="AJ25" s="36">
        <f>'Intermediate calcs'!AT22/1000</f>
        <v>312.26863154085072</v>
      </c>
      <c r="AK25" s="36">
        <f>'Intermediate calcs'!AU22/1000</f>
        <v>317.73183026649235</v>
      </c>
      <c r="AL25" s="36">
        <f>'Intermediate calcs'!AV22/1000</f>
        <v>323.46318080390972</v>
      </c>
      <c r="AM25" s="36">
        <f>'Intermediate calcs'!AW22/1000</f>
        <v>329.37876755490686</v>
      </c>
      <c r="AN25" s="36">
        <f>'Intermediate calcs'!AX22/1000</f>
        <v>335.47879706116964</v>
      </c>
      <c r="AO25" s="36">
        <f>'Intermediate calcs'!AY22/1000</f>
        <v>341.64734627376788</v>
      </c>
      <c r="AP25" s="36">
        <f>'Intermediate calcs'!AZ22/1000</f>
        <v>348.0020777135403</v>
      </c>
      <c r="AQ25" s="36">
        <f>'Intermediate calcs'!BA22/1000</f>
        <v>354.64717654813091</v>
      </c>
      <c r="AR25" s="36">
        <f>'Intermediate calcs'!BB22/1000</f>
        <v>361.72826150884737</v>
      </c>
      <c r="AS25" s="36">
        <f>'Intermediate calcs'!BC22/1000</f>
        <v>369.03225215127179</v>
      </c>
      <c r="AT25" s="36">
        <f>'Intermediate calcs'!BD22/1000</f>
        <v>376.54644168231607</v>
      </c>
      <c r="AU25" s="36">
        <f>'Intermediate calcs'!BE22/1000</f>
        <v>384.30219486201594</v>
      </c>
      <c r="AV25" s="36">
        <f>'Intermediate calcs'!BF22/1000</f>
        <v>392.42386485457462</v>
      </c>
      <c r="AW25" s="36">
        <f>'Intermediate calcs'!BG22/1000</f>
        <v>400.79084732997603</v>
      </c>
      <c r="AX25" s="36">
        <f>'Intermediate calcs'!BH22/1000</f>
        <v>409.47333354346227</v>
      </c>
      <c r="AY25" s="36">
        <f>'Intermediate calcs'!BI22/1000</f>
        <v>418.23493711812858</v>
      </c>
      <c r="AZ25" s="36">
        <f>'Intermediate calcs'!BJ22/1000</f>
        <v>427.34063909124194</v>
      </c>
      <c r="BA25" s="36">
        <f>'Intermediate calcs'!BK22/1000</f>
        <v>436.81915402151873</v>
      </c>
    </row>
    <row r="26" spans="1:53" x14ac:dyDescent="0.25">
      <c r="A26" s="33"/>
      <c r="B26" s="33"/>
      <c r="C26" s="36"/>
      <c r="D26" s="36"/>
      <c r="E26" s="36"/>
      <c r="F26" s="36"/>
      <c r="G26" s="36"/>
      <c r="H26" s="36"/>
      <c r="I26" s="36"/>
      <c r="J26" s="36"/>
      <c r="K26" s="36"/>
      <c r="L26" s="36"/>
      <c r="M26" s="36"/>
      <c r="N26" s="36"/>
      <c r="O26" s="36"/>
      <c r="P26" s="36"/>
      <c r="Q26" s="36"/>
      <c r="R26" s="37"/>
      <c r="S26" s="37"/>
      <c r="T26" s="37"/>
      <c r="U26" s="37"/>
      <c r="V26" s="37"/>
      <c r="W26" s="37"/>
      <c r="X26" s="37"/>
      <c r="Y26" s="37"/>
      <c r="Z26" s="37"/>
      <c r="AA26" s="37"/>
    </row>
    <row r="27" spans="1:53" x14ac:dyDescent="0.25">
      <c r="A27" s="32"/>
      <c r="B27" s="33"/>
      <c r="C27" s="34">
        <v>2000</v>
      </c>
      <c r="D27" s="34">
        <v>2001</v>
      </c>
      <c r="E27" s="34">
        <v>2002</v>
      </c>
      <c r="F27" s="34">
        <v>2003</v>
      </c>
      <c r="G27" s="34">
        <v>2004</v>
      </c>
      <c r="H27" s="34">
        <v>2005</v>
      </c>
      <c r="I27" s="34">
        <v>2006</v>
      </c>
      <c r="J27" s="34">
        <v>2007</v>
      </c>
      <c r="K27" s="34">
        <v>2008</v>
      </c>
      <c r="L27" s="34">
        <v>2009</v>
      </c>
      <c r="M27" s="34">
        <v>2010</v>
      </c>
      <c r="N27" s="34">
        <v>2011</v>
      </c>
      <c r="O27" s="34">
        <v>2012</v>
      </c>
      <c r="P27" s="34">
        <v>2013</v>
      </c>
      <c r="Q27" s="34">
        <v>2014</v>
      </c>
      <c r="R27" s="35">
        <v>2015</v>
      </c>
      <c r="S27" s="35">
        <v>2016</v>
      </c>
      <c r="T27" s="35">
        <v>2017</v>
      </c>
      <c r="U27" s="35">
        <v>2018</v>
      </c>
      <c r="V27" s="35">
        <v>2019</v>
      </c>
      <c r="W27" s="35">
        <v>2020</v>
      </c>
      <c r="X27" s="35">
        <v>2021</v>
      </c>
      <c r="Y27" s="35">
        <v>2022</v>
      </c>
      <c r="Z27" s="35">
        <v>2023</v>
      </c>
      <c r="AA27" s="35">
        <v>2024</v>
      </c>
      <c r="AB27" s="35">
        <v>2025</v>
      </c>
      <c r="AC27" s="35">
        <v>2026</v>
      </c>
      <c r="AD27" s="35">
        <v>2027</v>
      </c>
      <c r="AE27" s="35">
        <v>2028</v>
      </c>
      <c r="AF27" s="35">
        <v>2029</v>
      </c>
      <c r="AG27" s="35">
        <v>2030</v>
      </c>
      <c r="AH27" s="35">
        <v>2031</v>
      </c>
      <c r="AI27" s="35">
        <v>2032</v>
      </c>
      <c r="AJ27" s="35">
        <v>2033</v>
      </c>
      <c r="AK27" s="35">
        <v>2034</v>
      </c>
      <c r="AL27" s="35">
        <v>2035</v>
      </c>
      <c r="AM27" s="35">
        <v>2036</v>
      </c>
      <c r="AN27" s="35">
        <v>2037</v>
      </c>
      <c r="AO27" s="35">
        <v>2038</v>
      </c>
      <c r="AP27" s="35">
        <v>2039</v>
      </c>
      <c r="AQ27" s="35">
        <v>2040</v>
      </c>
      <c r="AR27" s="35">
        <v>2041</v>
      </c>
      <c r="AS27" s="35">
        <v>2042</v>
      </c>
      <c r="AT27" s="35">
        <v>2043</v>
      </c>
      <c r="AU27" s="35">
        <v>2044</v>
      </c>
      <c r="AV27" s="35">
        <v>2045</v>
      </c>
      <c r="AW27" s="35">
        <v>2046</v>
      </c>
      <c r="AX27" s="35">
        <v>2047</v>
      </c>
      <c r="AY27" s="35">
        <v>2048</v>
      </c>
      <c r="AZ27" s="35">
        <v>2049</v>
      </c>
      <c r="BA27" s="35">
        <v>2050</v>
      </c>
    </row>
    <row r="28" spans="1:53" x14ac:dyDescent="0.25">
      <c r="A28" s="33"/>
      <c r="B28" s="33" t="s">
        <v>767</v>
      </c>
      <c r="C28" s="41">
        <v>2024.0540449999999</v>
      </c>
      <c r="D28" s="41">
        <v>2024.0540449999999</v>
      </c>
      <c r="E28" s="41">
        <v>2024.0540449999999</v>
      </c>
      <c r="F28" s="41">
        <v>2113.8015639999999</v>
      </c>
      <c r="G28" s="41">
        <v>2290.0087429999999</v>
      </c>
      <c r="H28" s="41">
        <v>2393.5830030000002</v>
      </c>
      <c r="I28" s="41">
        <v>2495.02</v>
      </c>
      <c r="J28" s="41">
        <v>2546.5700000000002</v>
      </c>
      <c r="K28" s="41">
        <v>2673.6727109999997</v>
      </c>
      <c r="L28" s="41">
        <v>2586.3408249999998</v>
      </c>
      <c r="M28" s="41">
        <v>2706.3017989999998</v>
      </c>
      <c r="N28" s="41">
        <v>2720.4017549999999</v>
      </c>
      <c r="O28" s="41">
        <v>2842.8103229999997</v>
      </c>
      <c r="P28" s="41">
        <v>2904.1207999999997</v>
      </c>
      <c r="Q28" s="41">
        <v>2969.867827</v>
      </c>
      <c r="R28" s="42">
        <v>3150</v>
      </c>
      <c r="S28" s="42">
        <v>3100</v>
      </c>
      <c r="T28" s="42">
        <v>3200</v>
      </c>
      <c r="U28" s="42">
        <v>3400</v>
      </c>
      <c r="V28" s="42">
        <v>3250</v>
      </c>
      <c r="W28" s="42">
        <v>3300</v>
      </c>
      <c r="X28" s="42">
        <v>3400</v>
      </c>
      <c r="Y28" s="42">
        <v>3500</v>
      </c>
      <c r="Z28" s="42">
        <f>Y28+50</f>
        <v>3550</v>
      </c>
      <c r="AA28" s="42">
        <f t="shared" ref="AA28:AE28" si="1">Z28+50</f>
        <v>3600</v>
      </c>
      <c r="AB28" s="42">
        <f t="shared" si="1"/>
        <v>3650</v>
      </c>
      <c r="AC28" s="42">
        <f t="shared" si="1"/>
        <v>3700</v>
      </c>
      <c r="AD28" s="42">
        <f t="shared" si="1"/>
        <v>3750</v>
      </c>
      <c r="AE28" s="42">
        <f t="shared" si="1"/>
        <v>3800</v>
      </c>
    </row>
    <row r="29" spans="1:53" x14ac:dyDescent="0.25">
      <c r="A29" s="33"/>
      <c r="B29" s="33" t="s">
        <v>768</v>
      </c>
      <c r="C29" s="41">
        <v>1273.2</v>
      </c>
      <c r="D29" s="41">
        <v>1273.2</v>
      </c>
      <c r="E29" s="41">
        <v>1273.2</v>
      </c>
      <c r="F29" s="41">
        <v>1259</v>
      </c>
      <c r="G29" s="41">
        <v>1347</v>
      </c>
      <c r="H29" s="41">
        <v>1396.6</v>
      </c>
      <c r="I29" s="41">
        <v>1442.9</v>
      </c>
      <c r="J29" s="41">
        <v>1402.61000533527</v>
      </c>
      <c r="K29" s="41">
        <v>1458.4151718048199</v>
      </c>
      <c r="L29" s="41">
        <v>1493.2</v>
      </c>
      <c r="M29" s="41">
        <v>1545.3558772633801</v>
      </c>
      <c r="N29" s="41">
        <v>1571</v>
      </c>
      <c r="O29" s="41">
        <v>1661.1</v>
      </c>
      <c r="P29" s="41">
        <v>1681.39</v>
      </c>
      <c r="Q29" s="41">
        <v>1722.5233396599999</v>
      </c>
      <c r="R29" s="42">
        <v>1775.8304373666449</v>
      </c>
      <c r="S29" s="42">
        <v>1820.2326820256628</v>
      </c>
      <c r="T29" s="42">
        <v>1859.0411448844859</v>
      </c>
      <c r="U29" s="42">
        <v>1893.2454556799651</v>
      </c>
      <c r="V29" s="42">
        <v>1928.6136766918191</v>
      </c>
      <c r="W29" s="42">
        <v>1965.2479914611308</v>
      </c>
      <c r="X29" s="42">
        <v>2003.0736716496317</v>
      </c>
      <c r="Y29" s="42">
        <v>2044.3832164581972</v>
      </c>
      <c r="Z29" s="42">
        <v>2085.024175882957</v>
      </c>
      <c r="AA29" s="42">
        <v>2123.3681095603265</v>
      </c>
    </row>
    <row r="30" spans="1:53" x14ac:dyDescent="0.25">
      <c r="A30" s="33"/>
      <c r="B30" s="33" t="s">
        <v>769</v>
      </c>
      <c r="C30" s="41">
        <v>866.94927349604279</v>
      </c>
      <c r="D30" s="41">
        <v>866.94927349604279</v>
      </c>
      <c r="E30" s="41">
        <v>866.94927349604279</v>
      </c>
      <c r="F30" s="41">
        <v>846.1138215167158</v>
      </c>
      <c r="G30" s="41">
        <v>935.18533488170215</v>
      </c>
      <c r="H30" s="41">
        <v>990.02288429185</v>
      </c>
      <c r="I30" s="41">
        <v>1044.5425069013627</v>
      </c>
      <c r="J30" s="41">
        <v>1150.5392931285598</v>
      </c>
      <c r="K30" s="41">
        <v>1208.3756288442755</v>
      </c>
      <c r="L30" s="41">
        <v>1092.2210617160124</v>
      </c>
      <c r="M30" s="41">
        <v>1154.6007305262117</v>
      </c>
      <c r="N30" s="41">
        <v>1140</v>
      </c>
      <c r="O30" s="41">
        <v>1171</v>
      </c>
      <c r="P30" s="41">
        <v>1200</v>
      </c>
      <c r="Q30" s="41">
        <v>1223.1384873399998</v>
      </c>
      <c r="R30" s="42">
        <v>1297.1574685139426</v>
      </c>
      <c r="S30" s="42">
        <v>1339.9486902058916</v>
      </c>
      <c r="T30" s="42">
        <v>1382.183609812364</v>
      </c>
      <c r="U30" s="42">
        <v>1416.4086784270767</v>
      </c>
      <c r="V30" s="42">
        <v>1452.170708036087</v>
      </c>
      <c r="W30" s="42">
        <v>1490.0278167036406</v>
      </c>
      <c r="X30" s="42">
        <v>1529.1035404245388</v>
      </c>
      <c r="Y30" s="42">
        <v>1572.8770953399192</v>
      </c>
      <c r="Z30" s="42">
        <v>1615.0807207181326</v>
      </c>
      <c r="AA30" s="42">
        <v>1653.5952554033502</v>
      </c>
    </row>
    <row r="31" spans="1:53" x14ac:dyDescent="0.25">
      <c r="A31" s="33"/>
      <c r="B31" s="33" t="s">
        <v>770</v>
      </c>
      <c r="C31" s="41">
        <f>'Intermediate calcs'!M12/1000</f>
        <v>2370</v>
      </c>
      <c r="D31" s="41">
        <f>'Intermediate calcs'!N12/1000</f>
        <v>2358</v>
      </c>
      <c r="E31" s="41">
        <f>'Intermediate calcs'!O12/1000</f>
        <v>2457</v>
      </c>
      <c r="F31" s="41">
        <f>'Intermediate calcs'!P12/1000</f>
        <v>2354</v>
      </c>
      <c r="G31" s="41">
        <f>'Intermediate calcs'!Q12/1000</f>
        <v>2505</v>
      </c>
      <c r="H31" s="41">
        <f>'Intermediate calcs'!R12/1000</f>
        <v>2657</v>
      </c>
      <c r="I31" s="41">
        <f>'Intermediate calcs'!S12/1000</f>
        <v>2513</v>
      </c>
      <c r="J31" s="41">
        <f>'Intermediate calcs'!T12/1000</f>
        <v>2559</v>
      </c>
      <c r="K31" s="41">
        <f>'Intermediate calcs'!U12/1000</f>
        <v>2625</v>
      </c>
      <c r="L31" s="41">
        <f>'Intermediate calcs'!V12/1000</f>
        <v>2587</v>
      </c>
      <c r="M31" s="41">
        <f>'Intermediate calcs'!W12/1000</f>
        <v>2711</v>
      </c>
      <c r="N31" s="41">
        <f>'Intermediate calcs'!X12/1000</f>
        <v>2720</v>
      </c>
      <c r="O31" s="41">
        <f>'Intermediate calcs'!Y12/1000</f>
        <v>2843</v>
      </c>
      <c r="P31" s="41">
        <f>'Intermediate calcs'!Z12/1000</f>
        <v>2906</v>
      </c>
      <c r="Q31" s="41">
        <f>'Intermediate calcs'!AA12/1000</f>
        <v>2983</v>
      </c>
      <c r="R31" s="41">
        <f>'Intermediate calcs'!AB12/1000</f>
        <v>3173</v>
      </c>
      <c r="S31" s="41">
        <f>'Intermediate calcs'!AC12/1000</f>
        <v>3158</v>
      </c>
      <c r="T31" s="41">
        <f>'Intermediate calcs'!AD12/1000</f>
        <v>3097.9866000000002</v>
      </c>
      <c r="U31" s="41">
        <f>'Intermediate calcs'!AE12/1000</f>
        <v>3041.0761441055693</v>
      </c>
      <c r="V31" s="41">
        <f>'Intermediate calcs'!AF12/1000</f>
        <v>3060.7421495684152</v>
      </c>
      <c r="W31" s="41">
        <f>'Intermediate calcs'!AG12/1000</f>
        <v>3049.7255988344755</v>
      </c>
      <c r="X31" s="41">
        <f>'Intermediate calcs'!AH12/1000</f>
        <v>3074.1896571276702</v>
      </c>
      <c r="Y31" s="41">
        <f>'Intermediate calcs'!AI12/1000</f>
        <v>3098.3418193379212</v>
      </c>
      <c r="Z31" s="41">
        <f>'Intermediate calcs'!AJ12/1000</f>
        <v>3122.5639936157522</v>
      </c>
      <c r="AA31" s="41">
        <f>'Intermediate calcs'!AK12/1000</f>
        <v>3146.5176691114298</v>
      </c>
      <c r="AB31" s="41">
        <f>'Intermediate calcs'!AL12/1000</f>
        <v>3170.7827758499693</v>
      </c>
      <c r="AC31" s="41">
        <f>'Intermediate calcs'!AM12/1000</f>
        <v>3197.8616820382308</v>
      </c>
      <c r="AD31" s="41">
        <f>'Intermediate calcs'!AN12/1000</f>
        <v>3224.8580135577508</v>
      </c>
      <c r="AE31" s="41">
        <f>'Intermediate calcs'!AO12/1000</f>
        <v>3252.275895435826</v>
      </c>
      <c r="AF31" s="41">
        <f>'Intermediate calcs'!AP12/1000</f>
        <v>3280.0067934730405</v>
      </c>
      <c r="AG31" s="41">
        <f>'Intermediate calcs'!AQ12/1000</f>
        <v>3308.0792774559081</v>
      </c>
      <c r="AH31" s="41">
        <f>'Intermediate calcs'!AR12/1000</f>
        <v>3337.5447924603736</v>
      </c>
      <c r="AI31" s="41">
        <f>'Intermediate calcs'!AS12/1000</f>
        <v>3366.4487326635335</v>
      </c>
      <c r="AJ31" s="41">
        <f>'Intermediate calcs'!AT12/1000</f>
        <v>3396.6193028000416</v>
      </c>
      <c r="AK31" s="41">
        <f>'Intermediate calcs'!AU12/1000</f>
        <v>3427.675357226276</v>
      </c>
      <c r="AL31" s="41">
        <f>'Intermediate calcs'!AV12/1000</f>
        <v>3459.6648224540709</v>
      </c>
      <c r="AM31" s="41">
        <f>'Intermediate calcs'!AW12/1000</f>
        <v>3492.7689131019356</v>
      </c>
      <c r="AN31" s="41">
        <f>'Intermediate calcs'!AX12/1000</f>
        <v>3526.5150313344534</v>
      </c>
      <c r="AO31" s="41">
        <f>'Intermediate calcs'!AY12/1000</f>
        <v>3560.4996598968246</v>
      </c>
      <c r="AP31" s="41">
        <f>'Intermediate calcs'!AZ12/1000</f>
        <v>3595.1323711914661</v>
      </c>
      <c r="AQ31" s="41">
        <f>'Intermediate calcs'!BA12/1000</f>
        <v>3630.7758236067807</v>
      </c>
      <c r="AR31" s="41">
        <f>'Intermediate calcs'!BB12/1000</f>
        <v>3669.7077753837807</v>
      </c>
      <c r="AS31" s="41">
        <f>'Intermediate calcs'!BC12/1000</f>
        <v>3709.4156403001407</v>
      </c>
      <c r="AT31" s="41">
        <f>'Intermediate calcs'!BD12/1000</f>
        <v>3749.8551876494876</v>
      </c>
      <c r="AU31" s="41">
        <f>'Intermediate calcs'!BE12/1000</f>
        <v>3791.1355949483773</v>
      </c>
      <c r="AV31" s="41">
        <f>'Intermediate calcs'!BF12/1000</f>
        <v>3833.6897236640025</v>
      </c>
      <c r="AW31" s="41">
        <f>'Intermediate calcs'!BG12/1000</f>
        <v>3876.5936421180909</v>
      </c>
      <c r="AX31" s="41">
        <f>'Intermediate calcs'!BH12/1000</f>
        <v>3920.5957988988616</v>
      </c>
      <c r="AY31" s="41">
        <f>'Intermediate calcs'!BI12/1000</f>
        <v>3964.8733558567315</v>
      </c>
      <c r="AZ31" s="41">
        <f>'Intermediate calcs'!BJ12/1000</f>
        <v>4010.348686205903</v>
      </c>
      <c r="BA31" s="41">
        <f>'Intermediate calcs'!BK12/1000</f>
        <v>4057.1217427903525</v>
      </c>
    </row>
    <row r="32" spans="1:53" x14ac:dyDescent="0.25">
      <c r="A32" s="33"/>
      <c r="B32" s="33" t="s">
        <v>771</v>
      </c>
      <c r="C32" s="41">
        <f>'Intermediate calcs'!M9/1000</f>
        <v>1284</v>
      </c>
      <c r="D32" s="41">
        <f>'Intermediate calcs'!N9/1000</f>
        <v>1575</v>
      </c>
      <c r="E32" s="41">
        <f>'Intermediate calcs'!O9/1000</f>
        <v>1611</v>
      </c>
      <c r="F32" s="41">
        <f>'Intermediate calcs'!P9/1000</f>
        <v>1528</v>
      </c>
      <c r="G32" s="41">
        <f>'Intermediate calcs'!Q9/1000</f>
        <v>1626</v>
      </c>
      <c r="H32" s="41">
        <f>'Intermediate calcs'!R9/1000</f>
        <v>1835</v>
      </c>
      <c r="I32" s="41">
        <f>'Intermediate calcs'!S9/1000</f>
        <v>1697</v>
      </c>
      <c r="J32" s="41">
        <f>'Intermediate calcs'!T9/1000</f>
        <v>1799</v>
      </c>
      <c r="K32" s="41">
        <f>'Intermediate calcs'!U9/1000</f>
        <v>1819</v>
      </c>
      <c r="L32" s="41">
        <f>'Intermediate calcs'!V9/1000</f>
        <v>1788</v>
      </c>
      <c r="M32" s="41">
        <f>'Intermediate calcs'!W9/1000</f>
        <v>1868</v>
      </c>
      <c r="N32" s="41">
        <f>'Intermediate calcs'!X9/1000</f>
        <v>1852</v>
      </c>
      <c r="O32" s="41">
        <f>'Intermediate calcs'!Y9/1000</f>
        <v>1916</v>
      </c>
      <c r="P32" s="41">
        <f>'Intermediate calcs'!Z9/1000</f>
        <v>1931</v>
      </c>
      <c r="Q32" s="41">
        <f>'Intermediate calcs'!AA9/1000</f>
        <v>1976</v>
      </c>
      <c r="R32" s="41">
        <f>'Intermediate calcs'!AB9/1000</f>
        <v>2121</v>
      </c>
      <c r="S32" s="41">
        <f>'Intermediate calcs'!AC9/1000</f>
        <v>2126</v>
      </c>
      <c r="T32" s="41">
        <f>'Intermediate calcs'!AD9/1000</f>
        <v>2207</v>
      </c>
      <c r="U32" s="41">
        <f>'Intermediate calcs'!AE9/1000</f>
        <v>2148.8183419976272</v>
      </c>
      <c r="V32" s="41">
        <f>'Intermediate calcs'!AF9/1000</f>
        <v>2168.9309705631626</v>
      </c>
      <c r="W32" s="41">
        <f>'Intermediate calcs'!AG9/1000</f>
        <v>2157.6642294141416</v>
      </c>
      <c r="X32" s="41">
        <f>'Intermediate calcs'!AH9/1000</f>
        <v>2182.6838765705611</v>
      </c>
      <c r="Y32" s="41">
        <f>'Intermediate calcs'!AI9/1000</f>
        <v>2207.384544355235</v>
      </c>
      <c r="Z32" s="41">
        <f>'Intermediate calcs'!AJ9/1000</f>
        <v>2232.1568142104466</v>
      </c>
      <c r="AA32" s="41">
        <f>'Intermediate calcs'!AK9/1000</f>
        <v>2256.6544875653185</v>
      </c>
      <c r="AB32" s="41">
        <f>'Intermediate calcs'!AL9/1000</f>
        <v>2281.4706648951442</v>
      </c>
      <c r="AC32" s="41">
        <f>'Intermediate calcs'!AM9/1000</f>
        <v>2309.1645442218037</v>
      </c>
      <c r="AD32" s="41">
        <f>'Intermediate calcs'!AN9/1000</f>
        <v>2336.7739735749046</v>
      </c>
      <c r="AE32" s="41">
        <f>'Intermediate calcs'!AO9/1000</f>
        <v>2364.8145268692315</v>
      </c>
      <c r="AF32" s="41">
        <f>'Intermediate calcs'!AP9/1000</f>
        <v>2393.1752050488922</v>
      </c>
      <c r="AG32" s="41">
        <f>'Intermediate calcs'!AQ9/1000</f>
        <v>2421.8852267320472</v>
      </c>
      <c r="AH32" s="41">
        <f>'Intermediate calcs'!AR9/1000</f>
        <v>2452.0199157463799</v>
      </c>
      <c r="AI32" s="41">
        <f>'Intermediate calcs'!AS9/1000</f>
        <v>2481.5802763638362</v>
      </c>
      <c r="AJ32" s="41">
        <f>'Intermediate calcs'!AT9/1000</f>
        <v>2512.4360326033238</v>
      </c>
      <c r="AK32" s="41">
        <f>'Intermediate calcs'!AU9/1000</f>
        <v>2544.1973828463078</v>
      </c>
      <c r="AL32" s="41">
        <f>'Intermediate calcs'!AV9/1000</f>
        <v>2576.9133420354929</v>
      </c>
      <c r="AM32" s="41">
        <f>'Intermediate calcs'!AW9/1000</f>
        <v>2610.769240248183</v>
      </c>
      <c r="AN32" s="41">
        <f>'Intermediate calcs'!AX9/1000</f>
        <v>2645.281746757018</v>
      </c>
      <c r="AO32" s="41">
        <f>'Intermediate calcs'!AY9/1000</f>
        <v>2680.0381802637603</v>
      </c>
      <c r="AP32" s="41">
        <f>'Intermediate calcs'!AZ9/1000</f>
        <v>2715.4574147291696</v>
      </c>
      <c r="AQ32" s="41">
        <f>'Intermediate calcs'!BA9/1000</f>
        <v>2751.9103446633612</v>
      </c>
      <c r="AR32" s="41">
        <f>'Intermediate calcs'!BB9/1000</f>
        <v>2791.7264571373184</v>
      </c>
      <c r="AS32" s="41">
        <f>'Intermediate calcs'!BC9/1000</f>
        <v>2832.3361040583468</v>
      </c>
      <c r="AT32" s="41">
        <f>'Intermediate calcs'!BD9/1000</f>
        <v>2873.6940502224725</v>
      </c>
      <c r="AU32" s="41">
        <f>'Intermediate calcs'!BE9/1000</f>
        <v>2915.9119526127238</v>
      </c>
      <c r="AV32" s="41">
        <f>'Intermediate calcs'!BF9/1000</f>
        <v>2959.4325031589092</v>
      </c>
      <c r="AW32" s="41">
        <f>'Intermediate calcs'!BG9/1000</f>
        <v>3003.3107873129206</v>
      </c>
      <c r="AX32" s="41">
        <f>'Intermediate calcs'!BH9/1000</f>
        <v>3048.3122512393934</v>
      </c>
      <c r="AY32" s="41">
        <f>'Intermediate calcs'!BI9/1000</f>
        <v>3093.5953697946802</v>
      </c>
      <c r="AZ32" s="41">
        <f>'Intermediate calcs'!BJ9/1000</f>
        <v>3140.1034636694562</v>
      </c>
      <c r="BA32" s="41">
        <f>'Intermediate calcs'!BK9/1000</f>
        <v>3187.9387556780475</v>
      </c>
    </row>
    <row r="33" spans="1:53" x14ac:dyDescent="0.25">
      <c r="A33" s="33"/>
      <c r="B33" s="33"/>
      <c r="C33" s="41"/>
      <c r="D33" s="41"/>
      <c r="E33" s="41"/>
      <c r="F33" s="41"/>
      <c r="G33" s="41"/>
      <c r="H33" s="41"/>
      <c r="I33" s="41"/>
      <c r="J33" s="41"/>
      <c r="K33" s="41"/>
      <c r="L33" s="41"/>
      <c r="M33" s="41"/>
      <c r="N33" s="41"/>
      <c r="O33" s="41"/>
      <c r="P33" s="41"/>
      <c r="Q33" s="41"/>
      <c r="R33" s="42"/>
      <c r="S33" s="42"/>
      <c r="T33" s="42"/>
      <c r="U33" s="42"/>
      <c r="V33" s="42"/>
      <c r="W33" s="42"/>
      <c r="X33" s="42"/>
      <c r="Y33" s="42"/>
      <c r="Z33" s="42"/>
      <c r="AA33" s="42"/>
    </row>
    <row r="34" spans="1:53" x14ac:dyDescent="0.25">
      <c r="A34" s="32"/>
      <c r="B34" s="33"/>
      <c r="C34" s="34">
        <v>2000</v>
      </c>
      <c r="D34" s="34">
        <v>2001</v>
      </c>
      <c r="E34" s="34">
        <v>2002</v>
      </c>
      <c r="F34" s="34">
        <v>2003</v>
      </c>
      <c r="G34" s="34">
        <v>2004</v>
      </c>
      <c r="H34" s="34">
        <v>2005</v>
      </c>
      <c r="I34" s="34">
        <v>2006</v>
      </c>
      <c r="J34" s="34">
        <v>2007</v>
      </c>
      <c r="K34" s="34">
        <v>2008</v>
      </c>
      <c r="L34" s="34">
        <v>2009</v>
      </c>
      <c r="M34" s="34">
        <v>2010</v>
      </c>
      <c r="N34" s="34">
        <v>2011</v>
      </c>
      <c r="O34" s="34">
        <v>2012</v>
      </c>
      <c r="P34" s="34">
        <v>2013</v>
      </c>
      <c r="Q34" s="34">
        <v>2014</v>
      </c>
      <c r="R34" s="35">
        <v>2015</v>
      </c>
      <c r="S34" s="35">
        <v>2016</v>
      </c>
      <c r="T34" s="35">
        <v>2017</v>
      </c>
      <c r="U34" s="35">
        <v>2018</v>
      </c>
      <c r="V34" s="35">
        <v>2019</v>
      </c>
      <c r="W34" s="35">
        <v>2020</v>
      </c>
      <c r="X34" s="35">
        <v>2021</v>
      </c>
      <c r="Y34" s="35">
        <v>2022</v>
      </c>
      <c r="Z34" s="35">
        <v>2023</v>
      </c>
      <c r="AA34" s="35">
        <v>2024</v>
      </c>
      <c r="AB34" s="35">
        <v>2025</v>
      </c>
      <c r="AC34" s="35">
        <v>2026</v>
      </c>
      <c r="AD34" s="35">
        <v>2027</v>
      </c>
      <c r="AE34" s="35">
        <v>2028</v>
      </c>
      <c r="AF34" s="35">
        <v>2029</v>
      </c>
      <c r="AG34" s="35">
        <v>2030</v>
      </c>
      <c r="AH34" s="35">
        <v>2031</v>
      </c>
      <c r="AI34" s="35">
        <v>2032</v>
      </c>
      <c r="AJ34" s="35">
        <v>2033</v>
      </c>
      <c r="AK34" s="35">
        <v>2034</v>
      </c>
      <c r="AL34" s="35">
        <v>2035</v>
      </c>
      <c r="AM34" s="35">
        <v>2036</v>
      </c>
      <c r="AN34" s="35">
        <v>2037</v>
      </c>
      <c r="AO34" s="35">
        <v>2038</v>
      </c>
      <c r="AP34" s="35">
        <v>2039</v>
      </c>
      <c r="AQ34" s="35">
        <v>2040</v>
      </c>
      <c r="AR34" s="35">
        <v>2041</v>
      </c>
      <c r="AS34" s="35">
        <v>2042</v>
      </c>
      <c r="AT34" s="35">
        <v>2043</v>
      </c>
      <c r="AU34" s="35">
        <v>2044</v>
      </c>
      <c r="AV34" s="35">
        <v>2045</v>
      </c>
      <c r="AW34" s="35">
        <v>2046</v>
      </c>
      <c r="AX34" s="35">
        <v>2047</v>
      </c>
      <c r="AY34" s="35">
        <v>2048</v>
      </c>
      <c r="AZ34" s="35">
        <v>2049</v>
      </c>
      <c r="BA34" s="35">
        <v>2050</v>
      </c>
    </row>
    <row r="35" spans="1:53" x14ac:dyDescent="0.25">
      <c r="A35" s="38"/>
      <c r="B35" s="38" t="s">
        <v>772</v>
      </c>
      <c r="C35" s="39">
        <v>114.36</v>
      </c>
      <c r="D35" s="39">
        <v>114.36</v>
      </c>
      <c r="E35" s="39">
        <v>114.36</v>
      </c>
      <c r="F35" s="39">
        <v>94.948778000000004</v>
      </c>
      <c r="G35" s="39">
        <v>97.52034399999998</v>
      </c>
      <c r="H35" s="39">
        <v>102.166586</v>
      </c>
      <c r="I35" s="39">
        <v>115.84967</v>
      </c>
      <c r="J35" s="39">
        <v>110.621706</v>
      </c>
      <c r="K35" s="39">
        <v>115.99826544161907</v>
      </c>
      <c r="L35" s="39">
        <v>120.63819605928383</v>
      </c>
      <c r="M35" s="39">
        <v>125.46372390165519</v>
      </c>
      <c r="N35" s="39">
        <v>91.588518448208291</v>
      </c>
      <c r="O35" s="39">
        <v>98.915599924064963</v>
      </c>
      <c r="P35" s="39">
        <v>115.10460982337811</v>
      </c>
      <c r="Q35" s="39">
        <v>118.08101882391567</v>
      </c>
      <c r="R35" s="40">
        <v>120</v>
      </c>
      <c r="S35" s="40">
        <v>125</v>
      </c>
      <c r="T35" s="40">
        <v>135</v>
      </c>
      <c r="U35" s="40">
        <v>115</v>
      </c>
      <c r="V35" s="40">
        <v>108</v>
      </c>
      <c r="W35" s="40">
        <v>113</v>
      </c>
      <c r="X35" s="40">
        <v>116</v>
      </c>
      <c r="Y35" s="40">
        <v>119</v>
      </c>
      <c r="Z35" s="40">
        <v>121</v>
      </c>
      <c r="AA35" s="40">
        <v>124</v>
      </c>
      <c r="AB35" s="40">
        <v>127</v>
      </c>
      <c r="AC35" s="40">
        <v>129</v>
      </c>
      <c r="AD35" s="40">
        <v>131</v>
      </c>
      <c r="AE35" s="40">
        <v>133</v>
      </c>
    </row>
    <row r="36" spans="1:53" x14ac:dyDescent="0.25">
      <c r="A36" s="38"/>
      <c r="B36" s="38" t="s">
        <v>773</v>
      </c>
      <c r="C36" s="39">
        <v>147.50101899999999</v>
      </c>
      <c r="D36" s="39">
        <v>147.50101899999999</v>
      </c>
      <c r="E36" s="39">
        <v>147.50101899999999</v>
      </c>
      <c r="F36" s="39">
        <v>156</v>
      </c>
      <c r="G36" s="39">
        <v>163</v>
      </c>
      <c r="H36" s="39">
        <v>150</v>
      </c>
      <c r="I36" s="39">
        <v>177</v>
      </c>
      <c r="J36" s="39">
        <v>165.63170600000001</v>
      </c>
      <c r="K36" s="39">
        <v>153.94826544161907</v>
      </c>
      <c r="L36" s="39">
        <v>149.24819605928383</v>
      </c>
      <c r="M36" s="39">
        <v>149.24372390165519</v>
      </c>
      <c r="N36" s="39">
        <v>116.67851844820828</v>
      </c>
      <c r="O36" s="39">
        <v>121.76574443406494</v>
      </c>
      <c r="P36" s="39">
        <v>134.49960982337811</v>
      </c>
      <c r="Q36" s="39">
        <v>134.87990262391565</v>
      </c>
      <c r="R36" s="40">
        <v>138.20716425710361</v>
      </c>
      <c r="S36" s="40">
        <v>140.54831762918488</v>
      </c>
      <c r="T36" s="40">
        <v>142.52537151325211</v>
      </c>
      <c r="U36" s="40">
        <v>143.33699921198837</v>
      </c>
      <c r="V36" s="40">
        <v>145.00011855243841</v>
      </c>
      <c r="W36" s="40">
        <v>146.72189410939382</v>
      </c>
      <c r="X36" s="40">
        <v>148.14351293952492</v>
      </c>
      <c r="Y36" s="40">
        <v>149.6242507758528</v>
      </c>
      <c r="Z36" s="40">
        <v>151.3117511608838</v>
      </c>
      <c r="AA36" s="40">
        <v>153.36736842443659</v>
      </c>
    </row>
    <row r="37" spans="1:53" x14ac:dyDescent="0.25">
      <c r="B37" s="38" t="s">
        <v>774</v>
      </c>
      <c r="C37">
        <f>'Intermediate calcs'!M20/1000</f>
        <v>98.52</v>
      </c>
      <c r="D37">
        <f>'Intermediate calcs'!N20/1000</f>
        <v>95.86</v>
      </c>
      <c r="E37">
        <f>'Intermediate calcs'!O20/1000</f>
        <v>96.34</v>
      </c>
      <c r="F37">
        <f>'Intermediate calcs'!P20/1000</f>
        <v>105.64</v>
      </c>
      <c r="G37">
        <f>'Intermediate calcs'!Q20/1000</f>
        <v>111.12</v>
      </c>
      <c r="H37">
        <f>'Intermediate calcs'!R20/1000</f>
        <v>124.52</v>
      </c>
      <c r="I37">
        <f>'Intermediate calcs'!S20/1000</f>
        <v>124.74</v>
      </c>
      <c r="J37">
        <f>'Intermediate calcs'!T20/1000</f>
        <v>148.52000000000001</v>
      </c>
      <c r="K37">
        <f>'Intermediate calcs'!U20/1000</f>
        <v>149.26</v>
      </c>
      <c r="L37">
        <f>'Intermediate calcs'!V20/1000</f>
        <v>151.30000000000001</v>
      </c>
      <c r="M37">
        <f>'Intermediate calcs'!W20/1000</f>
        <v>153.46</v>
      </c>
      <c r="N37">
        <f>'Intermediate calcs'!X20/1000</f>
        <v>139.5</v>
      </c>
      <c r="O37">
        <f>'Intermediate calcs'!Y20/1000</f>
        <v>139.47999999999999</v>
      </c>
      <c r="P37">
        <f>'Intermediate calcs'!Z20/1000</f>
        <v>156.04</v>
      </c>
      <c r="Q37">
        <f>'Intermediate calcs'!AA20/1000</f>
        <v>171.52</v>
      </c>
      <c r="R37">
        <f>'Intermediate calcs'!AB20/1000</f>
        <v>173.02</v>
      </c>
      <c r="S37">
        <f>'Intermediate calcs'!AC20/1000</f>
        <v>166.24</v>
      </c>
      <c r="T37">
        <f>'Intermediate calcs'!AD20/1000</f>
        <v>166.12415200000001</v>
      </c>
      <c r="U37">
        <f>'Intermediate calcs'!AE20/1000</f>
        <v>159.47337372484043</v>
      </c>
      <c r="V37">
        <f>'Intermediate calcs'!AF20/1000</f>
        <v>160.99639810756949</v>
      </c>
      <c r="W37">
        <f>'Intermediate calcs'!AG20/1000</f>
        <v>166.05464178239916</v>
      </c>
      <c r="X37">
        <f>'Intermediate calcs'!AH20/1000</f>
        <v>167.07639772752839</v>
      </c>
      <c r="Y37">
        <f>'Intermediate calcs'!AI20/1000</f>
        <v>168.13409001601232</v>
      </c>
      <c r="Z37">
        <f>'Intermediate calcs'!AJ20/1000</f>
        <v>169.18371557073388</v>
      </c>
      <c r="AA37">
        <f>'Intermediate calcs'!AK20/1000</f>
        <v>170.26427733782597</v>
      </c>
      <c r="AB37">
        <f>'Intermediate calcs'!AL20/1000</f>
        <v>171.3089563200613</v>
      </c>
      <c r="AC37">
        <f>'Intermediate calcs'!AM20/1000</f>
        <v>172.34970004600891</v>
      </c>
      <c r="AD37">
        <f>'Intermediate calcs'!AN20/1000</f>
        <v>173.39995795845732</v>
      </c>
      <c r="AE37">
        <f>'Intermediate calcs'!AO20/1000</f>
        <v>174.40164517977414</v>
      </c>
      <c r="AF37">
        <f>'Intermediate calcs'!AP20/1000</f>
        <v>175.36726693257432</v>
      </c>
      <c r="AG37">
        <f>'Intermediate calcs'!AQ20/1000</f>
        <v>176.29353142917856</v>
      </c>
      <c r="AH37">
        <f>'Intermediate calcs'!AR20/1000</f>
        <v>176.91803387546639</v>
      </c>
      <c r="AI37">
        <f>'Intermediate calcs'!AS20/1000</f>
        <v>177.60724044496141</v>
      </c>
      <c r="AJ37">
        <f>'Intermediate calcs'!AT20/1000</f>
        <v>178.15050700957107</v>
      </c>
      <c r="AK37">
        <f>'Intermediate calcs'!AU20/1000</f>
        <v>178.59174872009487</v>
      </c>
      <c r="AL37">
        <f>'Intermediate calcs'!AV20/1000</f>
        <v>178.92544359351771</v>
      </c>
      <c r="AM37">
        <f>'Intermediate calcs'!AW20/1000</f>
        <v>179.28873745639214</v>
      </c>
      <c r="AN37">
        <f>'Intermediate calcs'!AX20/1000</f>
        <v>179.57805742058713</v>
      </c>
      <c r="AO37">
        <f>'Intermediate calcs'!AY20/1000</f>
        <v>179.83989634672528</v>
      </c>
      <c r="AP37">
        <f>'Intermediate calcs'!AZ20/1000</f>
        <v>180.02706377586543</v>
      </c>
      <c r="AQ37">
        <f>'Intermediate calcs'!BA20/1000</f>
        <v>180.09777443112384</v>
      </c>
      <c r="AR37">
        <f>'Intermediate calcs'!BB20/1000</f>
        <v>180.38082442402782</v>
      </c>
      <c r="AS37">
        <f>'Intermediate calcs'!BC20/1000</f>
        <v>180.57447426210999</v>
      </c>
      <c r="AT37">
        <f>'Intermediate calcs'!BD20/1000</f>
        <v>180.68382031333908</v>
      </c>
      <c r="AU37">
        <f>'Intermediate calcs'!BE20/1000</f>
        <v>180.69628316173086</v>
      </c>
      <c r="AV37">
        <f>'Intermediate calcs'!BF20/1000</f>
        <v>180.56198885937121</v>
      </c>
      <c r="AW37">
        <f>'Intermediate calcs'!BG20/1000</f>
        <v>180.21908278992407</v>
      </c>
      <c r="AX37">
        <f>'Intermediate calcs'!BH20/1000</f>
        <v>179.74963858933435</v>
      </c>
      <c r="AY37">
        <f>'Intermediate calcs'!BI20/1000</f>
        <v>179.24846307412355</v>
      </c>
      <c r="AZ37">
        <f>'Intermediate calcs'!BJ20/1000</f>
        <v>178.60928100729407</v>
      </c>
      <c r="BA37">
        <f>'Intermediate calcs'!BK20/1000</f>
        <v>177.8205759739493</v>
      </c>
    </row>
    <row r="38" spans="1:53" x14ac:dyDescent="0.25">
      <c r="B38" s="38" t="s">
        <v>775</v>
      </c>
      <c r="C38">
        <f>'Intermediate calcs'!M15/1000</f>
        <v>153.22</v>
      </c>
      <c r="D38">
        <f>'Intermediate calcs'!N15/1000</f>
        <v>149.46</v>
      </c>
      <c r="E38">
        <f>'Intermediate calcs'!O15/1000</f>
        <v>137.24</v>
      </c>
      <c r="F38">
        <f>'Intermediate calcs'!P15/1000</f>
        <v>137.24</v>
      </c>
      <c r="G38">
        <f>'Intermediate calcs'!Q15/1000</f>
        <v>143.82</v>
      </c>
      <c r="H38">
        <f>'Intermediate calcs'!R15/1000</f>
        <v>157.91999999999999</v>
      </c>
      <c r="I38">
        <f>'Intermediate calcs'!S15/1000</f>
        <v>165.44</v>
      </c>
      <c r="J38">
        <f>'Intermediate calcs'!T15/1000</f>
        <v>190.82</v>
      </c>
      <c r="K38">
        <f>'Intermediate calcs'!U15/1000</f>
        <v>177.66</v>
      </c>
      <c r="L38">
        <f>'Intermediate calcs'!V15/1000</f>
        <v>169.2</v>
      </c>
      <c r="M38">
        <f>'Intermediate calcs'!W15/1000</f>
        <v>163.56</v>
      </c>
      <c r="N38">
        <f>'Intermediate calcs'!X15/1000</f>
        <v>145.69999999999999</v>
      </c>
      <c r="O38">
        <f>'Intermediate calcs'!Y15/1000</f>
        <v>147.58000000000001</v>
      </c>
      <c r="P38">
        <f>'Intermediate calcs'!Z15/1000</f>
        <v>160.74</v>
      </c>
      <c r="Q38">
        <f>'Intermediate calcs'!AA15/1000</f>
        <v>176.72</v>
      </c>
      <c r="R38">
        <f>'Intermediate calcs'!AB15/1000</f>
        <v>181.42</v>
      </c>
      <c r="S38">
        <f>'Intermediate calcs'!AC15/1000</f>
        <v>179.54</v>
      </c>
      <c r="T38">
        <f>'Intermediate calcs'!AD15/1000</f>
        <v>174.84</v>
      </c>
      <c r="U38">
        <f>'Intermediate calcs'!AE15/1000</f>
        <v>167.6640520102402</v>
      </c>
      <c r="V38">
        <f>'Intermediate calcs'!AF15/1000</f>
        <v>169.30560246142238</v>
      </c>
      <c r="W38">
        <f>'Intermediate calcs'!AG15/1000</f>
        <v>174.75749297661403</v>
      </c>
      <c r="X38">
        <f>'Intermediate calcs'!AH15/1000</f>
        <v>175.85876486151952</v>
      </c>
      <c r="Y38">
        <f>'Intermediate calcs'!AI15/1000</f>
        <v>176.99876975773896</v>
      </c>
      <c r="Z38">
        <f>'Intermediate calcs'!AJ15/1000</f>
        <v>178.1300801441414</v>
      </c>
      <c r="AA38">
        <f>'Intermediate calcs'!AK15/1000</f>
        <v>179.29473428652739</v>
      </c>
      <c r="AB38">
        <f>'Intermediate calcs'!AL15/1000</f>
        <v>180.4207131441712</v>
      </c>
      <c r="AC38">
        <f>'Intermediate calcs'!AM15/1000</f>
        <v>181.54245049274411</v>
      </c>
      <c r="AD38">
        <f>'Intermediate calcs'!AN15/1000</f>
        <v>182.67444244874162</v>
      </c>
      <c r="AE38">
        <f>'Intermediate calcs'!AO15/1000</f>
        <v>183.75408380494216</v>
      </c>
      <c r="AF38">
        <f>'Intermediate calcs'!AP15/1000</f>
        <v>184.79485297578114</v>
      </c>
      <c r="AG38">
        <f>'Intermediate calcs'!AQ15/1000</f>
        <v>185.79320199734451</v>
      </c>
      <c r="AH38">
        <f>'Intermediate calcs'!AR15/1000</f>
        <v>186.46630499168481</v>
      </c>
      <c r="AI38">
        <f>'Intermediate calcs'!AS15/1000</f>
        <v>187.20914756724821</v>
      </c>
      <c r="AJ38">
        <f>'Intermediate calcs'!AT15/1000</f>
        <v>187.79469267365627</v>
      </c>
      <c r="AK38">
        <f>'Intermediate calcs'!AU15/1000</f>
        <v>188.27027306304763</v>
      </c>
      <c r="AL38">
        <f>'Intermediate calcs'!AV15/1000</f>
        <v>188.62993701605856</v>
      </c>
      <c r="AM38">
        <f>'Intermediate calcs'!AW15/1000</f>
        <v>189.02150343566154</v>
      </c>
      <c r="AN38">
        <f>'Intermediate calcs'!AX15/1000</f>
        <v>189.3333390984034</v>
      </c>
      <c r="AO38">
        <f>'Intermediate calcs'!AY15/1000</f>
        <v>189.61555507092049</v>
      </c>
      <c r="AP38">
        <f>'Intermediate calcs'!AZ15/1000</f>
        <v>189.81728839918216</v>
      </c>
      <c r="AQ38">
        <f>'Intermediate calcs'!BA15/1000</f>
        <v>189.89350195778249</v>
      </c>
      <c r="AR38">
        <f>'Intermediate calcs'!BB15/1000</f>
        <v>190.19857970232002</v>
      </c>
      <c r="AS38">
        <f>'Intermediate calcs'!BC15/1000</f>
        <v>190.40729991893633</v>
      </c>
      <c r="AT38">
        <f>'Intermediate calcs'!BD15/1000</f>
        <v>190.52515558938103</v>
      </c>
      <c r="AU38">
        <f>'Intermediate calcs'!BE15/1000</f>
        <v>190.53858833191128</v>
      </c>
      <c r="AV38">
        <f>'Intermediate calcs'!BF15/1000</f>
        <v>190.39384286681596</v>
      </c>
      <c r="AW38">
        <f>'Intermediate calcs'!BG15/1000</f>
        <v>190.02425087643337</v>
      </c>
      <c r="AX38">
        <f>'Intermediate calcs'!BH15/1000</f>
        <v>189.51827319937078</v>
      </c>
      <c r="AY38">
        <f>'Intermediate calcs'!BI15/1000</f>
        <v>188.97809478696635</v>
      </c>
      <c r="AZ38">
        <f>'Intermediate calcs'!BJ15/1000</f>
        <v>188.28916976246256</v>
      </c>
      <c r="BA38">
        <f>'Intermediate calcs'!BK15/1000</f>
        <v>187.43908547095776</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AN232"/>
  <sheetViews>
    <sheetView workbookViewId="0">
      <selection activeCell="C8" sqref="C8"/>
    </sheetView>
  </sheetViews>
  <sheetFormatPr defaultRowHeight="15" x14ac:dyDescent="0.25"/>
  <cols>
    <col min="1" max="1" width="55.85546875" customWidth="1"/>
    <col min="2" max="2" width="12.85546875" customWidth="1"/>
    <col min="3" max="3" width="13.85546875" customWidth="1"/>
    <col min="4" max="6" width="12.7109375" customWidth="1"/>
    <col min="7" max="7" width="10.28515625" customWidth="1"/>
    <col min="8" max="26" width="12" bestFit="1" customWidth="1"/>
    <col min="27" max="27" width="10" bestFit="1" customWidth="1"/>
    <col min="28" max="31" width="12" bestFit="1" customWidth="1"/>
    <col min="32" max="32" width="10" bestFit="1" customWidth="1"/>
    <col min="33" max="36" width="12" bestFit="1" customWidth="1"/>
  </cols>
  <sheetData>
    <row r="1" spans="1:40" ht="18.75" x14ac:dyDescent="0.3">
      <c r="A1" s="1" t="s">
        <v>740</v>
      </c>
    </row>
    <row r="2" spans="1:40" x14ac:dyDescent="0.25">
      <c r="B2" s="88" t="s">
        <v>899</v>
      </c>
    </row>
    <row r="3" spans="1:40" s="19" customFormat="1" ht="29.25" customHeight="1" x14ac:dyDescent="0.25">
      <c r="A3" s="17"/>
      <c r="B3" s="17" t="s">
        <v>0</v>
      </c>
      <c r="C3" s="17">
        <v>2017</v>
      </c>
      <c r="D3" s="17">
        <v>2018</v>
      </c>
      <c r="E3" s="17">
        <v>2019</v>
      </c>
      <c r="F3" s="17">
        <v>2020</v>
      </c>
      <c r="G3" s="17">
        <v>2021</v>
      </c>
      <c r="H3" s="17">
        <v>2022</v>
      </c>
      <c r="I3" s="17">
        <v>2023</v>
      </c>
      <c r="J3" s="17">
        <v>2024</v>
      </c>
      <c r="K3" s="17">
        <v>2025</v>
      </c>
      <c r="L3" s="17">
        <v>2026</v>
      </c>
      <c r="M3" s="17">
        <v>2027</v>
      </c>
      <c r="N3" s="17">
        <v>2028</v>
      </c>
      <c r="O3" s="17">
        <v>2029</v>
      </c>
      <c r="P3" s="17">
        <v>2030</v>
      </c>
      <c r="Q3" s="17">
        <v>2031</v>
      </c>
      <c r="R3" s="17">
        <v>2032</v>
      </c>
      <c r="S3" s="17">
        <v>2033</v>
      </c>
      <c r="T3" s="17">
        <v>2034</v>
      </c>
      <c r="U3" s="17">
        <v>2035</v>
      </c>
      <c r="V3" s="17">
        <v>2036</v>
      </c>
      <c r="W3" s="17">
        <v>2037</v>
      </c>
      <c r="X3" s="17">
        <v>2038</v>
      </c>
      <c r="Y3" s="17">
        <v>2039</v>
      </c>
      <c r="Z3" s="17">
        <v>2040</v>
      </c>
      <c r="AA3" s="17">
        <v>2041</v>
      </c>
      <c r="AB3" s="17">
        <v>2042</v>
      </c>
      <c r="AC3" s="17">
        <v>2043</v>
      </c>
      <c r="AD3" s="17">
        <v>2044</v>
      </c>
      <c r="AE3" s="17">
        <v>2045</v>
      </c>
      <c r="AF3" s="17">
        <v>2046</v>
      </c>
      <c r="AG3" s="17">
        <v>2047</v>
      </c>
      <c r="AH3" s="17">
        <v>2048</v>
      </c>
      <c r="AI3" s="17">
        <v>2049</v>
      </c>
      <c r="AJ3" s="17">
        <v>2050</v>
      </c>
      <c r="AM3" s="18" t="s">
        <v>312</v>
      </c>
      <c r="AN3" s="17" t="s">
        <v>286</v>
      </c>
    </row>
    <row r="4" spans="1:40" s="53" customFormat="1" ht="15.75" x14ac:dyDescent="0.25">
      <c r="A4" s="52" t="s">
        <v>803</v>
      </c>
      <c r="B4" s="55" t="s">
        <v>802</v>
      </c>
      <c r="C4" s="52"/>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row>
    <row r="5" spans="1:40" x14ac:dyDescent="0.25">
      <c r="A5" t="s">
        <v>746</v>
      </c>
      <c r="B5" t="s">
        <v>411</v>
      </c>
      <c r="C5" s="83"/>
      <c r="D5" s="84"/>
      <c r="E5" s="84"/>
      <c r="F5" s="84"/>
      <c r="G5" s="84"/>
      <c r="H5" s="84"/>
      <c r="I5" s="84"/>
      <c r="J5" s="84"/>
      <c r="K5" s="84"/>
      <c r="L5" s="84"/>
      <c r="M5" s="84"/>
      <c r="N5" s="84"/>
      <c r="O5" s="84"/>
      <c r="P5" s="84"/>
      <c r="Q5" s="84"/>
      <c r="R5" s="84"/>
      <c r="S5" s="84"/>
      <c r="T5" s="84"/>
      <c r="U5" s="84"/>
      <c r="V5" s="84"/>
      <c r="W5" s="84"/>
      <c r="X5" s="84"/>
      <c r="Y5" s="84"/>
      <c r="Z5" s="84"/>
      <c r="AA5" s="84"/>
      <c r="AB5" s="84"/>
      <c r="AC5" s="84"/>
      <c r="AD5" s="84"/>
      <c r="AE5" s="84"/>
      <c r="AF5" s="84"/>
      <c r="AG5" s="84"/>
      <c r="AH5" s="84"/>
      <c r="AI5" s="84"/>
      <c r="AJ5" s="84"/>
    </row>
    <row r="6" spans="1:40" x14ac:dyDescent="0.25">
      <c r="A6" t="s">
        <v>457</v>
      </c>
      <c r="B6" t="s">
        <v>327</v>
      </c>
      <c r="C6" s="74"/>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c r="AJ6" s="74"/>
    </row>
    <row r="7" spans="1:40" x14ac:dyDescent="0.25">
      <c r="A7" t="s">
        <v>743</v>
      </c>
      <c r="B7" t="s">
        <v>327</v>
      </c>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row>
    <row r="8" spans="1:40" x14ac:dyDescent="0.25">
      <c r="A8" t="s">
        <v>744</v>
      </c>
      <c r="B8" t="s">
        <v>327</v>
      </c>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c r="AJ8" s="74"/>
    </row>
    <row r="10" spans="1:40" s="53" customFormat="1" ht="15.75" x14ac:dyDescent="0.25">
      <c r="A10" s="52" t="s">
        <v>804</v>
      </c>
      <c r="B10" s="55" t="s">
        <v>880</v>
      </c>
      <c r="C10" s="52"/>
      <c r="D10" s="52"/>
      <c r="E10" s="52"/>
      <c r="F10" s="52"/>
      <c r="G10" s="52"/>
      <c r="H10" s="52"/>
      <c r="I10" s="52"/>
      <c r="J10" s="52"/>
      <c r="K10" s="52"/>
      <c r="L10" s="52"/>
      <c r="M10" s="52"/>
      <c r="N10" s="52"/>
      <c r="O10" s="52"/>
      <c r="P10" s="52"/>
      <c r="Q10" s="52"/>
      <c r="R10" s="52"/>
      <c r="S10" s="52"/>
      <c r="T10" s="52"/>
      <c r="U10" s="52"/>
      <c r="V10" s="52"/>
      <c r="W10" s="52"/>
      <c r="X10" s="52"/>
      <c r="Y10" s="52"/>
      <c r="Z10" s="52"/>
      <c r="AA10" s="52"/>
      <c r="AB10" s="52"/>
      <c r="AC10" s="52"/>
      <c r="AD10" s="52"/>
      <c r="AE10" s="52"/>
      <c r="AF10" s="52"/>
      <c r="AG10" s="52"/>
      <c r="AH10" s="52"/>
      <c r="AI10" s="52"/>
      <c r="AJ10" s="52"/>
    </row>
    <row r="11" spans="1:40" s="79" customFormat="1" ht="15.75" x14ac:dyDescent="0.25">
      <c r="A11" s="77" t="s">
        <v>873</v>
      </c>
      <c r="B11" s="78" t="s">
        <v>881</v>
      </c>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40" x14ac:dyDescent="0.25">
      <c r="A12" s="80" t="s">
        <v>533</v>
      </c>
      <c r="B12" t="s">
        <v>309</v>
      </c>
      <c r="C12" s="26">
        <v>95</v>
      </c>
      <c r="D12" s="26">
        <v>95</v>
      </c>
      <c r="E12" s="26">
        <v>95</v>
      </c>
      <c r="F12" s="26">
        <v>95</v>
      </c>
      <c r="G12" s="26">
        <v>95</v>
      </c>
      <c r="H12" s="26">
        <v>95</v>
      </c>
      <c r="I12" s="26">
        <v>95</v>
      </c>
      <c r="J12" s="26">
        <v>95</v>
      </c>
      <c r="K12" s="26">
        <v>95</v>
      </c>
      <c r="L12" s="26">
        <v>95</v>
      </c>
      <c r="M12" s="26">
        <v>95</v>
      </c>
      <c r="N12" s="26">
        <v>95</v>
      </c>
      <c r="O12" s="26">
        <v>95</v>
      </c>
      <c r="P12" s="26">
        <v>95</v>
      </c>
      <c r="Q12" s="26">
        <v>95</v>
      </c>
      <c r="R12" s="26">
        <v>95</v>
      </c>
      <c r="S12" s="26">
        <v>95</v>
      </c>
      <c r="T12" s="26">
        <v>95</v>
      </c>
      <c r="U12" s="26">
        <v>95</v>
      </c>
      <c r="V12" s="26">
        <v>95</v>
      </c>
      <c r="W12" s="26">
        <v>95</v>
      </c>
      <c r="X12" s="26">
        <v>95</v>
      </c>
      <c r="Y12" s="26">
        <v>95</v>
      </c>
      <c r="Z12" s="26">
        <v>95</v>
      </c>
      <c r="AA12" s="26">
        <v>95</v>
      </c>
      <c r="AB12" s="26">
        <v>95</v>
      </c>
      <c r="AC12" s="26">
        <v>95</v>
      </c>
      <c r="AD12" s="26">
        <v>95</v>
      </c>
      <c r="AE12" s="26">
        <v>95</v>
      </c>
      <c r="AF12" s="26">
        <v>95</v>
      </c>
      <c r="AG12" s="26">
        <v>95</v>
      </c>
      <c r="AH12" s="26">
        <v>95</v>
      </c>
      <c r="AI12" s="26">
        <v>95</v>
      </c>
      <c r="AJ12" s="26">
        <v>95</v>
      </c>
    </row>
    <row r="13" spans="1:40" x14ac:dyDescent="0.25">
      <c r="A13" s="80" t="s">
        <v>534</v>
      </c>
      <c r="B13" t="s">
        <v>309</v>
      </c>
      <c r="C13" s="26">
        <v>0</v>
      </c>
      <c r="D13" s="26">
        <v>0</v>
      </c>
      <c r="E13" s="26">
        <v>0</v>
      </c>
      <c r="F13" s="26">
        <v>0</v>
      </c>
      <c r="G13" s="26">
        <v>0</v>
      </c>
      <c r="H13" s="26">
        <v>0</v>
      </c>
      <c r="I13" s="26">
        <v>0</v>
      </c>
      <c r="J13" s="26">
        <v>0</v>
      </c>
      <c r="K13" s="26">
        <v>0</v>
      </c>
      <c r="L13" s="26">
        <v>0</v>
      </c>
      <c r="M13" s="26">
        <v>0</v>
      </c>
      <c r="N13" s="26">
        <v>0</v>
      </c>
      <c r="O13" s="26">
        <v>0</v>
      </c>
      <c r="P13" s="26">
        <v>0</v>
      </c>
      <c r="Q13" s="26">
        <v>0</v>
      </c>
      <c r="R13" s="26">
        <v>0</v>
      </c>
      <c r="S13" s="26">
        <v>0</v>
      </c>
      <c r="T13" s="26">
        <v>0</v>
      </c>
      <c r="U13" s="26">
        <v>0</v>
      </c>
      <c r="V13" s="26">
        <v>0</v>
      </c>
      <c r="W13" s="26">
        <v>0</v>
      </c>
      <c r="X13" s="26">
        <v>0</v>
      </c>
      <c r="Y13" s="26">
        <v>0</v>
      </c>
      <c r="Z13" s="26">
        <v>0</v>
      </c>
      <c r="AA13" s="26">
        <v>0</v>
      </c>
      <c r="AB13" s="26">
        <v>0</v>
      </c>
      <c r="AC13" s="26">
        <v>0</v>
      </c>
      <c r="AD13" s="26">
        <v>0</v>
      </c>
      <c r="AE13" s="26">
        <v>0</v>
      </c>
      <c r="AF13" s="26">
        <v>0</v>
      </c>
      <c r="AG13" s="26">
        <v>0</v>
      </c>
      <c r="AH13" s="26">
        <v>0</v>
      </c>
      <c r="AI13" s="26">
        <v>0</v>
      </c>
      <c r="AJ13" s="26">
        <v>0</v>
      </c>
    </row>
    <row r="14" spans="1:40" x14ac:dyDescent="0.25">
      <c r="A14" s="80" t="s">
        <v>535</v>
      </c>
      <c r="B14" t="s">
        <v>309</v>
      </c>
      <c r="C14" s="26">
        <v>0</v>
      </c>
      <c r="D14" s="26">
        <v>0</v>
      </c>
      <c r="E14" s="26">
        <v>0</v>
      </c>
      <c r="F14" s="26">
        <v>0</v>
      </c>
      <c r="G14" s="26">
        <v>0</v>
      </c>
      <c r="H14" s="26">
        <v>0</v>
      </c>
      <c r="I14" s="26">
        <v>0</v>
      </c>
      <c r="J14" s="26">
        <v>0</v>
      </c>
      <c r="K14" s="26">
        <v>0</v>
      </c>
      <c r="L14" s="26">
        <v>0</v>
      </c>
      <c r="M14" s="26">
        <v>0</v>
      </c>
      <c r="N14" s="26">
        <v>0</v>
      </c>
      <c r="O14" s="26">
        <v>0</v>
      </c>
      <c r="P14" s="26">
        <v>0</v>
      </c>
      <c r="Q14" s="26">
        <v>0</v>
      </c>
      <c r="R14" s="26">
        <v>0</v>
      </c>
      <c r="S14" s="26">
        <v>0</v>
      </c>
      <c r="T14" s="26">
        <v>0</v>
      </c>
      <c r="U14" s="26">
        <v>0</v>
      </c>
      <c r="V14" s="26">
        <v>0</v>
      </c>
      <c r="W14" s="26">
        <v>0</v>
      </c>
      <c r="X14" s="26">
        <v>0</v>
      </c>
      <c r="Y14" s="26">
        <v>0</v>
      </c>
      <c r="Z14" s="26">
        <v>0</v>
      </c>
      <c r="AA14" s="26">
        <v>0</v>
      </c>
      <c r="AB14" s="26">
        <v>0</v>
      </c>
      <c r="AC14" s="26">
        <v>0</v>
      </c>
      <c r="AD14" s="26">
        <v>0</v>
      </c>
      <c r="AE14" s="26">
        <v>0</v>
      </c>
      <c r="AF14" s="26">
        <v>0</v>
      </c>
      <c r="AG14" s="26">
        <v>0</v>
      </c>
      <c r="AH14" s="26">
        <v>0</v>
      </c>
      <c r="AI14" s="26">
        <v>0</v>
      </c>
      <c r="AJ14" s="26">
        <v>0</v>
      </c>
    </row>
    <row r="15" spans="1:40" x14ac:dyDescent="0.25">
      <c r="A15" s="80" t="s">
        <v>536</v>
      </c>
      <c r="B15" t="s">
        <v>309</v>
      </c>
      <c r="C15" s="26">
        <v>0</v>
      </c>
      <c r="D15" s="26">
        <v>0</v>
      </c>
      <c r="E15" s="26">
        <v>0</v>
      </c>
      <c r="F15" s="26">
        <v>0</v>
      </c>
      <c r="G15" s="26">
        <v>0</v>
      </c>
      <c r="H15" s="26">
        <v>0</v>
      </c>
      <c r="I15" s="26">
        <v>0</v>
      </c>
      <c r="J15" s="26">
        <v>0</v>
      </c>
      <c r="K15" s="26">
        <v>0</v>
      </c>
      <c r="L15" s="26">
        <v>0</v>
      </c>
      <c r="M15" s="26">
        <v>0</v>
      </c>
      <c r="N15" s="26">
        <v>0</v>
      </c>
      <c r="O15" s="26">
        <v>0</v>
      </c>
      <c r="P15" s="26">
        <v>0</v>
      </c>
      <c r="Q15" s="26">
        <v>0</v>
      </c>
      <c r="R15" s="26">
        <v>0</v>
      </c>
      <c r="S15" s="26">
        <v>0</v>
      </c>
      <c r="T15" s="26">
        <v>0</v>
      </c>
      <c r="U15" s="26">
        <v>0</v>
      </c>
      <c r="V15" s="26">
        <v>0</v>
      </c>
      <c r="W15" s="26">
        <v>0</v>
      </c>
      <c r="X15" s="26">
        <v>0</v>
      </c>
      <c r="Y15" s="26">
        <v>0</v>
      </c>
      <c r="Z15" s="26">
        <v>0</v>
      </c>
      <c r="AA15" s="26">
        <v>0</v>
      </c>
      <c r="AB15" s="26">
        <v>0</v>
      </c>
      <c r="AC15" s="26">
        <v>0</v>
      </c>
      <c r="AD15" s="26">
        <v>0</v>
      </c>
      <c r="AE15" s="26">
        <v>0</v>
      </c>
      <c r="AF15" s="26">
        <v>0</v>
      </c>
      <c r="AG15" s="26">
        <v>0</v>
      </c>
      <c r="AH15" s="26">
        <v>0</v>
      </c>
      <c r="AI15" s="26">
        <v>0</v>
      </c>
      <c r="AJ15" s="26">
        <v>0</v>
      </c>
    </row>
    <row r="16" spans="1:40" x14ac:dyDescent="0.25">
      <c r="A16" s="80" t="s">
        <v>537</v>
      </c>
      <c r="B16" t="s">
        <v>309</v>
      </c>
      <c r="C16" s="26">
        <v>0</v>
      </c>
      <c r="D16" s="26">
        <v>0</v>
      </c>
      <c r="E16" s="26">
        <v>0</v>
      </c>
      <c r="F16" s="26">
        <v>0</v>
      </c>
      <c r="G16" s="26">
        <v>0</v>
      </c>
      <c r="H16" s="26">
        <v>0</v>
      </c>
      <c r="I16" s="26">
        <v>0</v>
      </c>
      <c r="J16" s="26">
        <v>0</v>
      </c>
      <c r="K16" s="26">
        <v>0</v>
      </c>
      <c r="L16" s="26">
        <v>0</v>
      </c>
      <c r="M16" s="26">
        <v>0</v>
      </c>
      <c r="N16" s="26">
        <v>0</v>
      </c>
      <c r="O16" s="26">
        <v>0</v>
      </c>
      <c r="P16" s="26">
        <v>0</v>
      </c>
      <c r="Q16" s="26">
        <v>0</v>
      </c>
      <c r="R16" s="26">
        <v>0</v>
      </c>
      <c r="S16" s="26">
        <v>0</v>
      </c>
      <c r="T16" s="26">
        <v>0</v>
      </c>
      <c r="U16" s="26">
        <v>0</v>
      </c>
      <c r="V16" s="26">
        <v>0</v>
      </c>
      <c r="W16" s="26">
        <v>0</v>
      </c>
      <c r="X16" s="26">
        <v>0</v>
      </c>
      <c r="Y16" s="26">
        <v>0</v>
      </c>
      <c r="Z16" s="26">
        <v>0</v>
      </c>
      <c r="AA16" s="26">
        <v>0</v>
      </c>
      <c r="AB16" s="26">
        <v>0</v>
      </c>
      <c r="AC16" s="26">
        <v>0</v>
      </c>
      <c r="AD16" s="26">
        <v>0</v>
      </c>
      <c r="AE16" s="26">
        <v>0</v>
      </c>
      <c r="AF16" s="26">
        <v>0</v>
      </c>
      <c r="AG16" s="26">
        <v>0</v>
      </c>
      <c r="AH16" s="26">
        <v>0</v>
      </c>
      <c r="AI16" s="26">
        <v>0</v>
      </c>
      <c r="AJ16" s="26">
        <v>0</v>
      </c>
    </row>
    <row r="17" spans="1:36" x14ac:dyDescent="0.25">
      <c r="A17" s="80" t="s">
        <v>538</v>
      </c>
      <c r="B17" t="s">
        <v>309</v>
      </c>
      <c r="C17" s="26">
        <v>0</v>
      </c>
      <c r="D17" s="26">
        <v>0</v>
      </c>
      <c r="E17" s="26">
        <v>0</v>
      </c>
      <c r="F17" s="26">
        <v>0</v>
      </c>
      <c r="G17" s="26">
        <v>0</v>
      </c>
      <c r="H17" s="26">
        <v>0</v>
      </c>
      <c r="I17" s="26">
        <v>0</v>
      </c>
      <c r="J17" s="26">
        <v>0</v>
      </c>
      <c r="K17" s="26">
        <v>0</v>
      </c>
      <c r="L17" s="26">
        <v>0</v>
      </c>
      <c r="M17" s="26">
        <v>0</v>
      </c>
      <c r="N17" s="26">
        <v>0</v>
      </c>
      <c r="O17" s="26">
        <v>0</v>
      </c>
      <c r="P17" s="26">
        <v>0</v>
      </c>
      <c r="Q17" s="26">
        <v>0</v>
      </c>
      <c r="R17" s="26">
        <v>0</v>
      </c>
      <c r="S17" s="26">
        <v>0</v>
      </c>
      <c r="T17" s="26">
        <v>0</v>
      </c>
      <c r="U17" s="26">
        <v>0</v>
      </c>
      <c r="V17" s="26">
        <v>0</v>
      </c>
      <c r="W17" s="26">
        <v>0</v>
      </c>
      <c r="X17" s="26">
        <v>0</v>
      </c>
      <c r="Y17" s="26">
        <v>0</v>
      </c>
      <c r="Z17" s="26">
        <v>0</v>
      </c>
      <c r="AA17" s="26">
        <v>0</v>
      </c>
      <c r="AB17" s="26">
        <v>0</v>
      </c>
      <c r="AC17" s="26">
        <v>0</v>
      </c>
      <c r="AD17" s="26">
        <v>0</v>
      </c>
      <c r="AE17" s="26">
        <v>0</v>
      </c>
      <c r="AF17" s="26">
        <v>0</v>
      </c>
      <c r="AG17" s="26">
        <v>0</v>
      </c>
      <c r="AH17" s="26">
        <v>0</v>
      </c>
      <c r="AI17" s="26">
        <v>0</v>
      </c>
      <c r="AJ17" s="26">
        <v>0</v>
      </c>
    </row>
    <row r="18" spans="1:36" x14ac:dyDescent="0.25">
      <c r="A18" s="80" t="s">
        <v>539</v>
      </c>
      <c r="B18" t="s">
        <v>309</v>
      </c>
      <c r="C18" s="26">
        <v>5</v>
      </c>
      <c r="D18" s="26">
        <v>5</v>
      </c>
      <c r="E18" s="26">
        <v>5</v>
      </c>
      <c r="F18" s="26">
        <v>5</v>
      </c>
      <c r="G18" s="26">
        <v>5</v>
      </c>
      <c r="H18" s="26">
        <v>5</v>
      </c>
      <c r="I18" s="26">
        <v>5</v>
      </c>
      <c r="J18" s="26">
        <v>5</v>
      </c>
      <c r="K18" s="26">
        <v>5</v>
      </c>
      <c r="L18" s="26">
        <v>5</v>
      </c>
      <c r="M18" s="26">
        <v>5</v>
      </c>
      <c r="N18" s="26">
        <v>5</v>
      </c>
      <c r="O18" s="26">
        <v>5</v>
      </c>
      <c r="P18" s="26">
        <v>5</v>
      </c>
      <c r="Q18" s="26">
        <v>5</v>
      </c>
      <c r="R18" s="26">
        <v>5</v>
      </c>
      <c r="S18" s="26">
        <v>5</v>
      </c>
      <c r="T18" s="26">
        <v>5</v>
      </c>
      <c r="U18" s="26">
        <v>5</v>
      </c>
      <c r="V18" s="26">
        <v>5</v>
      </c>
      <c r="W18" s="26">
        <v>5</v>
      </c>
      <c r="X18" s="26">
        <v>5</v>
      </c>
      <c r="Y18" s="26">
        <v>5</v>
      </c>
      <c r="Z18" s="26">
        <v>5</v>
      </c>
      <c r="AA18" s="26">
        <v>5</v>
      </c>
      <c r="AB18" s="26">
        <v>5</v>
      </c>
      <c r="AC18" s="26">
        <v>5</v>
      </c>
      <c r="AD18" s="26">
        <v>5</v>
      </c>
      <c r="AE18" s="26">
        <v>5</v>
      </c>
      <c r="AF18" s="26">
        <v>5</v>
      </c>
      <c r="AG18" s="26">
        <v>5</v>
      </c>
      <c r="AH18" s="26">
        <v>5</v>
      </c>
      <c r="AI18" s="26">
        <v>5</v>
      </c>
      <c r="AJ18" s="26">
        <v>5</v>
      </c>
    </row>
    <row r="19" spans="1:36" x14ac:dyDescent="0.25">
      <c r="A19" s="80" t="s">
        <v>540</v>
      </c>
      <c r="B19" t="s">
        <v>309</v>
      </c>
      <c r="C19" s="26">
        <v>0</v>
      </c>
      <c r="D19" s="26">
        <v>0</v>
      </c>
      <c r="E19" s="26">
        <v>0</v>
      </c>
      <c r="F19" s="26">
        <v>0</v>
      </c>
      <c r="G19" s="26">
        <v>0</v>
      </c>
      <c r="H19" s="26">
        <v>0</v>
      </c>
      <c r="I19" s="26">
        <v>0</v>
      </c>
      <c r="J19" s="26">
        <v>0</v>
      </c>
      <c r="K19" s="26">
        <v>0</v>
      </c>
      <c r="L19" s="26">
        <v>0</v>
      </c>
      <c r="M19" s="26">
        <v>0</v>
      </c>
      <c r="N19" s="26">
        <v>0</v>
      </c>
      <c r="O19" s="26">
        <v>0</v>
      </c>
      <c r="P19" s="26">
        <v>0</v>
      </c>
      <c r="Q19" s="26">
        <v>0</v>
      </c>
      <c r="R19" s="26">
        <v>0</v>
      </c>
      <c r="S19" s="26">
        <v>0</v>
      </c>
      <c r="T19" s="26">
        <v>0</v>
      </c>
      <c r="U19" s="26">
        <v>0</v>
      </c>
      <c r="V19" s="26">
        <v>0</v>
      </c>
      <c r="W19" s="26">
        <v>0</v>
      </c>
      <c r="X19" s="26">
        <v>0</v>
      </c>
      <c r="Y19" s="26">
        <v>0</v>
      </c>
      <c r="Z19" s="26">
        <v>0</v>
      </c>
      <c r="AA19" s="26">
        <v>0</v>
      </c>
      <c r="AB19" s="26">
        <v>0</v>
      </c>
      <c r="AC19" s="26">
        <v>0</v>
      </c>
      <c r="AD19" s="26">
        <v>0</v>
      </c>
      <c r="AE19" s="26">
        <v>0</v>
      </c>
      <c r="AF19" s="26">
        <v>0</v>
      </c>
      <c r="AG19" s="26">
        <v>0</v>
      </c>
      <c r="AH19" s="26">
        <v>0</v>
      </c>
      <c r="AI19" s="26">
        <v>0</v>
      </c>
      <c r="AJ19" s="26">
        <v>0</v>
      </c>
    </row>
    <row r="20" spans="1:36" x14ac:dyDescent="0.25">
      <c r="A20" s="80" t="s">
        <v>541</v>
      </c>
      <c r="B20" t="s">
        <v>309</v>
      </c>
      <c r="C20" s="26">
        <v>0</v>
      </c>
      <c r="D20" s="26">
        <v>0</v>
      </c>
      <c r="E20" s="26">
        <v>0</v>
      </c>
      <c r="F20" s="26">
        <v>0</v>
      </c>
      <c r="G20" s="26">
        <v>0</v>
      </c>
      <c r="H20" s="26">
        <v>0</v>
      </c>
      <c r="I20" s="26">
        <v>0</v>
      </c>
      <c r="J20" s="26">
        <v>0</v>
      </c>
      <c r="K20" s="26">
        <v>0</v>
      </c>
      <c r="L20" s="26">
        <v>0</v>
      </c>
      <c r="M20" s="26">
        <v>0</v>
      </c>
      <c r="N20" s="26">
        <v>0</v>
      </c>
      <c r="O20" s="26">
        <v>0</v>
      </c>
      <c r="P20" s="26">
        <v>0</v>
      </c>
      <c r="Q20" s="26">
        <v>0</v>
      </c>
      <c r="R20" s="26">
        <v>0</v>
      </c>
      <c r="S20" s="26">
        <v>0</v>
      </c>
      <c r="T20" s="26">
        <v>0</v>
      </c>
      <c r="U20" s="26">
        <v>0</v>
      </c>
      <c r="V20" s="26">
        <v>0</v>
      </c>
      <c r="W20" s="26">
        <v>0</v>
      </c>
      <c r="X20" s="26">
        <v>0</v>
      </c>
      <c r="Y20" s="26">
        <v>0</v>
      </c>
      <c r="Z20" s="26">
        <v>0</v>
      </c>
      <c r="AA20" s="26">
        <v>0</v>
      </c>
      <c r="AB20" s="26">
        <v>0</v>
      </c>
      <c r="AC20" s="26">
        <v>0</v>
      </c>
      <c r="AD20" s="26">
        <v>0</v>
      </c>
      <c r="AE20" s="26">
        <v>0</v>
      </c>
      <c r="AF20" s="26">
        <v>0</v>
      </c>
      <c r="AG20" s="26">
        <v>0</v>
      </c>
      <c r="AH20" s="26">
        <v>0</v>
      </c>
      <c r="AI20" s="26">
        <v>0</v>
      </c>
      <c r="AJ20" s="26">
        <v>0</v>
      </c>
    </row>
    <row r="21" spans="1:36" x14ac:dyDescent="0.25">
      <c r="A21" s="80" t="s">
        <v>542</v>
      </c>
      <c r="B21" t="s">
        <v>309</v>
      </c>
      <c r="C21" s="26">
        <v>0</v>
      </c>
      <c r="D21" s="26">
        <v>0</v>
      </c>
      <c r="E21" s="26">
        <v>0</v>
      </c>
      <c r="F21" s="26">
        <v>0</v>
      </c>
      <c r="G21" s="26">
        <v>0</v>
      </c>
      <c r="H21" s="26">
        <v>0</v>
      </c>
      <c r="I21" s="26">
        <v>0</v>
      </c>
      <c r="J21" s="26">
        <v>0</v>
      </c>
      <c r="K21" s="26">
        <v>0</v>
      </c>
      <c r="L21" s="26">
        <v>0</v>
      </c>
      <c r="M21" s="26">
        <v>0</v>
      </c>
      <c r="N21" s="26">
        <v>0</v>
      </c>
      <c r="O21" s="26">
        <v>0</v>
      </c>
      <c r="P21" s="26">
        <v>0</v>
      </c>
      <c r="Q21" s="26">
        <v>0</v>
      </c>
      <c r="R21" s="26">
        <v>0</v>
      </c>
      <c r="S21" s="26">
        <v>0</v>
      </c>
      <c r="T21" s="26">
        <v>0</v>
      </c>
      <c r="U21" s="26">
        <v>0</v>
      </c>
      <c r="V21" s="26">
        <v>0</v>
      </c>
      <c r="W21" s="26">
        <v>0</v>
      </c>
      <c r="X21" s="26">
        <v>0</v>
      </c>
      <c r="Y21" s="26">
        <v>0</v>
      </c>
      <c r="Z21" s="26">
        <v>0</v>
      </c>
      <c r="AA21" s="26">
        <v>0</v>
      </c>
      <c r="AB21" s="26">
        <v>0</v>
      </c>
      <c r="AC21" s="26">
        <v>0</v>
      </c>
      <c r="AD21" s="26">
        <v>0</v>
      </c>
      <c r="AE21" s="26">
        <v>0</v>
      </c>
      <c r="AF21" s="26">
        <v>0</v>
      </c>
      <c r="AG21" s="26">
        <v>0</v>
      </c>
      <c r="AH21" s="26">
        <v>0</v>
      </c>
      <c r="AI21" s="26">
        <v>0</v>
      </c>
      <c r="AJ21" s="26">
        <v>0</v>
      </c>
    </row>
    <row r="22" spans="1:36" x14ac:dyDescent="0.25">
      <c r="A22" s="80" t="s">
        <v>854</v>
      </c>
      <c r="B22" t="s">
        <v>309</v>
      </c>
      <c r="C22" s="26">
        <v>0</v>
      </c>
      <c r="D22" s="26">
        <v>0</v>
      </c>
      <c r="E22" s="26">
        <v>0</v>
      </c>
      <c r="F22" s="26">
        <v>0</v>
      </c>
      <c r="G22" s="26">
        <v>0</v>
      </c>
      <c r="H22" s="26">
        <v>0</v>
      </c>
      <c r="I22" s="26">
        <v>0</v>
      </c>
      <c r="J22" s="26">
        <v>0</v>
      </c>
      <c r="K22" s="26">
        <v>0</v>
      </c>
      <c r="L22" s="26">
        <v>0</v>
      </c>
      <c r="M22" s="26">
        <v>0</v>
      </c>
      <c r="N22" s="26">
        <v>0</v>
      </c>
      <c r="O22" s="26">
        <v>0</v>
      </c>
      <c r="P22" s="26">
        <v>0</v>
      </c>
      <c r="Q22" s="26">
        <v>0</v>
      </c>
      <c r="R22" s="26">
        <v>0</v>
      </c>
      <c r="S22" s="26">
        <v>0</v>
      </c>
      <c r="T22" s="26">
        <v>0</v>
      </c>
      <c r="U22" s="26">
        <v>0</v>
      </c>
      <c r="V22" s="26">
        <v>0</v>
      </c>
      <c r="W22" s="26">
        <v>0</v>
      </c>
      <c r="X22" s="26">
        <v>0</v>
      </c>
      <c r="Y22" s="26">
        <v>0</v>
      </c>
      <c r="Z22" s="26">
        <v>0</v>
      </c>
      <c r="AA22" s="26">
        <v>0</v>
      </c>
      <c r="AB22" s="26">
        <v>0</v>
      </c>
      <c r="AC22" s="26">
        <v>0</v>
      </c>
      <c r="AD22" s="26">
        <v>0</v>
      </c>
      <c r="AE22" s="26">
        <v>0</v>
      </c>
      <c r="AF22" s="26">
        <v>0</v>
      </c>
      <c r="AG22" s="26">
        <v>0</v>
      </c>
      <c r="AH22" s="26">
        <v>0</v>
      </c>
      <c r="AI22" s="26">
        <v>0</v>
      </c>
      <c r="AJ22" s="26">
        <v>0</v>
      </c>
    </row>
    <row r="23" spans="1:36" s="81" customFormat="1" x14ac:dyDescent="0.25">
      <c r="A23" s="81" t="s">
        <v>882</v>
      </c>
      <c r="C23" s="82">
        <f>+SUM(C12:C22)</f>
        <v>100</v>
      </c>
      <c r="D23" s="82">
        <f t="shared" ref="D23:AJ23" si="0">+SUM(D12:D22)</f>
        <v>100</v>
      </c>
      <c r="E23" s="82">
        <f t="shared" si="0"/>
        <v>100</v>
      </c>
      <c r="F23" s="82">
        <f t="shared" si="0"/>
        <v>100</v>
      </c>
      <c r="G23" s="82">
        <f t="shared" si="0"/>
        <v>100</v>
      </c>
      <c r="H23" s="82">
        <f t="shared" si="0"/>
        <v>100</v>
      </c>
      <c r="I23" s="82">
        <f t="shared" si="0"/>
        <v>100</v>
      </c>
      <c r="J23" s="82">
        <f t="shared" si="0"/>
        <v>100</v>
      </c>
      <c r="K23" s="82">
        <f t="shared" si="0"/>
        <v>100</v>
      </c>
      <c r="L23" s="82">
        <f t="shared" si="0"/>
        <v>100</v>
      </c>
      <c r="M23" s="82">
        <f t="shared" si="0"/>
        <v>100</v>
      </c>
      <c r="N23" s="82">
        <f t="shared" si="0"/>
        <v>100</v>
      </c>
      <c r="O23" s="82">
        <f t="shared" si="0"/>
        <v>100</v>
      </c>
      <c r="P23" s="82">
        <f t="shared" si="0"/>
        <v>100</v>
      </c>
      <c r="Q23" s="82">
        <f t="shared" si="0"/>
        <v>100</v>
      </c>
      <c r="R23" s="82">
        <f t="shared" si="0"/>
        <v>100</v>
      </c>
      <c r="S23" s="82">
        <f t="shared" si="0"/>
        <v>100</v>
      </c>
      <c r="T23" s="82">
        <f t="shared" si="0"/>
        <v>100</v>
      </c>
      <c r="U23" s="82">
        <f t="shared" si="0"/>
        <v>100</v>
      </c>
      <c r="V23" s="82">
        <f t="shared" si="0"/>
        <v>100</v>
      </c>
      <c r="W23" s="82">
        <f t="shared" si="0"/>
        <v>100</v>
      </c>
      <c r="X23" s="82">
        <f t="shared" si="0"/>
        <v>100</v>
      </c>
      <c r="Y23" s="82">
        <f t="shared" si="0"/>
        <v>100</v>
      </c>
      <c r="Z23" s="82">
        <f t="shared" si="0"/>
        <v>100</v>
      </c>
      <c r="AA23" s="82">
        <f t="shared" si="0"/>
        <v>100</v>
      </c>
      <c r="AB23" s="82">
        <f t="shared" si="0"/>
        <v>100</v>
      </c>
      <c r="AC23" s="82">
        <f t="shared" si="0"/>
        <v>100</v>
      </c>
      <c r="AD23" s="82">
        <f t="shared" si="0"/>
        <v>100</v>
      </c>
      <c r="AE23" s="82">
        <f t="shared" si="0"/>
        <v>100</v>
      </c>
      <c r="AF23" s="82">
        <f t="shared" si="0"/>
        <v>100</v>
      </c>
      <c r="AG23" s="82">
        <f t="shared" si="0"/>
        <v>100</v>
      </c>
      <c r="AH23" s="82">
        <f t="shared" si="0"/>
        <v>100</v>
      </c>
      <c r="AI23" s="82">
        <f t="shared" si="0"/>
        <v>100</v>
      </c>
      <c r="AJ23" s="82">
        <f t="shared" si="0"/>
        <v>100</v>
      </c>
    </row>
    <row r="24" spans="1:36" x14ac:dyDescent="0.25">
      <c r="A24" t="s">
        <v>543</v>
      </c>
      <c r="B24" t="s">
        <v>309</v>
      </c>
      <c r="C24" s="26">
        <v>11</v>
      </c>
      <c r="D24" s="26">
        <v>11</v>
      </c>
      <c r="E24" s="26">
        <v>11</v>
      </c>
      <c r="F24" s="26">
        <v>11</v>
      </c>
      <c r="G24" s="26">
        <v>11</v>
      </c>
      <c r="H24" s="26">
        <v>11</v>
      </c>
      <c r="I24" s="26">
        <v>11</v>
      </c>
      <c r="J24" s="26">
        <v>11</v>
      </c>
      <c r="K24" s="26">
        <v>11</v>
      </c>
      <c r="L24" s="26">
        <v>11</v>
      </c>
      <c r="M24" s="26">
        <v>11</v>
      </c>
      <c r="N24" s="26">
        <v>11</v>
      </c>
      <c r="O24" s="26">
        <v>11</v>
      </c>
      <c r="P24" s="26">
        <v>11</v>
      </c>
      <c r="Q24" s="26">
        <v>11</v>
      </c>
      <c r="R24" s="26">
        <v>11</v>
      </c>
      <c r="S24" s="26">
        <v>11</v>
      </c>
      <c r="T24" s="26">
        <v>11</v>
      </c>
      <c r="U24" s="26">
        <v>11</v>
      </c>
      <c r="V24" s="26">
        <v>11</v>
      </c>
      <c r="W24" s="26">
        <v>11</v>
      </c>
      <c r="X24" s="26">
        <v>11</v>
      </c>
      <c r="Y24" s="26">
        <v>11</v>
      </c>
      <c r="Z24" s="26">
        <v>11</v>
      </c>
      <c r="AA24" s="26">
        <v>11</v>
      </c>
      <c r="AB24" s="26">
        <v>11</v>
      </c>
      <c r="AC24" s="26">
        <v>11</v>
      </c>
      <c r="AD24" s="26">
        <v>11</v>
      </c>
      <c r="AE24" s="26">
        <v>11</v>
      </c>
      <c r="AF24" s="26">
        <v>11</v>
      </c>
      <c r="AG24" s="26">
        <v>11</v>
      </c>
      <c r="AH24" s="26">
        <v>11</v>
      </c>
      <c r="AI24" s="26">
        <v>11</v>
      </c>
      <c r="AJ24" s="26">
        <v>11</v>
      </c>
    </row>
    <row r="25" spans="1:36" x14ac:dyDescent="0.25">
      <c r="A25" t="s">
        <v>544</v>
      </c>
      <c r="B25" t="s">
        <v>309</v>
      </c>
      <c r="C25" s="26">
        <v>0</v>
      </c>
      <c r="D25" s="26">
        <v>0</v>
      </c>
      <c r="E25" s="26">
        <v>0</v>
      </c>
      <c r="F25" s="26">
        <v>0</v>
      </c>
      <c r="G25" s="26">
        <v>0</v>
      </c>
      <c r="H25" s="26">
        <v>0</v>
      </c>
      <c r="I25" s="26">
        <v>0</v>
      </c>
      <c r="J25" s="26">
        <v>0</v>
      </c>
      <c r="K25" s="26">
        <v>0</v>
      </c>
      <c r="L25" s="26">
        <v>0</v>
      </c>
      <c r="M25" s="26">
        <v>0</v>
      </c>
      <c r="N25" s="26">
        <v>0</v>
      </c>
      <c r="O25" s="26">
        <v>0</v>
      </c>
      <c r="P25" s="26">
        <v>0</v>
      </c>
      <c r="Q25" s="26">
        <v>0</v>
      </c>
      <c r="R25" s="26">
        <v>0</v>
      </c>
      <c r="S25" s="26">
        <v>0</v>
      </c>
      <c r="T25" s="26">
        <v>0</v>
      </c>
      <c r="U25" s="26">
        <v>0</v>
      </c>
      <c r="V25" s="26">
        <v>0</v>
      </c>
      <c r="W25" s="26">
        <v>0</v>
      </c>
      <c r="X25" s="26">
        <v>0</v>
      </c>
      <c r="Y25" s="26">
        <v>0</v>
      </c>
      <c r="Z25" s="26">
        <v>0</v>
      </c>
      <c r="AA25" s="26">
        <v>0</v>
      </c>
      <c r="AB25" s="26">
        <v>0</v>
      </c>
      <c r="AC25" s="26">
        <v>0</v>
      </c>
      <c r="AD25" s="26">
        <v>0</v>
      </c>
      <c r="AE25" s="26">
        <v>0</v>
      </c>
      <c r="AF25" s="26">
        <v>0</v>
      </c>
      <c r="AG25" s="26">
        <v>0</v>
      </c>
      <c r="AH25" s="26">
        <v>0</v>
      </c>
      <c r="AI25" s="26">
        <v>0</v>
      </c>
      <c r="AJ25" s="26">
        <v>0</v>
      </c>
    </row>
    <row r="26" spans="1:36" x14ac:dyDescent="0.25">
      <c r="A26" t="s">
        <v>545</v>
      </c>
      <c r="B26" t="s">
        <v>309</v>
      </c>
      <c r="C26" s="26">
        <v>8</v>
      </c>
      <c r="D26" s="26">
        <v>8</v>
      </c>
      <c r="E26" s="26">
        <v>8</v>
      </c>
      <c r="F26" s="26">
        <v>8</v>
      </c>
      <c r="G26" s="26">
        <v>8</v>
      </c>
      <c r="H26" s="26">
        <v>8</v>
      </c>
      <c r="I26" s="26">
        <v>8</v>
      </c>
      <c r="J26" s="26">
        <v>8</v>
      </c>
      <c r="K26" s="26">
        <v>8</v>
      </c>
      <c r="L26" s="26">
        <v>8</v>
      </c>
      <c r="M26" s="26">
        <v>8</v>
      </c>
      <c r="N26" s="26">
        <v>8</v>
      </c>
      <c r="O26" s="26">
        <v>8</v>
      </c>
      <c r="P26" s="26">
        <v>8</v>
      </c>
      <c r="Q26" s="26">
        <v>8</v>
      </c>
      <c r="R26" s="26">
        <v>8</v>
      </c>
      <c r="S26" s="26">
        <v>8</v>
      </c>
      <c r="T26" s="26">
        <v>8</v>
      </c>
      <c r="U26" s="26">
        <v>8</v>
      </c>
      <c r="V26" s="26">
        <v>8</v>
      </c>
      <c r="W26" s="26">
        <v>8</v>
      </c>
      <c r="X26" s="26">
        <v>8</v>
      </c>
      <c r="Y26" s="26">
        <v>8</v>
      </c>
      <c r="Z26" s="26">
        <v>8</v>
      </c>
      <c r="AA26" s="26">
        <v>8</v>
      </c>
      <c r="AB26" s="26">
        <v>8</v>
      </c>
      <c r="AC26" s="26">
        <v>8</v>
      </c>
      <c r="AD26" s="26">
        <v>8</v>
      </c>
      <c r="AE26" s="26">
        <v>8</v>
      </c>
      <c r="AF26" s="26">
        <v>8</v>
      </c>
      <c r="AG26" s="26">
        <v>8</v>
      </c>
      <c r="AH26" s="26">
        <v>8</v>
      </c>
      <c r="AI26" s="26">
        <v>8</v>
      </c>
      <c r="AJ26" s="26">
        <v>8</v>
      </c>
    </row>
    <row r="27" spans="1:36" x14ac:dyDescent="0.25">
      <c r="A27" t="s">
        <v>546</v>
      </c>
      <c r="B27" t="s">
        <v>309</v>
      </c>
      <c r="C27" s="26">
        <v>10</v>
      </c>
      <c r="D27" s="26">
        <v>10</v>
      </c>
      <c r="E27" s="26">
        <v>10</v>
      </c>
      <c r="F27" s="26">
        <v>10</v>
      </c>
      <c r="G27" s="26">
        <v>10</v>
      </c>
      <c r="H27" s="26">
        <v>10</v>
      </c>
      <c r="I27" s="26">
        <v>10</v>
      </c>
      <c r="J27" s="26">
        <v>10</v>
      </c>
      <c r="K27" s="26">
        <v>10</v>
      </c>
      <c r="L27" s="26">
        <v>10</v>
      </c>
      <c r="M27" s="26">
        <v>10</v>
      </c>
      <c r="N27" s="26">
        <v>10</v>
      </c>
      <c r="O27" s="26">
        <v>10</v>
      </c>
      <c r="P27" s="26">
        <v>10</v>
      </c>
      <c r="Q27" s="26">
        <v>10</v>
      </c>
      <c r="R27" s="26">
        <v>10</v>
      </c>
      <c r="S27" s="26">
        <v>10</v>
      </c>
      <c r="T27" s="26">
        <v>10</v>
      </c>
      <c r="U27" s="26">
        <v>10</v>
      </c>
      <c r="V27" s="26">
        <v>10</v>
      </c>
      <c r="W27" s="26">
        <v>10</v>
      </c>
      <c r="X27" s="26">
        <v>10</v>
      </c>
      <c r="Y27" s="26">
        <v>10</v>
      </c>
      <c r="Z27" s="26">
        <v>10</v>
      </c>
      <c r="AA27" s="26">
        <v>10</v>
      </c>
      <c r="AB27" s="26">
        <v>10</v>
      </c>
      <c r="AC27" s="26">
        <v>10</v>
      </c>
      <c r="AD27" s="26">
        <v>10</v>
      </c>
      <c r="AE27" s="26">
        <v>10</v>
      </c>
      <c r="AF27" s="26">
        <v>10</v>
      </c>
      <c r="AG27" s="26">
        <v>10</v>
      </c>
      <c r="AH27" s="26">
        <v>10</v>
      </c>
      <c r="AI27" s="26">
        <v>10</v>
      </c>
      <c r="AJ27" s="26">
        <v>10</v>
      </c>
    </row>
    <row r="28" spans="1:36" x14ac:dyDescent="0.25">
      <c r="A28" t="s">
        <v>547</v>
      </c>
      <c r="B28" t="s">
        <v>309</v>
      </c>
      <c r="C28" s="26">
        <v>3</v>
      </c>
      <c r="D28" s="26">
        <v>3</v>
      </c>
      <c r="E28" s="26">
        <v>3</v>
      </c>
      <c r="F28" s="26">
        <v>3</v>
      </c>
      <c r="G28" s="26">
        <v>3</v>
      </c>
      <c r="H28" s="26">
        <v>3</v>
      </c>
      <c r="I28" s="26">
        <v>3</v>
      </c>
      <c r="J28" s="26">
        <v>3</v>
      </c>
      <c r="K28" s="26">
        <v>3</v>
      </c>
      <c r="L28" s="26">
        <v>3</v>
      </c>
      <c r="M28" s="26">
        <v>3</v>
      </c>
      <c r="N28" s="26">
        <v>3</v>
      </c>
      <c r="O28" s="26">
        <v>3</v>
      </c>
      <c r="P28" s="26">
        <v>3</v>
      </c>
      <c r="Q28" s="26">
        <v>3</v>
      </c>
      <c r="R28" s="26">
        <v>3</v>
      </c>
      <c r="S28" s="26">
        <v>3</v>
      </c>
      <c r="T28" s="26">
        <v>3</v>
      </c>
      <c r="U28" s="26">
        <v>3</v>
      </c>
      <c r="V28" s="26">
        <v>3</v>
      </c>
      <c r="W28" s="26">
        <v>3</v>
      </c>
      <c r="X28" s="26">
        <v>3</v>
      </c>
      <c r="Y28" s="26">
        <v>3</v>
      </c>
      <c r="Z28" s="26">
        <v>3</v>
      </c>
      <c r="AA28" s="26">
        <v>3</v>
      </c>
      <c r="AB28" s="26">
        <v>3</v>
      </c>
      <c r="AC28" s="26">
        <v>3</v>
      </c>
      <c r="AD28" s="26">
        <v>3</v>
      </c>
      <c r="AE28" s="26">
        <v>3</v>
      </c>
      <c r="AF28" s="26">
        <v>3</v>
      </c>
      <c r="AG28" s="26">
        <v>3</v>
      </c>
      <c r="AH28" s="26">
        <v>3</v>
      </c>
      <c r="AI28" s="26">
        <v>3</v>
      </c>
      <c r="AJ28" s="26">
        <v>3</v>
      </c>
    </row>
    <row r="29" spans="1:36" x14ac:dyDescent="0.25">
      <c r="A29" t="s">
        <v>548</v>
      </c>
      <c r="B29" t="s">
        <v>309</v>
      </c>
      <c r="C29" s="26">
        <v>0</v>
      </c>
      <c r="D29" s="26">
        <v>0</v>
      </c>
      <c r="E29" s="26">
        <v>0</v>
      </c>
      <c r="F29" s="26">
        <v>0</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row>
    <row r="30" spans="1:36" x14ac:dyDescent="0.25">
      <c r="A30" t="s">
        <v>549</v>
      </c>
      <c r="B30" t="s">
        <v>309</v>
      </c>
      <c r="C30" s="26">
        <v>8</v>
      </c>
      <c r="D30" s="26">
        <v>8</v>
      </c>
      <c r="E30" s="26">
        <v>8</v>
      </c>
      <c r="F30" s="26">
        <v>8</v>
      </c>
      <c r="G30" s="26">
        <v>8</v>
      </c>
      <c r="H30" s="26">
        <v>8</v>
      </c>
      <c r="I30" s="26">
        <v>8</v>
      </c>
      <c r="J30" s="26">
        <v>8</v>
      </c>
      <c r="K30" s="26">
        <v>8</v>
      </c>
      <c r="L30" s="26">
        <v>8</v>
      </c>
      <c r="M30" s="26">
        <v>8</v>
      </c>
      <c r="N30" s="26">
        <v>8</v>
      </c>
      <c r="O30" s="26">
        <v>8</v>
      </c>
      <c r="P30" s="26">
        <v>8</v>
      </c>
      <c r="Q30" s="26">
        <v>8</v>
      </c>
      <c r="R30" s="26">
        <v>8</v>
      </c>
      <c r="S30" s="26">
        <v>8</v>
      </c>
      <c r="T30" s="26">
        <v>8</v>
      </c>
      <c r="U30" s="26">
        <v>8</v>
      </c>
      <c r="V30" s="26">
        <v>8</v>
      </c>
      <c r="W30" s="26">
        <v>8</v>
      </c>
      <c r="X30" s="26">
        <v>8</v>
      </c>
      <c r="Y30" s="26">
        <v>8</v>
      </c>
      <c r="Z30" s="26">
        <v>8</v>
      </c>
      <c r="AA30" s="26">
        <v>8</v>
      </c>
      <c r="AB30" s="26">
        <v>8</v>
      </c>
      <c r="AC30" s="26">
        <v>8</v>
      </c>
      <c r="AD30" s="26">
        <v>8</v>
      </c>
      <c r="AE30" s="26">
        <v>8</v>
      </c>
      <c r="AF30" s="26">
        <v>8</v>
      </c>
      <c r="AG30" s="26">
        <v>8</v>
      </c>
      <c r="AH30" s="26">
        <v>8</v>
      </c>
      <c r="AI30" s="26">
        <v>8</v>
      </c>
      <c r="AJ30" s="26">
        <v>8</v>
      </c>
    </row>
    <row r="31" spans="1:36" x14ac:dyDescent="0.25">
      <c r="A31" t="s">
        <v>550</v>
      </c>
      <c r="B31" t="s">
        <v>309</v>
      </c>
      <c r="C31" s="26">
        <v>0</v>
      </c>
      <c r="D31" s="26">
        <v>0</v>
      </c>
      <c r="E31" s="26">
        <v>0</v>
      </c>
      <c r="F31" s="26">
        <v>0</v>
      </c>
      <c r="G31" s="26">
        <v>0</v>
      </c>
      <c r="H31" s="26">
        <v>0</v>
      </c>
      <c r="I31" s="26">
        <v>0</v>
      </c>
      <c r="J31" s="26">
        <v>0</v>
      </c>
      <c r="K31" s="26">
        <v>0</v>
      </c>
      <c r="L31" s="26">
        <v>0</v>
      </c>
      <c r="M31" s="26">
        <v>0</v>
      </c>
      <c r="N31" s="26">
        <v>0</v>
      </c>
      <c r="O31" s="26">
        <v>0</v>
      </c>
      <c r="P31" s="26">
        <v>0</v>
      </c>
      <c r="Q31" s="26">
        <v>0</v>
      </c>
      <c r="R31" s="26">
        <v>0</v>
      </c>
      <c r="S31" s="26">
        <v>0</v>
      </c>
      <c r="T31" s="26">
        <v>0</v>
      </c>
      <c r="U31" s="26">
        <v>0</v>
      </c>
      <c r="V31" s="26">
        <v>0</v>
      </c>
      <c r="W31" s="26">
        <v>0</v>
      </c>
      <c r="X31" s="26">
        <v>0</v>
      </c>
      <c r="Y31" s="26">
        <v>0</v>
      </c>
      <c r="Z31" s="26">
        <v>0</v>
      </c>
      <c r="AA31" s="26">
        <v>0</v>
      </c>
      <c r="AB31" s="26">
        <v>0</v>
      </c>
      <c r="AC31" s="26">
        <v>0</v>
      </c>
      <c r="AD31" s="26">
        <v>0</v>
      </c>
      <c r="AE31" s="26">
        <v>0</v>
      </c>
      <c r="AF31" s="26">
        <v>0</v>
      </c>
      <c r="AG31" s="26">
        <v>0</v>
      </c>
      <c r="AH31" s="26">
        <v>0</v>
      </c>
      <c r="AI31" s="26">
        <v>0</v>
      </c>
      <c r="AJ31" s="26">
        <v>0</v>
      </c>
    </row>
    <row r="32" spans="1:36" x14ac:dyDescent="0.25">
      <c r="A32" t="s">
        <v>551</v>
      </c>
      <c r="B32" t="s">
        <v>309</v>
      </c>
      <c r="C32" s="26">
        <v>0</v>
      </c>
      <c r="D32" s="26">
        <v>0</v>
      </c>
      <c r="E32" s="26">
        <v>0</v>
      </c>
      <c r="F32" s="26">
        <v>0</v>
      </c>
      <c r="G32" s="26">
        <v>0</v>
      </c>
      <c r="H32" s="26">
        <v>0</v>
      </c>
      <c r="I32" s="26">
        <v>0</v>
      </c>
      <c r="J32" s="26">
        <v>0</v>
      </c>
      <c r="K32" s="26">
        <v>0</v>
      </c>
      <c r="L32" s="26">
        <v>0</v>
      </c>
      <c r="M32" s="26">
        <v>0</v>
      </c>
      <c r="N32" s="26">
        <v>0</v>
      </c>
      <c r="O32" s="26">
        <v>0</v>
      </c>
      <c r="P32" s="26">
        <v>0</v>
      </c>
      <c r="Q32" s="26">
        <v>0</v>
      </c>
      <c r="R32" s="26">
        <v>0</v>
      </c>
      <c r="S32" s="26">
        <v>0</v>
      </c>
      <c r="T32" s="26">
        <v>0</v>
      </c>
      <c r="U32" s="26">
        <v>0</v>
      </c>
      <c r="V32" s="26">
        <v>0</v>
      </c>
      <c r="W32" s="26">
        <v>0</v>
      </c>
      <c r="X32" s="26">
        <v>0</v>
      </c>
      <c r="Y32" s="26">
        <v>0</v>
      </c>
      <c r="Z32" s="26">
        <v>0</v>
      </c>
      <c r="AA32" s="26">
        <v>0</v>
      </c>
      <c r="AB32" s="26">
        <v>0</v>
      </c>
      <c r="AC32" s="26">
        <v>0</v>
      </c>
      <c r="AD32" s="26">
        <v>0</v>
      </c>
      <c r="AE32" s="26">
        <v>0</v>
      </c>
      <c r="AF32" s="26">
        <v>0</v>
      </c>
      <c r="AG32" s="26">
        <v>0</v>
      </c>
      <c r="AH32" s="26">
        <v>0</v>
      </c>
      <c r="AI32" s="26">
        <v>0</v>
      </c>
      <c r="AJ32" s="26">
        <v>0</v>
      </c>
    </row>
    <row r="33" spans="1:36" x14ac:dyDescent="0.25">
      <c r="A33" t="s">
        <v>552</v>
      </c>
      <c r="B33" t="s">
        <v>309</v>
      </c>
      <c r="C33" s="26">
        <v>60</v>
      </c>
      <c r="D33" s="26">
        <v>60</v>
      </c>
      <c r="E33" s="26">
        <v>60</v>
      </c>
      <c r="F33" s="26">
        <v>60</v>
      </c>
      <c r="G33" s="26">
        <v>60</v>
      </c>
      <c r="H33" s="26">
        <v>60</v>
      </c>
      <c r="I33" s="26">
        <v>60</v>
      </c>
      <c r="J33" s="26">
        <v>60</v>
      </c>
      <c r="K33" s="26">
        <v>60</v>
      </c>
      <c r="L33" s="26">
        <v>60</v>
      </c>
      <c r="M33" s="26">
        <v>60</v>
      </c>
      <c r="N33" s="26">
        <v>60</v>
      </c>
      <c r="O33" s="26">
        <v>60</v>
      </c>
      <c r="P33" s="26">
        <v>60</v>
      </c>
      <c r="Q33" s="26">
        <v>60</v>
      </c>
      <c r="R33" s="26">
        <v>60</v>
      </c>
      <c r="S33" s="26">
        <v>60</v>
      </c>
      <c r="T33" s="26">
        <v>60</v>
      </c>
      <c r="U33" s="26">
        <v>60</v>
      </c>
      <c r="V33" s="26">
        <v>60</v>
      </c>
      <c r="W33" s="26">
        <v>60</v>
      </c>
      <c r="X33" s="26">
        <v>60</v>
      </c>
      <c r="Y33" s="26">
        <v>60</v>
      </c>
      <c r="Z33" s="26">
        <v>60</v>
      </c>
      <c r="AA33" s="26">
        <v>60</v>
      </c>
      <c r="AB33" s="26">
        <v>60</v>
      </c>
      <c r="AC33" s="26">
        <v>60</v>
      </c>
      <c r="AD33" s="26">
        <v>60</v>
      </c>
      <c r="AE33" s="26">
        <v>60</v>
      </c>
      <c r="AF33" s="26">
        <v>60</v>
      </c>
      <c r="AG33" s="26">
        <v>60</v>
      </c>
      <c r="AH33" s="26">
        <v>60</v>
      </c>
      <c r="AI33" s="26">
        <v>60</v>
      </c>
      <c r="AJ33" s="26">
        <v>60</v>
      </c>
    </row>
    <row r="34" spans="1:36" x14ac:dyDescent="0.25">
      <c r="A34" t="s">
        <v>855</v>
      </c>
      <c r="B34" t="s">
        <v>309</v>
      </c>
      <c r="C34" s="26">
        <v>0</v>
      </c>
      <c r="D34" s="26">
        <v>0</v>
      </c>
      <c r="E34" s="26">
        <v>0</v>
      </c>
      <c r="F34" s="26">
        <v>0</v>
      </c>
      <c r="G34" s="26">
        <v>0</v>
      </c>
      <c r="H34" s="26">
        <v>0</v>
      </c>
      <c r="I34" s="26">
        <v>0</v>
      </c>
      <c r="J34" s="26">
        <v>0</v>
      </c>
      <c r="K34" s="26">
        <v>0</v>
      </c>
      <c r="L34" s="26">
        <v>0</v>
      </c>
      <c r="M34" s="26">
        <v>0</v>
      </c>
      <c r="N34" s="26">
        <v>0</v>
      </c>
      <c r="O34" s="26">
        <v>0</v>
      </c>
      <c r="P34" s="26">
        <v>0</v>
      </c>
      <c r="Q34" s="26">
        <v>0</v>
      </c>
      <c r="R34" s="26">
        <v>0</v>
      </c>
      <c r="S34" s="26">
        <v>0</v>
      </c>
      <c r="T34" s="26">
        <v>0</v>
      </c>
      <c r="U34" s="26">
        <v>0</v>
      </c>
      <c r="V34" s="26">
        <v>0</v>
      </c>
      <c r="W34" s="26">
        <v>0</v>
      </c>
      <c r="X34" s="26">
        <v>0</v>
      </c>
      <c r="Y34" s="26">
        <v>0</v>
      </c>
      <c r="Z34" s="26">
        <v>0</v>
      </c>
      <c r="AA34" s="26">
        <v>0</v>
      </c>
      <c r="AB34" s="26">
        <v>0</v>
      </c>
      <c r="AC34" s="26">
        <v>0</v>
      </c>
      <c r="AD34" s="26">
        <v>0</v>
      </c>
      <c r="AE34" s="26">
        <v>0</v>
      </c>
      <c r="AF34" s="26">
        <v>0</v>
      </c>
      <c r="AG34" s="26">
        <v>0</v>
      </c>
      <c r="AH34" s="26">
        <v>0</v>
      </c>
      <c r="AI34" s="26">
        <v>0</v>
      </c>
      <c r="AJ34" s="26">
        <v>0</v>
      </c>
    </row>
    <row r="35" spans="1:36" s="81" customFormat="1" x14ac:dyDescent="0.25">
      <c r="A35" s="81" t="s">
        <v>882</v>
      </c>
      <c r="C35" s="82">
        <f>+SUM(C24:C34)</f>
        <v>100</v>
      </c>
      <c r="D35" s="82">
        <f t="shared" ref="D35" si="1">+SUM(D24:D34)</f>
        <v>100</v>
      </c>
      <c r="E35" s="82">
        <f t="shared" ref="E35" si="2">+SUM(E24:E34)</f>
        <v>100</v>
      </c>
      <c r="F35" s="82">
        <f t="shared" ref="F35" si="3">+SUM(F24:F34)</f>
        <v>100</v>
      </c>
      <c r="G35" s="82">
        <f t="shared" ref="G35" si="4">+SUM(G24:G34)</f>
        <v>100</v>
      </c>
      <c r="H35" s="82">
        <f t="shared" ref="H35" si="5">+SUM(H24:H34)</f>
        <v>100</v>
      </c>
      <c r="I35" s="82">
        <f t="shared" ref="I35" si="6">+SUM(I24:I34)</f>
        <v>100</v>
      </c>
      <c r="J35" s="82">
        <f t="shared" ref="J35" si="7">+SUM(J24:J34)</f>
        <v>100</v>
      </c>
      <c r="K35" s="82">
        <f t="shared" ref="K35" si="8">+SUM(K24:K34)</f>
        <v>100</v>
      </c>
      <c r="L35" s="82">
        <f t="shared" ref="L35" si="9">+SUM(L24:L34)</f>
        <v>100</v>
      </c>
      <c r="M35" s="82">
        <f t="shared" ref="M35" si="10">+SUM(M24:M34)</f>
        <v>100</v>
      </c>
      <c r="N35" s="82">
        <f t="shared" ref="N35" si="11">+SUM(N24:N34)</f>
        <v>100</v>
      </c>
      <c r="O35" s="82">
        <f t="shared" ref="O35" si="12">+SUM(O24:O34)</f>
        <v>100</v>
      </c>
      <c r="P35" s="82">
        <f t="shared" ref="P35" si="13">+SUM(P24:P34)</f>
        <v>100</v>
      </c>
      <c r="Q35" s="82">
        <f t="shared" ref="Q35" si="14">+SUM(Q24:Q34)</f>
        <v>100</v>
      </c>
      <c r="R35" s="82">
        <f t="shared" ref="R35" si="15">+SUM(R24:R34)</f>
        <v>100</v>
      </c>
      <c r="S35" s="82">
        <f t="shared" ref="S35" si="16">+SUM(S24:S34)</f>
        <v>100</v>
      </c>
      <c r="T35" s="82">
        <f t="shared" ref="T35" si="17">+SUM(T24:T34)</f>
        <v>100</v>
      </c>
      <c r="U35" s="82">
        <f t="shared" ref="U35" si="18">+SUM(U24:U34)</f>
        <v>100</v>
      </c>
      <c r="V35" s="82">
        <f t="shared" ref="V35" si="19">+SUM(V24:V34)</f>
        <v>100</v>
      </c>
      <c r="W35" s="82">
        <f t="shared" ref="W35" si="20">+SUM(W24:W34)</f>
        <v>100</v>
      </c>
      <c r="X35" s="82">
        <f t="shared" ref="X35" si="21">+SUM(X24:X34)</f>
        <v>100</v>
      </c>
      <c r="Y35" s="82">
        <f t="shared" ref="Y35" si="22">+SUM(Y24:Y34)</f>
        <v>100</v>
      </c>
      <c r="Z35" s="82">
        <f t="shared" ref="Z35" si="23">+SUM(Z24:Z34)</f>
        <v>100</v>
      </c>
      <c r="AA35" s="82">
        <f t="shared" ref="AA35" si="24">+SUM(AA24:AA34)</f>
        <v>100</v>
      </c>
      <c r="AB35" s="82">
        <f t="shared" ref="AB35" si="25">+SUM(AB24:AB34)</f>
        <v>100</v>
      </c>
      <c r="AC35" s="82">
        <f t="shared" ref="AC35" si="26">+SUM(AC24:AC34)</f>
        <v>100</v>
      </c>
      <c r="AD35" s="82">
        <f t="shared" ref="AD35" si="27">+SUM(AD24:AD34)</f>
        <v>100</v>
      </c>
      <c r="AE35" s="82">
        <f t="shared" ref="AE35" si="28">+SUM(AE24:AE34)</f>
        <v>100</v>
      </c>
      <c r="AF35" s="82">
        <f t="shared" ref="AF35" si="29">+SUM(AF24:AF34)</f>
        <v>100</v>
      </c>
      <c r="AG35" s="82">
        <f t="shared" ref="AG35" si="30">+SUM(AG24:AG34)</f>
        <v>100</v>
      </c>
      <c r="AH35" s="82">
        <f t="shared" ref="AH35" si="31">+SUM(AH24:AH34)</f>
        <v>100</v>
      </c>
      <c r="AI35" s="82">
        <f t="shared" ref="AI35" si="32">+SUM(AI24:AI34)</f>
        <v>100</v>
      </c>
      <c r="AJ35" s="82">
        <f t="shared" ref="AJ35" si="33">+SUM(AJ24:AJ34)</f>
        <v>100</v>
      </c>
    </row>
    <row r="36" spans="1:36" x14ac:dyDescent="0.25">
      <c r="A36" t="s">
        <v>553</v>
      </c>
      <c r="B36" t="s">
        <v>309</v>
      </c>
      <c r="C36" s="26">
        <v>0</v>
      </c>
      <c r="D36" s="26">
        <v>0</v>
      </c>
      <c r="E36" s="26">
        <v>0</v>
      </c>
      <c r="F36" s="26">
        <v>0</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v>
      </c>
      <c r="AB36" s="26">
        <v>0</v>
      </c>
      <c r="AC36" s="26">
        <v>0</v>
      </c>
      <c r="AD36" s="26">
        <v>0</v>
      </c>
      <c r="AE36" s="26">
        <v>0</v>
      </c>
      <c r="AF36" s="26">
        <v>0</v>
      </c>
      <c r="AG36" s="26">
        <v>0</v>
      </c>
      <c r="AH36" s="26">
        <v>0</v>
      </c>
      <c r="AI36" s="26">
        <v>0</v>
      </c>
      <c r="AJ36" s="26">
        <v>0</v>
      </c>
    </row>
    <row r="37" spans="1:36" x14ac:dyDescent="0.25">
      <c r="A37" t="s">
        <v>554</v>
      </c>
      <c r="B37" t="s">
        <v>309</v>
      </c>
      <c r="C37" s="26">
        <v>0</v>
      </c>
      <c r="D37" s="26">
        <v>0</v>
      </c>
      <c r="E37" s="26">
        <v>0</v>
      </c>
      <c r="F37" s="26">
        <v>0</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0</v>
      </c>
      <c r="AB37" s="26">
        <v>0</v>
      </c>
      <c r="AC37" s="26">
        <v>0</v>
      </c>
      <c r="AD37" s="26">
        <v>0</v>
      </c>
      <c r="AE37" s="26">
        <v>0</v>
      </c>
      <c r="AF37" s="26">
        <v>0</v>
      </c>
      <c r="AG37" s="26">
        <v>0</v>
      </c>
      <c r="AH37" s="26">
        <v>0</v>
      </c>
      <c r="AI37" s="26">
        <v>0</v>
      </c>
      <c r="AJ37" s="26">
        <v>0</v>
      </c>
    </row>
    <row r="38" spans="1:36" x14ac:dyDescent="0.25">
      <c r="A38" t="s">
        <v>555</v>
      </c>
      <c r="B38" t="s">
        <v>309</v>
      </c>
      <c r="C38" s="26">
        <v>0</v>
      </c>
      <c r="D38" s="26">
        <v>0</v>
      </c>
      <c r="E38" s="26">
        <v>0</v>
      </c>
      <c r="F38" s="26">
        <v>0</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v>
      </c>
      <c r="AI38" s="26">
        <v>0</v>
      </c>
      <c r="AJ38" s="26">
        <v>0</v>
      </c>
    </row>
    <row r="39" spans="1:36" x14ac:dyDescent="0.25">
      <c r="A39" t="s">
        <v>556</v>
      </c>
      <c r="B39" t="s">
        <v>309</v>
      </c>
      <c r="C39" s="26">
        <v>2</v>
      </c>
      <c r="D39" s="26">
        <v>2</v>
      </c>
      <c r="E39" s="26">
        <v>2</v>
      </c>
      <c r="F39" s="26">
        <v>2</v>
      </c>
      <c r="G39" s="26">
        <v>2</v>
      </c>
      <c r="H39" s="26">
        <v>2</v>
      </c>
      <c r="I39" s="26">
        <v>2</v>
      </c>
      <c r="J39" s="26">
        <v>2</v>
      </c>
      <c r="K39" s="26">
        <v>2</v>
      </c>
      <c r="L39" s="26">
        <v>2</v>
      </c>
      <c r="M39" s="26">
        <v>2</v>
      </c>
      <c r="N39" s="26">
        <v>2</v>
      </c>
      <c r="O39" s="26">
        <v>2</v>
      </c>
      <c r="P39" s="26">
        <v>2</v>
      </c>
      <c r="Q39" s="26">
        <v>2</v>
      </c>
      <c r="R39" s="26">
        <v>2</v>
      </c>
      <c r="S39" s="26">
        <v>2</v>
      </c>
      <c r="T39" s="26">
        <v>2</v>
      </c>
      <c r="U39" s="26">
        <v>2</v>
      </c>
      <c r="V39" s="26">
        <v>2</v>
      </c>
      <c r="W39" s="26">
        <v>2</v>
      </c>
      <c r="X39" s="26">
        <v>2</v>
      </c>
      <c r="Y39" s="26">
        <v>2</v>
      </c>
      <c r="Z39" s="26">
        <v>2</v>
      </c>
      <c r="AA39" s="26">
        <v>2</v>
      </c>
      <c r="AB39" s="26">
        <v>2</v>
      </c>
      <c r="AC39" s="26">
        <v>2</v>
      </c>
      <c r="AD39" s="26">
        <v>2</v>
      </c>
      <c r="AE39" s="26">
        <v>2</v>
      </c>
      <c r="AF39" s="26">
        <v>2</v>
      </c>
      <c r="AG39" s="26">
        <v>2</v>
      </c>
      <c r="AH39" s="26">
        <v>2</v>
      </c>
      <c r="AI39" s="26">
        <v>2</v>
      </c>
      <c r="AJ39" s="26">
        <v>2</v>
      </c>
    </row>
    <row r="40" spans="1:36" x14ac:dyDescent="0.25">
      <c r="A40" t="s">
        <v>557</v>
      </c>
      <c r="B40" t="s">
        <v>309</v>
      </c>
      <c r="C40" s="26">
        <v>1</v>
      </c>
      <c r="D40" s="26">
        <v>1</v>
      </c>
      <c r="E40" s="26">
        <v>1</v>
      </c>
      <c r="F40" s="26">
        <v>1</v>
      </c>
      <c r="G40" s="26">
        <v>1</v>
      </c>
      <c r="H40" s="26">
        <v>1</v>
      </c>
      <c r="I40" s="26">
        <v>1</v>
      </c>
      <c r="J40" s="26">
        <v>1</v>
      </c>
      <c r="K40" s="26">
        <v>1</v>
      </c>
      <c r="L40" s="26">
        <v>1</v>
      </c>
      <c r="M40" s="26">
        <v>1</v>
      </c>
      <c r="N40" s="26">
        <v>1</v>
      </c>
      <c r="O40" s="26">
        <v>1</v>
      </c>
      <c r="P40" s="26">
        <v>1</v>
      </c>
      <c r="Q40" s="26">
        <v>1</v>
      </c>
      <c r="R40" s="26">
        <v>1</v>
      </c>
      <c r="S40" s="26">
        <v>1</v>
      </c>
      <c r="T40" s="26">
        <v>1</v>
      </c>
      <c r="U40" s="26">
        <v>1</v>
      </c>
      <c r="V40" s="26">
        <v>1</v>
      </c>
      <c r="W40" s="26">
        <v>1</v>
      </c>
      <c r="X40" s="26">
        <v>1</v>
      </c>
      <c r="Y40" s="26">
        <v>1</v>
      </c>
      <c r="Z40" s="26">
        <v>1</v>
      </c>
      <c r="AA40" s="26">
        <v>1</v>
      </c>
      <c r="AB40" s="26">
        <v>1</v>
      </c>
      <c r="AC40" s="26">
        <v>1</v>
      </c>
      <c r="AD40" s="26">
        <v>1</v>
      </c>
      <c r="AE40" s="26">
        <v>1</v>
      </c>
      <c r="AF40" s="26">
        <v>1</v>
      </c>
      <c r="AG40" s="26">
        <v>1</v>
      </c>
      <c r="AH40" s="26">
        <v>1</v>
      </c>
      <c r="AI40" s="26">
        <v>1</v>
      </c>
      <c r="AJ40" s="26">
        <v>1</v>
      </c>
    </row>
    <row r="41" spans="1:36" x14ac:dyDescent="0.25">
      <c r="A41" t="s">
        <v>558</v>
      </c>
      <c r="B41" t="s">
        <v>309</v>
      </c>
      <c r="C41" s="26">
        <v>0</v>
      </c>
      <c r="D41" s="26">
        <v>0</v>
      </c>
      <c r="E41" s="26">
        <v>0</v>
      </c>
      <c r="F41" s="26">
        <v>0</v>
      </c>
      <c r="G41" s="26">
        <v>0</v>
      </c>
      <c r="H41" s="26">
        <v>0</v>
      </c>
      <c r="I41" s="26">
        <v>0</v>
      </c>
      <c r="J41" s="26">
        <v>0</v>
      </c>
      <c r="K41" s="26">
        <v>0</v>
      </c>
      <c r="L41" s="26">
        <v>0</v>
      </c>
      <c r="M41" s="26">
        <v>0</v>
      </c>
      <c r="N41" s="26">
        <v>0</v>
      </c>
      <c r="O41" s="26">
        <v>0</v>
      </c>
      <c r="P41" s="26">
        <v>0</v>
      </c>
      <c r="Q41" s="26">
        <v>0</v>
      </c>
      <c r="R41" s="26">
        <v>0</v>
      </c>
      <c r="S41" s="26">
        <v>0</v>
      </c>
      <c r="T41" s="26">
        <v>0</v>
      </c>
      <c r="U41" s="26">
        <v>0</v>
      </c>
      <c r="V41" s="26">
        <v>0</v>
      </c>
      <c r="W41" s="26">
        <v>0</v>
      </c>
      <c r="X41" s="26">
        <v>0</v>
      </c>
      <c r="Y41" s="26">
        <v>0</v>
      </c>
      <c r="Z41" s="26">
        <v>0</v>
      </c>
      <c r="AA41" s="26">
        <v>0</v>
      </c>
      <c r="AB41" s="26">
        <v>0</v>
      </c>
      <c r="AC41" s="26">
        <v>0</v>
      </c>
      <c r="AD41" s="26">
        <v>0</v>
      </c>
      <c r="AE41" s="26">
        <v>0</v>
      </c>
      <c r="AF41" s="26">
        <v>0</v>
      </c>
      <c r="AG41" s="26">
        <v>0</v>
      </c>
      <c r="AH41" s="26">
        <v>0</v>
      </c>
      <c r="AI41" s="26">
        <v>0</v>
      </c>
      <c r="AJ41" s="26">
        <v>0</v>
      </c>
    </row>
    <row r="42" spans="1:36" x14ac:dyDescent="0.25">
      <c r="A42" t="s">
        <v>559</v>
      </c>
      <c r="B42" t="s">
        <v>309</v>
      </c>
      <c r="C42" s="26">
        <v>2</v>
      </c>
      <c r="D42" s="26">
        <v>2</v>
      </c>
      <c r="E42" s="26">
        <v>2</v>
      </c>
      <c r="F42" s="26">
        <v>2</v>
      </c>
      <c r="G42" s="26">
        <v>2</v>
      </c>
      <c r="H42" s="26">
        <v>2</v>
      </c>
      <c r="I42" s="26">
        <v>2</v>
      </c>
      <c r="J42" s="26">
        <v>2</v>
      </c>
      <c r="K42" s="26">
        <v>2</v>
      </c>
      <c r="L42" s="26">
        <v>2</v>
      </c>
      <c r="M42" s="26">
        <v>2</v>
      </c>
      <c r="N42" s="26">
        <v>2</v>
      </c>
      <c r="O42" s="26">
        <v>2</v>
      </c>
      <c r="P42" s="26">
        <v>2</v>
      </c>
      <c r="Q42" s="26">
        <v>2</v>
      </c>
      <c r="R42" s="26">
        <v>2</v>
      </c>
      <c r="S42" s="26">
        <v>2</v>
      </c>
      <c r="T42" s="26">
        <v>2</v>
      </c>
      <c r="U42" s="26">
        <v>2</v>
      </c>
      <c r="V42" s="26">
        <v>2</v>
      </c>
      <c r="W42" s="26">
        <v>2</v>
      </c>
      <c r="X42" s="26">
        <v>2</v>
      </c>
      <c r="Y42" s="26">
        <v>2</v>
      </c>
      <c r="Z42" s="26">
        <v>2</v>
      </c>
      <c r="AA42" s="26">
        <v>2</v>
      </c>
      <c r="AB42" s="26">
        <v>2</v>
      </c>
      <c r="AC42" s="26">
        <v>2</v>
      </c>
      <c r="AD42" s="26">
        <v>2</v>
      </c>
      <c r="AE42" s="26">
        <v>2</v>
      </c>
      <c r="AF42" s="26">
        <v>2</v>
      </c>
      <c r="AG42" s="26">
        <v>2</v>
      </c>
      <c r="AH42" s="26">
        <v>2</v>
      </c>
      <c r="AI42" s="26">
        <v>2</v>
      </c>
      <c r="AJ42" s="26">
        <v>2</v>
      </c>
    </row>
    <row r="43" spans="1:36" x14ac:dyDescent="0.25">
      <c r="A43" t="s">
        <v>560</v>
      </c>
      <c r="B43" t="s">
        <v>309</v>
      </c>
      <c r="C43" s="26">
        <v>0</v>
      </c>
      <c r="D43" s="26">
        <v>0</v>
      </c>
      <c r="E43" s="26">
        <v>0</v>
      </c>
      <c r="F43" s="26">
        <v>0</v>
      </c>
      <c r="G43" s="26">
        <v>0</v>
      </c>
      <c r="H43" s="26">
        <v>0</v>
      </c>
      <c r="I43" s="26">
        <v>0</v>
      </c>
      <c r="J43" s="26">
        <v>0</v>
      </c>
      <c r="K43" s="26">
        <v>0</v>
      </c>
      <c r="L43" s="26">
        <v>0</v>
      </c>
      <c r="M43" s="26">
        <v>0</v>
      </c>
      <c r="N43" s="26">
        <v>0</v>
      </c>
      <c r="O43" s="26">
        <v>0</v>
      </c>
      <c r="P43" s="26">
        <v>0</v>
      </c>
      <c r="Q43" s="26">
        <v>0</v>
      </c>
      <c r="R43" s="26">
        <v>0</v>
      </c>
      <c r="S43" s="26">
        <v>0</v>
      </c>
      <c r="T43" s="26">
        <v>0</v>
      </c>
      <c r="U43" s="26">
        <v>0</v>
      </c>
      <c r="V43" s="26">
        <v>0</v>
      </c>
      <c r="W43" s="26">
        <v>0</v>
      </c>
      <c r="X43" s="26">
        <v>0</v>
      </c>
      <c r="Y43" s="26">
        <v>0</v>
      </c>
      <c r="Z43" s="26">
        <v>0</v>
      </c>
      <c r="AA43" s="26">
        <v>0</v>
      </c>
      <c r="AB43" s="26">
        <v>0</v>
      </c>
      <c r="AC43" s="26">
        <v>0</v>
      </c>
      <c r="AD43" s="26">
        <v>0</v>
      </c>
      <c r="AE43" s="26">
        <v>0</v>
      </c>
      <c r="AF43" s="26">
        <v>0</v>
      </c>
      <c r="AG43" s="26">
        <v>0</v>
      </c>
      <c r="AH43" s="26">
        <v>0</v>
      </c>
      <c r="AI43" s="26">
        <v>0</v>
      </c>
      <c r="AJ43" s="26">
        <v>0</v>
      </c>
    </row>
    <row r="44" spans="1:36" x14ac:dyDescent="0.25">
      <c r="A44" t="s">
        <v>561</v>
      </c>
      <c r="B44" t="s">
        <v>309</v>
      </c>
      <c r="C44" s="26">
        <v>0</v>
      </c>
      <c r="D44" s="26">
        <v>0</v>
      </c>
      <c r="E44" s="26">
        <v>0</v>
      </c>
      <c r="F44" s="26">
        <v>0</v>
      </c>
      <c r="G44" s="26">
        <v>0</v>
      </c>
      <c r="H44" s="26">
        <v>0</v>
      </c>
      <c r="I44" s="26">
        <v>0</v>
      </c>
      <c r="J44" s="26">
        <v>0</v>
      </c>
      <c r="K44" s="26">
        <v>0</v>
      </c>
      <c r="L44" s="26">
        <v>0</v>
      </c>
      <c r="M44" s="26">
        <v>0</v>
      </c>
      <c r="N44" s="26">
        <v>0</v>
      </c>
      <c r="O44" s="26">
        <v>0</v>
      </c>
      <c r="P44" s="26">
        <v>0</v>
      </c>
      <c r="Q44" s="26">
        <v>0</v>
      </c>
      <c r="R44" s="26">
        <v>0</v>
      </c>
      <c r="S44" s="26">
        <v>0</v>
      </c>
      <c r="T44" s="26">
        <v>0</v>
      </c>
      <c r="U44" s="26">
        <v>0</v>
      </c>
      <c r="V44" s="26">
        <v>0</v>
      </c>
      <c r="W44" s="26">
        <v>0</v>
      </c>
      <c r="X44" s="26">
        <v>0</v>
      </c>
      <c r="Y44" s="26">
        <v>0</v>
      </c>
      <c r="Z44" s="26">
        <v>0</v>
      </c>
      <c r="AA44" s="26">
        <v>0</v>
      </c>
      <c r="AB44" s="26">
        <v>0</v>
      </c>
      <c r="AC44" s="26">
        <v>0</v>
      </c>
      <c r="AD44" s="26">
        <v>0</v>
      </c>
      <c r="AE44" s="26">
        <v>0</v>
      </c>
      <c r="AF44" s="26">
        <v>0</v>
      </c>
      <c r="AG44" s="26">
        <v>0</v>
      </c>
      <c r="AH44" s="26">
        <v>0</v>
      </c>
      <c r="AI44" s="26">
        <v>0</v>
      </c>
      <c r="AJ44" s="26">
        <v>0</v>
      </c>
    </row>
    <row r="45" spans="1:36" x14ac:dyDescent="0.25">
      <c r="A45" t="s">
        <v>562</v>
      </c>
      <c r="B45" t="s">
        <v>309</v>
      </c>
      <c r="C45" s="26">
        <v>95</v>
      </c>
      <c r="D45" s="26">
        <v>95</v>
      </c>
      <c r="E45" s="26">
        <v>95</v>
      </c>
      <c r="F45" s="26">
        <v>95</v>
      </c>
      <c r="G45" s="26">
        <v>95</v>
      </c>
      <c r="H45" s="26">
        <v>95</v>
      </c>
      <c r="I45" s="26">
        <v>95</v>
      </c>
      <c r="J45" s="26">
        <v>95</v>
      </c>
      <c r="K45" s="26">
        <v>95</v>
      </c>
      <c r="L45" s="26">
        <v>95</v>
      </c>
      <c r="M45" s="26">
        <v>95</v>
      </c>
      <c r="N45" s="26">
        <v>95</v>
      </c>
      <c r="O45" s="26">
        <v>95</v>
      </c>
      <c r="P45" s="26">
        <v>95</v>
      </c>
      <c r="Q45" s="26">
        <v>95</v>
      </c>
      <c r="R45" s="26">
        <v>95</v>
      </c>
      <c r="S45" s="26">
        <v>95</v>
      </c>
      <c r="T45" s="26">
        <v>95</v>
      </c>
      <c r="U45" s="26">
        <v>95</v>
      </c>
      <c r="V45" s="26">
        <v>95</v>
      </c>
      <c r="W45" s="26">
        <v>95</v>
      </c>
      <c r="X45" s="26">
        <v>95</v>
      </c>
      <c r="Y45" s="26">
        <v>95</v>
      </c>
      <c r="Z45" s="26">
        <v>95</v>
      </c>
      <c r="AA45" s="26">
        <v>95</v>
      </c>
      <c r="AB45" s="26">
        <v>95</v>
      </c>
      <c r="AC45" s="26">
        <v>95</v>
      </c>
      <c r="AD45" s="26">
        <v>95</v>
      </c>
      <c r="AE45" s="26">
        <v>95</v>
      </c>
      <c r="AF45" s="26">
        <v>95</v>
      </c>
      <c r="AG45" s="26">
        <v>95</v>
      </c>
      <c r="AH45" s="26">
        <v>95</v>
      </c>
      <c r="AI45" s="26">
        <v>95</v>
      </c>
      <c r="AJ45" s="26">
        <v>95</v>
      </c>
    </row>
    <row r="46" spans="1:36" x14ac:dyDescent="0.25">
      <c r="A46" t="s">
        <v>856</v>
      </c>
      <c r="B46" t="s">
        <v>309</v>
      </c>
      <c r="C46" s="26">
        <v>0</v>
      </c>
      <c r="D46" s="26">
        <v>0</v>
      </c>
      <c r="E46" s="26">
        <v>0</v>
      </c>
      <c r="F46" s="26">
        <v>0</v>
      </c>
      <c r="G46" s="26">
        <v>0</v>
      </c>
      <c r="H46" s="26">
        <v>0</v>
      </c>
      <c r="I46" s="26">
        <v>0</v>
      </c>
      <c r="J46" s="26">
        <v>0</v>
      </c>
      <c r="K46" s="26">
        <v>0</v>
      </c>
      <c r="L46" s="26">
        <v>0</v>
      </c>
      <c r="M46" s="26">
        <v>0</v>
      </c>
      <c r="N46" s="26">
        <v>0</v>
      </c>
      <c r="O46" s="26">
        <v>0</v>
      </c>
      <c r="P46" s="26">
        <v>0</v>
      </c>
      <c r="Q46" s="26">
        <v>0</v>
      </c>
      <c r="R46" s="26">
        <v>0</v>
      </c>
      <c r="S46" s="26">
        <v>0</v>
      </c>
      <c r="T46" s="26">
        <v>0</v>
      </c>
      <c r="U46" s="26">
        <v>0</v>
      </c>
      <c r="V46" s="26">
        <v>0</v>
      </c>
      <c r="W46" s="26">
        <v>0</v>
      </c>
      <c r="X46" s="26">
        <v>0</v>
      </c>
      <c r="Y46" s="26">
        <v>0</v>
      </c>
      <c r="Z46" s="26">
        <v>0</v>
      </c>
      <c r="AA46" s="26">
        <v>0</v>
      </c>
      <c r="AB46" s="26">
        <v>0</v>
      </c>
      <c r="AC46" s="26">
        <v>0</v>
      </c>
      <c r="AD46" s="26">
        <v>0</v>
      </c>
      <c r="AE46" s="26">
        <v>0</v>
      </c>
      <c r="AF46" s="26">
        <v>0</v>
      </c>
      <c r="AG46" s="26">
        <v>0</v>
      </c>
      <c r="AH46" s="26">
        <v>0</v>
      </c>
      <c r="AI46" s="26">
        <v>0</v>
      </c>
      <c r="AJ46" s="26">
        <v>0</v>
      </c>
    </row>
    <row r="47" spans="1:36" s="81" customFormat="1" x14ac:dyDescent="0.25">
      <c r="A47" s="81" t="s">
        <v>882</v>
      </c>
      <c r="C47" s="82">
        <f>+SUM(C36:C46)</f>
        <v>100</v>
      </c>
      <c r="D47" s="82">
        <f t="shared" ref="D47" si="34">+SUM(D36:D46)</f>
        <v>100</v>
      </c>
      <c r="E47" s="82">
        <f t="shared" ref="E47" si="35">+SUM(E36:E46)</f>
        <v>100</v>
      </c>
      <c r="F47" s="82">
        <f t="shared" ref="F47" si="36">+SUM(F36:F46)</f>
        <v>100</v>
      </c>
      <c r="G47" s="82">
        <f t="shared" ref="G47" si="37">+SUM(G36:G46)</f>
        <v>100</v>
      </c>
      <c r="H47" s="82">
        <f t="shared" ref="H47" si="38">+SUM(H36:H46)</f>
        <v>100</v>
      </c>
      <c r="I47" s="82">
        <f t="shared" ref="I47" si="39">+SUM(I36:I46)</f>
        <v>100</v>
      </c>
      <c r="J47" s="82">
        <f t="shared" ref="J47" si="40">+SUM(J36:J46)</f>
        <v>100</v>
      </c>
      <c r="K47" s="82">
        <f t="shared" ref="K47" si="41">+SUM(K36:K46)</f>
        <v>100</v>
      </c>
      <c r="L47" s="82">
        <f t="shared" ref="L47" si="42">+SUM(L36:L46)</f>
        <v>100</v>
      </c>
      <c r="M47" s="82">
        <f t="shared" ref="M47" si="43">+SUM(M36:M46)</f>
        <v>100</v>
      </c>
      <c r="N47" s="82">
        <f t="shared" ref="N47" si="44">+SUM(N36:N46)</f>
        <v>100</v>
      </c>
      <c r="O47" s="82">
        <f t="shared" ref="O47" si="45">+SUM(O36:O46)</f>
        <v>100</v>
      </c>
      <c r="P47" s="82">
        <f t="shared" ref="P47" si="46">+SUM(P36:P46)</f>
        <v>100</v>
      </c>
      <c r="Q47" s="82">
        <f t="shared" ref="Q47" si="47">+SUM(Q36:Q46)</f>
        <v>100</v>
      </c>
      <c r="R47" s="82">
        <f t="shared" ref="R47" si="48">+SUM(R36:R46)</f>
        <v>100</v>
      </c>
      <c r="S47" s="82">
        <f t="shared" ref="S47" si="49">+SUM(S36:S46)</f>
        <v>100</v>
      </c>
      <c r="T47" s="82">
        <f t="shared" ref="T47" si="50">+SUM(T36:T46)</f>
        <v>100</v>
      </c>
      <c r="U47" s="82">
        <f t="shared" ref="U47" si="51">+SUM(U36:U46)</f>
        <v>100</v>
      </c>
      <c r="V47" s="82">
        <f t="shared" ref="V47" si="52">+SUM(V36:V46)</f>
        <v>100</v>
      </c>
      <c r="W47" s="82">
        <f t="shared" ref="W47" si="53">+SUM(W36:W46)</f>
        <v>100</v>
      </c>
      <c r="X47" s="82">
        <f t="shared" ref="X47" si="54">+SUM(X36:X46)</f>
        <v>100</v>
      </c>
      <c r="Y47" s="82">
        <f t="shared" ref="Y47" si="55">+SUM(Y36:Y46)</f>
        <v>100</v>
      </c>
      <c r="Z47" s="82">
        <f t="shared" ref="Z47" si="56">+SUM(Z36:Z46)</f>
        <v>100</v>
      </c>
      <c r="AA47" s="82">
        <f t="shared" ref="AA47" si="57">+SUM(AA36:AA46)</f>
        <v>100</v>
      </c>
      <c r="AB47" s="82">
        <f t="shared" ref="AB47" si="58">+SUM(AB36:AB46)</f>
        <v>100</v>
      </c>
      <c r="AC47" s="82">
        <f t="shared" ref="AC47" si="59">+SUM(AC36:AC46)</f>
        <v>100</v>
      </c>
      <c r="AD47" s="82">
        <f t="shared" ref="AD47" si="60">+SUM(AD36:AD46)</f>
        <v>100</v>
      </c>
      <c r="AE47" s="82">
        <f t="shared" ref="AE47" si="61">+SUM(AE36:AE46)</f>
        <v>100</v>
      </c>
      <c r="AF47" s="82">
        <f t="shared" ref="AF47" si="62">+SUM(AF36:AF46)</f>
        <v>100</v>
      </c>
      <c r="AG47" s="82">
        <f t="shared" ref="AG47" si="63">+SUM(AG36:AG46)</f>
        <v>100</v>
      </c>
      <c r="AH47" s="82">
        <f t="shared" ref="AH47" si="64">+SUM(AH36:AH46)</f>
        <v>100</v>
      </c>
      <c r="AI47" s="82">
        <f t="shared" ref="AI47" si="65">+SUM(AI36:AI46)</f>
        <v>100</v>
      </c>
      <c r="AJ47" s="82">
        <f t="shared" ref="AJ47" si="66">+SUM(AJ36:AJ46)</f>
        <v>100</v>
      </c>
    </row>
    <row r="48" spans="1:36" s="79" customFormat="1" ht="15.75" x14ac:dyDescent="0.25">
      <c r="A48" s="77" t="s">
        <v>874</v>
      </c>
      <c r="B48" s="78"/>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x14ac:dyDescent="0.25">
      <c r="A49" t="s">
        <v>563</v>
      </c>
      <c r="B49" t="s">
        <v>309</v>
      </c>
      <c r="C49" s="26">
        <v>0</v>
      </c>
      <c r="D49" s="26">
        <v>0</v>
      </c>
      <c r="E49" s="26">
        <v>0</v>
      </c>
      <c r="F49" s="26">
        <v>0</v>
      </c>
      <c r="G49" s="26">
        <v>0</v>
      </c>
      <c r="H49" s="26">
        <v>0</v>
      </c>
      <c r="I49" s="26">
        <v>0</v>
      </c>
      <c r="J49" s="26">
        <v>0</v>
      </c>
      <c r="K49" s="26">
        <v>0</v>
      </c>
      <c r="L49" s="26">
        <v>0</v>
      </c>
      <c r="M49" s="26">
        <v>0</v>
      </c>
      <c r="N49" s="26">
        <v>0</v>
      </c>
      <c r="O49" s="26">
        <v>0</v>
      </c>
      <c r="P49" s="26">
        <v>0</v>
      </c>
      <c r="Q49" s="26">
        <v>0</v>
      </c>
      <c r="R49" s="26">
        <v>0</v>
      </c>
      <c r="S49" s="26">
        <v>0</v>
      </c>
      <c r="T49" s="26">
        <v>0</v>
      </c>
      <c r="U49" s="26">
        <v>0</v>
      </c>
      <c r="V49" s="26">
        <v>0</v>
      </c>
      <c r="W49" s="26">
        <v>0</v>
      </c>
      <c r="X49" s="26">
        <v>0</v>
      </c>
      <c r="Y49" s="26">
        <v>0</v>
      </c>
      <c r="Z49" s="26">
        <v>0</v>
      </c>
      <c r="AA49" s="26">
        <v>0</v>
      </c>
      <c r="AB49" s="26">
        <v>0</v>
      </c>
      <c r="AC49" s="26">
        <v>0</v>
      </c>
      <c r="AD49" s="26">
        <v>0</v>
      </c>
      <c r="AE49" s="26">
        <v>0</v>
      </c>
      <c r="AF49" s="26">
        <v>0</v>
      </c>
      <c r="AG49" s="26">
        <v>0</v>
      </c>
      <c r="AH49" s="26">
        <v>0</v>
      </c>
      <c r="AI49" s="26">
        <v>0</v>
      </c>
      <c r="AJ49" s="26">
        <v>0</v>
      </c>
    </row>
    <row r="50" spans="1:36" x14ac:dyDescent="0.25">
      <c r="A50" t="s">
        <v>564</v>
      </c>
      <c r="B50" t="s">
        <v>309</v>
      </c>
      <c r="C50" s="26">
        <v>0</v>
      </c>
      <c r="D50" s="26">
        <v>0</v>
      </c>
      <c r="E50" s="26">
        <v>0</v>
      </c>
      <c r="F50" s="26">
        <v>0</v>
      </c>
      <c r="G50" s="26">
        <v>0</v>
      </c>
      <c r="H50" s="26">
        <v>0</v>
      </c>
      <c r="I50" s="26">
        <v>0</v>
      </c>
      <c r="J50" s="26">
        <v>0</v>
      </c>
      <c r="K50" s="26">
        <v>0</v>
      </c>
      <c r="L50" s="26">
        <v>0</v>
      </c>
      <c r="M50" s="26">
        <v>0</v>
      </c>
      <c r="N50" s="26">
        <v>0</v>
      </c>
      <c r="O50" s="26">
        <v>0</v>
      </c>
      <c r="P50" s="26">
        <v>0</v>
      </c>
      <c r="Q50" s="26">
        <v>0</v>
      </c>
      <c r="R50" s="26">
        <v>0</v>
      </c>
      <c r="S50" s="26">
        <v>0</v>
      </c>
      <c r="T50" s="26">
        <v>0</v>
      </c>
      <c r="U50" s="26">
        <v>0</v>
      </c>
      <c r="V50" s="26">
        <v>0</v>
      </c>
      <c r="W50" s="26">
        <v>0</v>
      </c>
      <c r="X50" s="26">
        <v>0</v>
      </c>
      <c r="Y50" s="26">
        <v>0</v>
      </c>
      <c r="Z50" s="26">
        <v>0</v>
      </c>
      <c r="AA50" s="26">
        <v>0</v>
      </c>
      <c r="AB50" s="26">
        <v>0</v>
      </c>
      <c r="AC50" s="26">
        <v>0</v>
      </c>
      <c r="AD50" s="26">
        <v>0</v>
      </c>
      <c r="AE50" s="26">
        <v>0</v>
      </c>
      <c r="AF50" s="26">
        <v>0</v>
      </c>
      <c r="AG50" s="26">
        <v>0</v>
      </c>
      <c r="AH50" s="26">
        <v>0</v>
      </c>
      <c r="AI50" s="26">
        <v>0</v>
      </c>
      <c r="AJ50" s="26">
        <v>0</v>
      </c>
    </row>
    <row r="51" spans="1:36" x14ac:dyDescent="0.25">
      <c r="A51" t="s">
        <v>565</v>
      </c>
      <c r="B51" t="s">
        <v>309</v>
      </c>
      <c r="C51" s="26">
        <v>2.5</v>
      </c>
      <c r="D51" s="26">
        <v>2.5</v>
      </c>
      <c r="E51" s="26">
        <v>2.5</v>
      </c>
      <c r="F51" s="26">
        <v>2.5</v>
      </c>
      <c r="G51" s="26">
        <v>2.5</v>
      </c>
      <c r="H51" s="26">
        <v>2.5</v>
      </c>
      <c r="I51" s="26">
        <v>2.5</v>
      </c>
      <c r="J51" s="26">
        <v>2.5</v>
      </c>
      <c r="K51" s="26">
        <v>2.5</v>
      </c>
      <c r="L51" s="26">
        <v>2.5</v>
      </c>
      <c r="M51" s="26">
        <v>2.5</v>
      </c>
      <c r="N51" s="26">
        <v>2.5</v>
      </c>
      <c r="O51" s="26">
        <v>2.5</v>
      </c>
      <c r="P51" s="26">
        <v>2.5</v>
      </c>
      <c r="Q51" s="26">
        <v>2.5</v>
      </c>
      <c r="R51" s="26">
        <v>2.5</v>
      </c>
      <c r="S51" s="26">
        <v>2.5</v>
      </c>
      <c r="T51" s="26">
        <v>2.5</v>
      </c>
      <c r="U51" s="26">
        <v>2.5</v>
      </c>
      <c r="V51" s="26">
        <v>2.5</v>
      </c>
      <c r="W51" s="26">
        <v>2.5</v>
      </c>
      <c r="X51" s="26">
        <v>2.5</v>
      </c>
      <c r="Y51" s="26">
        <v>2.5</v>
      </c>
      <c r="Z51" s="26">
        <v>2.5</v>
      </c>
      <c r="AA51" s="26">
        <v>2.5</v>
      </c>
      <c r="AB51" s="26">
        <v>2.5</v>
      </c>
      <c r="AC51" s="26">
        <v>2.5</v>
      </c>
      <c r="AD51" s="26">
        <v>2.5</v>
      </c>
      <c r="AE51" s="26">
        <v>2.5</v>
      </c>
      <c r="AF51" s="26">
        <v>2.5</v>
      </c>
      <c r="AG51" s="26">
        <v>2.5</v>
      </c>
      <c r="AH51" s="26">
        <v>2.5</v>
      </c>
      <c r="AI51" s="26">
        <v>2.5</v>
      </c>
      <c r="AJ51" s="26">
        <v>2.5</v>
      </c>
    </row>
    <row r="52" spans="1:36" x14ac:dyDescent="0.25">
      <c r="A52" t="s">
        <v>566</v>
      </c>
      <c r="B52" t="s">
        <v>309</v>
      </c>
      <c r="C52" s="26">
        <v>0</v>
      </c>
      <c r="D52" s="26">
        <v>0</v>
      </c>
      <c r="E52" s="26">
        <v>0</v>
      </c>
      <c r="F52" s="26">
        <v>0</v>
      </c>
      <c r="G52" s="26">
        <v>0</v>
      </c>
      <c r="H52" s="26">
        <v>0</v>
      </c>
      <c r="I52" s="26">
        <v>0</v>
      </c>
      <c r="J52" s="26">
        <v>0</v>
      </c>
      <c r="K52" s="26">
        <v>0</v>
      </c>
      <c r="L52" s="26">
        <v>0</v>
      </c>
      <c r="M52" s="26">
        <v>0</v>
      </c>
      <c r="N52" s="26">
        <v>0</v>
      </c>
      <c r="O52" s="26">
        <v>0</v>
      </c>
      <c r="P52" s="26">
        <v>0</v>
      </c>
      <c r="Q52" s="26">
        <v>0</v>
      </c>
      <c r="R52" s="26">
        <v>0</v>
      </c>
      <c r="S52" s="26">
        <v>0</v>
      </c>
      <c r="T52" s="26">
        <v>0</v>
      </c>
      <c r="U52" s="26">
        <v>0</v>
      </c>
      <c r="V52" s="26">
        <v>0</v>
      </c>
      <c r="W52" s="26">
        <v>0</v>
      </c>
      <c r="X52" s="26">
        <v>0</v>
      </c>
      <c r="Y52" s="26">
        <v>0</v>
      </c>
      <c r="Z52" s="26">
        <v>0</v>
      </c>
      <c r="AA52" s="26">
        <v>0</v>
      </c>
      <c r="AB52" s="26">
        <v>0</v>
      </c>
      <c r="AC52" s="26">
        <v>0</v>
      </c>
      <c r="AD52" s="26">
        <v>0</v>
      </c>
      <c r="AE52" s="26">
        <v>0</v>
      </c>
      <c r="AF52" s="26">
        <v>0</v>
      </c>
      <c r="AG52" s="26">
        <v>0</v>
      </c>
      <c r="AH52" s="26">
        <v>0</v>
      </c>
      <c r="AI52" s="26">
        <v>0</v>
      </c>
      <c r="AJ52" s="26">
        <v>0</v>
      </c>
    </row>
    <row r="53" spans="1:36" x14ac:dyDescent="0.25">
      <c r="A53" t="s">
        <v>567</v>
      </c>
      <c r="B53" t="s">
        <v>309</v>
      </c>
      <c r="C53" s="26">
        <v>0</v>
      </c>
      <c r="D53" s="26">
        <v>0</v>
      </c>
      <c r="E53" s="26">
        <v>0</v>
      </c>
      <c r="F53" s="26">
        <v>0</v>
      </c>
      <c r="G53" s="26">
        <v>0</v>
      </c>
      <c r="H53" s="26">
        <v>0</v>
      </c>
      <c r="I53" s="26">
        <v>0</v>
      </c>
      <c r="J53" s="26">
        <v>0</v>
      </c>
      <c r="K53" s="26">
        <v>0</v>
      </c>
      <c r="L53" s="26">
        <v>0</v>
      </c>
      <c r="M53" s="26">
        <v>0</v>
      </c>
      <c r="N53" s="26">
        <v>0</v>
      </c>
      <c r="O53" s="26">
        <v>0</v>
      </c>
      <c r="P53" s="26">
        <v>0</v>
      </c>
      <c r="Q53" s="26">
        <v>0</v>
      </c>
      <c r="R53" s="26">
        <v>0</v>
      </c>
      <c r="S53" s="26">
        <v>0</v>
      </c>
      <c r="T53" s="26">
        <v>0</v>
      </c>
      <c r="U53" s="26">
        <v>0</v>
      </c>
      <c r="V53" s="26">
        <v>0</v>
      </c>
      <c r="W53" s="26">
        <v>0</v>
      </c>
      <c r="X53" s="26">
        <v>0</v>
      </c>
      <c r="Y53" s="26">
        <v>0</v>
      </c>
      <c r="Z53" s="26">
        <v>0</v>
      </c>
      <c r="AA53" s="26">
        <v>0</v>
      </c>
      <c r="AB53" s="26">
        <v>0</v>
      </c>
      <c r="AC53" s="26">
        <v>0</v>
      </c>
      <c r="AD53" s="26">
        <v>0</v>
      </c>
      <c r="AE53" s="26">
        <v>0</v>
      </c>
      <c r="AF53" s="26">
        <v>0</v>
      </c>
      <c r="AG53" s="26">
        <v>0</v>
      </c>
      <c r="AH53" s="26">
        <v>0</v>
      </c>
      <c r="AI53" s="26">
        <v>0</v>
      </c>
      <c r="AJ53" s="26">
        <v>0</v>
      </c>
    </row>
    <row r="54" spans="1:36" x14ac:dyDescent="0.25">
      <c r="A54" t="s">
        <v>568</v>
      </c>
      <c r="B54" t="s">
        <v>309</v>
      </c>
      <c r="C54" s="26">
        <v>2.5</v>
      </c>
      <c r="D54" s="26">
        <v>2.5</v>
      </c>
      <c r="E54" s="26">
        <v>2.5</v>
      </c>
      <c r="F54" s="26">
        <v>2.5</v>
      </c>
      <c r="G54" s="26">
        <v>2.5</v>
      </c>
      <c r="H54" s="26">
        <v>2.5</v>
      </c>
      <c r="I54" s="26">
        <v>2.5</v>
      </c>
      <c r="J54" s="26">
        <v>2.5</v>
      </c>
      <c r="K54" s="26">
        <v>2.5</v>
      </c>
      <c r="L54" s="26">
        <v>2.5</v>
      </c>
      <c r="M54" s="26">
        <v>2.5</v>
      </c>
      <c r="N54" s="26">
        <v>2.5</v>
      </c>
      <c r="O54" s="26">
        <v>2.5</v>
      </c>
      <c r="P54" s="26">
        <v>2.5</v>
      </c>
      <c r="Q54" s="26">
        <v>2.5</v>
      </c>
      <c r="R54" s="26">
        <v>2.5</v>
      </c>
      <c r="S54" s="26">
        <v>2.5</v>
      </c>
      <c r="T54" s="26">
        <v>2.5</v>
      </c>
      <c r="U54" s="26">
        <v>2.5</v>
      </c>
      <c r="V54" s="26">
        <v>2.5</v>
      </c>
      <c r="W54" s="26">
        <v>2.5</v>
      </c>
      <c r="X54" s="26">
        <v>2.5</v>
      </c>
      <c r="Y54" s="26">
        <v>2.5</v>
      </c>
      <c r="Z54" s="26">
        <v>2.5</v>
      </c>
      <c r="AA54" s="26">
        <v>2.5</v>
      </c>
      <c r="AB54" s="26">
        <v>2.5</v>
      </c>
      <c r="AC54" s="26">
        <v>2.5</v>
      </c>
      <c r="AD54" s="26">
        <v>2.5</v>
      </c>
      <c r="AE54" s="26">
        <v>2.5</v>
      </c>
      <c r="AF54" s="26">
        <v>2.5</v>
      </c>
      <c r="AG54" s="26">
        <v>2.5</v>
      </c>
      <c r="AH54" s="26">
        <v>2.5</v>
      </c>
      <c r="AI54" s="26">
        <v>2.5</v>
      </c>
      <c r="AJ54" s="26">
        <v>2.5</v>
      </c>
    </row>
    <row r="55" spans="1:36" x14ac:dyDescent="0.25">
      <c r="A55" t="s">
        <v>569</v>
      </c>
      <c r="B55" t="s">
        <v>309</v>
      </c>
      <c r="C55" s="26">
        <v>0</v>
      </c>
      <c r="D55" s="26">
        <v>0</v>
      </c>
      <c r="E55" s="26">
        <v>0</v>
      </c>
      <c r="F55" s="26">
        <v>0</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0</v>
      </c>
      <c r="AC55" s="26">
        <v>0</v>
      </c>
      <c r="AD55" s="26">
        <v>0</v>
      </c>
      <c r="AE55" s="26">
        <v>0</v>
      </c>
      <c r="AF55" s="26">
        <v>0</v>
      </c>
      <c r="AG55" s="26">
        <v>0</v>
      </c>
      <c r="AH55" s="26">
        <v>0</v>
      </c>
      <c r="AI55" s="26">
        <v>0</v>
      </c>
      <c r="AJ55" s="26">
        <v>0</v>
      </c>
    </row>
    <row r="56" spans="1:36" x14ac:dyDescent="0.25">
      <c r="A56" t="s">
        <v>570</v>
      </c>
      <c r="B56" t="s">
        <v>309</v>
      </c>
      <c r="C56" s="26">
        <v>0</v>
      </c>
      <c r="D56" s="26">
        <v>0</v>
      </c>
      <c r="E56" s="26">
        <v>0</v>
      </c>
      <c r="F56" s="26">
        <v>0</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0</v>
      </c>
      <c r="AC56" s="26">
        <v>0</v>
      </c>
      <c r="AD56" s="26">
        <v>0</v>
      </c>
      <c r="AE56" s="26">
        <v>0</v>
      </c>
      <c r="AF56" s="26">
        <v>0</v>
      </c>
      <c r="AG56" s="26">
        <v>0</v>
      </c>
      <c r="AH56" s="26">
        <v>0</v>
      </c>
      <c r="AI56" s="26">
        <v>0</v>
      </c>
      <c r="AJ56" s="26">
        <v>0</v>
      </c>
    </row>
    <row r="57" spans="1:36" x14ac:dyDescent="0.25">
      <c r="A57" t="s">
        <v>571</v>
      </c>
      <c r="B57" t="s">
        <v>309</v>
      </c>
      <c r="C57" s="26">
        <v>0</v>
      </c>
      <c r="D57" s="26">
        <v>0</v>
      </c>
      <c r="E57" s="26">
        <v>0</v>
      </c>
      <c r="F57" s="26">
        <v>0</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row>
    <row r="58" spans="1:36" s="56" customFormat="1" x14ac:dyDescent="0.25">
      <c r="A58" t="s">
        <v>572</v>
      </c>
      <c r="B58" t="s">
        <v>309</v>
      </c>
      <c r="C58" s="26">
        <v>95</v>
      </c>
      <c r="D58" s="26">
        <v>95</v>
      </c>
      <c r="E58" s="26">
        <v>95</v>
      </c>
      <c r="F58" s="26">
        <v>95</v>
      </c>
      <c r="G58" s="26">
        <v>95</v>
      </c>
      <c r="H58" s="26">
        <v>95</v>
      </c>
      <c r="I58" s="26">
        <v>95</v>
      </c>
      <c r="J58" s="26">
        <v>95</v>
      </c>
      <c r="K58" s="26">
        <v>95</v>
      </c>
      <c r="L58" s="26">
        <v>95</v>
      </c>
      <c r="M58" s="26">
        <v>95</v>
      </c>
      <c r="N58" s="26">
        <v>95</v>
      </c>
      <c r="O58" s="26">
        <v>95</v>
      </c>
      <c r="P58" s="26">
        <v>95</v>
      </c>
      <c r="Q58" s="26">
        <v>95</v>
      </c>
      <c r="R58" s="26">
        <v>95</v>
      </c>
      <c r="S58" s="26">
        <v>95</v>
      </c>
      <c r="T58" s="26">
        <v>95</v>
      </c>
      <c r="U58" s="26">
        <v>95</v>
      </c>
      <c r="V58" s="26">
        <v>95</v>
      </c>
      <c r="W58" s="26">
        <v>95</v>
      </c>
      <c r="X58" s="26">
        <v>95</v>
      </c>
      <c r="Y58" s="26">
        <v>95</v>
      </c>
      <c r="Z58" s="26">
        <v>95</v>
      </c>
      <c r="AA58" s="26">
        <v>95</v>
      </c>
      <c r="AB58" s="26">
        <v>95</v>
      </c>
      <c r="AC58" s="26">
        <v>95</v>
      </c>
      <c r="AD58" s="26">
        <v>95</v>
      </c>
      <c r="AE58" s="26">
        <v>95</v>
      </c>
      <c r="AF58" s="26">
        <v>95</v>
      </c>
      <c r="AG58" s="26">
        <v>95</v>
      </c>
      <c r="AH58" s="26">
        <v>95</v>
      </c>
      <c r="AI58" s="26">
        <v>95</v>
      </c>
      <c r="AJ58" s="26">
        <v>95</v>
      </c>
    </row>
    <row r="59" spans="1:36" s="56" customFormat="1" x14ac:dyDescent="0.25">
      <c r="A59" t="s">
        <v>872</v>
      </c>
      <c r="B59" t="s">
        <v>309</v>
      </c>
      <c r="C59" s="26">
        <v>0</v>
      </c>
      <c r="D59" s="26">
        <v>0</v>
      </c>
      <c r="E59" s="26">
        <v>0</v>
      </c>
      <c r="F59" s="26">
        <v>0</v>
      </c>
      <c r="G59" s="26">
        <v>0</v>
      </c>
      <c r="H59" s="26">
        <v>0</v>
      </c>
      <c r="I59" s="26">
        <v>0</v>
      </c>
      <c r="J59" s="26">
        <v>0</v>
      </c>
      <c r="K59" s="26">
        <v>0</v>
      </c>
      <c r="L59" s="26">
        <v>0</v>
      </c>
      <c r="M59" s="26">
        <v>0</v>
      </c>
      <c r="N59" s="26">
        <v>0</v>
      </c>
      <c r="O59" s="26">
        <v>0</v>
      </c>
      <c r="P59" s="26">
        <v>0</v>
      </c>
      <c r="Q59" s="26">
        <v>0</v>
      </c>
      <c r="R59" s="26">
        <v>0</v>
      </c>
      <c r="S59" s="26">
        <v>0</v>
      </c>
      <c r="T59" s="26">
        <v>0</v>
      </c>
      <c r="U59" s="26">
        <v>0</v>
      </c>
      <c r="V59" s="26">
        <v>0</v>
      </c>
      <c r="W59" s="26">
        <v>0</v>
      </c>
      <c r="X59" s="26">
        <v>0</v>
      </c>
      <c r="Y59" s="26">
        <v>0</v>
      </c>
      <c r="Z59" s="26">
        <v>0</v>
      </c>
      <c r="AA59" s="26">
        <v>0</v>
      </c>
      <c r="AB59" s="26">
        <v>0</v>
      </c>
      <c r="AC59" s="26">
        <v>0</v>
      </c>
      <c r="AD59" s="26">
        <v>0</v>
      </c>
      <c r="AE59" s="26">
        <v>0</v>
      </c>
      <c r="AF59" s="26">
        <v>0</v>
      </c>
      <c r="AG59" s="26">
        <v>0</v>
      </c>
      <c r="AH59" s="26">
        <v>0</v>
      </c>
      <c r="AI59" s="26">
        <v>0</v>
      </c>
      <c r="AJ59" s="26">
        <v>0</v>
      </c>
    </row>
    <row r="60" spans="1:36" s="81" customFormat="1" x14ac:dyDescent="0.25">
      <c r="A60" s="81" t="s">
        <v>882</v>
      </c>
      <c r="C60" s="82">
        <f>+SUM(C49:C59)</f>
        <v>100</v>
      </c>
      <c r="D60" s="82">
        <f t="shared" ref="D60" si="67">+SUM(D49:D59)</f>
        <v>100</v>
      </c>
      <c r="E60" s="82">
        <f t="shared" ref="E60" si="68">+SUM(E49:E59)</f>
        <v>100</v>
      </c>
      <c r="F60" s="82">
        <f t="shared" ref="F60" si="69">+SUM(F49:F59)</f>
        <v>100</v>
      </c>
      <c r="G60" s="82">
        <f t="shared" ref="G60" si="70">+SUM(G49:G59)</f>
        <v>100</v>
      </c>
      <c r="H60" s="82">
        <f t="shared" ref="H60" si="71">+SUM(H49:H59)</f>
        <v>100</v>
      </c>
      <c r="I60" s="82">
        <f t="shared" ref="I60" si="72">+SUM(I49:I59)</f>
        <v>100</v>
      </c>
      <c r="J60" s="82">
        <f t="shared" ref="J60" si="73">+SUM(J49:J59)</f>
        <v>100</v>
      </c>
      <c r="K60" s="82">
        <f t="shared" ref="K60" si="74">+SUM(K49:K59)</f>
        <v>100</v>
      </c>
      <c r="L60" s="82">
        <f t="shared" ref="L60" si="75">+SUM(L49:L59)</f>
        <v>100</v>
      </c>
      <c r="M60" s="82">
        <f t="shared" ref="M60" si="76">+SUM(M49:M59)</f>
        <v>100</v>
      </c>
      <c r="N60" s="82">
        <f t="shared" ref="N60" si="77">+SUM(N49:N59)</f>
        <v>100</v>
      </c>
      <c r="O60" s="82">
        <f t="shared" ref="O60" si="78">+SUM(O49:O59)</f>
        <v>100</v>
      </c>
      <c r="P60" s="82">
        <f t="shared" ref="P60" si="79">+SUM(P49:P59)</f>
        <v>100</v>
      </c>
      <c r="Q60" s="82">
        <f t="shared" ref="Q60" si="80">+SUM(Q49:Q59)</f>
        <v>100</v>
      </c>
      <c r="R60" s="82">
        <f t="shared" ref="R60" si="81">+SUM(R49:R59)</f>
        <v>100</v>
      </c>
      <c r="S60" s="82">
        <f t="shared" ref="S60" si="82">+SUM(S49:S59)</f>
        <v>100</v>
      </c>
      <c r="T60" s="82">
        <f t="shared" ref="T60" si="83">+SUM(T49:T59)</f>
        <v>100</v>
      </c>
      <c r="U60" s="82">
        <f t="shared" ref="U60" si="84">+SUM(U49:U59)</f>
        <v>100</v>
      </c>
      <c r="V60" s="82">
        <f t="shared" ref="V60" si="85">+SUM(V49:V59)</f>
        <v>100</v>
      </c>
      <c r="W60" s="82">
        <f t="shared" ref="W60" si="86">+SUM(W49:W59)</f>
        <v>100</v>
      </c>
      <c r="X60" s="82">
        <f t="shared" ref="X60" si="87">+SUM(X49:X59)</f>
        <v>100</v>
      </c>
      <c r="Y60" s="82">
        <f t="shared" ref="Y60" si="88">+SUM(Y49:Y59)</f>
        <v>100</v>
      </c>
      <c r="Z60" s="82">
        <f t="shared" ref="Z60" si="89">+SUM(Z49:Z59)</f>
        <v>100</v>
      </c>
      <c r="AA60" s="82">
        <f t="shared" ref="AA60" si="90">+SUM(AA49:AA59)</f>
        <v>100</v>
      </c>
      <c r="AB60" s="82">
        <f t="shared" ref="AB60" si="91">+SUM(AB49:AB59)</f>
        <v>100</v>
      </c>
      <c r="AC60" s="82">
        <f t="shared" ref="AC60" si="92">+SUM(AC49:AC59)</f>
        <v>100</v>
      </c>
      <c r="AD60" s="82">
        <f t="shared" ref="AD60" si="93">+SUM(AD49:AD59)</f>
        <v>100</v>
      </c>
      <c r="AE60" s="82">
        <f t="shared" ref="AE60" si="94">+SUM(AE49:AE59)</f>
        <v>100</v>
      </c>
      <c r="AF60" s="82">
        <f t="shared" ref="AF60" si="95">+SUM(AF49:AF59)</f>
        <v>100</v>
      </c>
      <c r="AG60" s="82">
        <f t="shared" ref="AG60" si="96">+SUM(AG49:AG59)</f>
        <v>100</v>
      </c>
      <c r="AH60" s="82">
        <f t="shared" ref="AH60" si="97">+SUM(AH49:AH59)</f>
        <v>100</v>
      </c>
      <c r="AI60" s="82">
        <f t="shared" ref="AI60" si="98">+SUM(AI49:AI59)</f>
        <v>100</v>
      </c>
      <c r="AJ60" s="82">
        <f t="shared" ref="AJ60" si="99">+SUM(AJ49:AJ59)</f>
        <v>100</v>
      </c>
    </row>
    <row r="61" spans="1:36" s="53" customFormat="1" x14ac:dyDescent="0.25">
      <c r="A61" t="s">
        <v>573</v>
      </c>
      <c r="B61" t="s">
        <v>309</v>
      </c>
      <c r="C61" s="26">
        <v>0</v>
      </c>
      <c r="D61" s="26">
        <v>0</v>
      </c>
      <c r="E61" s="26">
        <v>0</v>
      </c>
      <c r="F61" s="26">
        <v>0</v>
      </c>
      <c r="G61" s="26">
        <v>0</v>
      </c>
      <c r="H61" s="26">
        <v>0</v>
      </c>
      <c r="I61" s="26">
        <v>0</v>
      </c>
      <c r="J61" s="26">
        <v>0</v>
      </c>
      <c r="K61" s="26">
        <v>0</v>
      </c>
      <c r="L61" s="26">
        <v>0</v>
      </c>
      <c r="M61" s="26">
        <v>0</v>
      </c>
      <c r="N61" s="26">
        <v>0</v>
      </c>
      <c r="O61" s="26">
        <v>0</v>
      </c>
      <c r="P61" s="26">
        <v>0</v>
      </c>
      <c r="Q61" s="26">
        <v>0</v>
      </c>
      <c r="R61" s="26">
        <v>0</v>
      </c>
      <c r="S61" s="26">
        <v>0</v>
      </c>
      <c r="T61" s="26">
        <v>0</v>
      </c>
      <c r="U61" s="26">
        <v>0</v>
      </c>
      <c r="V61" s="26">
        <v>0</v>
      </c>
      <c r="W61" s="26">
        <v>0</v>
      </c>
      <c r="X61" s="26">
        <v>0</v>
      </c>
      <c r="Y61" s="26">
        <v>0</v>
      </c>
      <c r="Z61" s="26">
        <v>0</v>
      </c>
      <c r="AA61" s="26">
        <v>0</v>
      </c>
      <c r="AB61" s="26">
        <v>0</v>
      </c>
      <c r="AC61" s="26">
        <v>0</v>
      </c>
      <c r="AD61" s="26">
        <v>0</v>
      </c>
      <c r="AE61" s="26">
        <v>0</v>
      </c>
      <c r="AF61" s="26">
        <v>0</v>
      </c>
      <c r="AG61" s="26">
        <v>0</v>
      </c>
      <c r="AH61" s="26">
        <v>0</v>
      </c>
      <c r="AI61" s="26">
        <v>0</v>
      </c>
      <c r="AJ61" s="26">
        <v>0</v>
      </c>
    </row>
    <row r="62" spans="1:36" x14ac:dyDescent="0.25">
      <c r="A62" t="s">
        <v>574</v>
      </c>
      <c r="B62" t="s">
        <v>309</v>
      </c>
      <c r="C62" s="26">
        <v>0</v>
      </c>
      <c r="D62" s="26">
        <v>0</v>
      </c>
      <c r="E62" s="26">
        <v>0</v>
      </c>
      <c r="F62" s="26">
        <v>0</v>
      </c>
      <c r="G62" s="26">
        <v>0</v>
      </c>
      <c r="H62" s="26">
        <v>0</v>
      </c>
      <c r="I62" s="26">
        <v>0</v>
      </c>
      <c r="J62" s="26">
        <v>0</v>
      </c>
      <c r="K62" s="26">
        <v>0</v>
      </c>
      <c r="L62" s="26">
        <v>0</v>
      </c>
      <c r="M62" s="26">
        <v>0</v>
      </c>
      <c r="N62" s="26">
        <v>0</v>
      </c>
      <c r="O62" s="26">
        <v>0</v>
      </c>
      <c r="P62" s="26">
        <v>0</v>
      </c>
      <c r="Q62" s="26">
        <v>0</v>
      </c>
      <c r="R62" s="26">
        <v>0</v>
      </c>
      <c r="S62" s="26">
        <v>0</v>
      </c>
      <c r="T62" s="26">
        <v>0</v>
      </c>
      <c r="U62" s="26">
        <v>0</v>
      </c>
      <c r="V62" s="26">
        <v>0</v>
      </c>
      <c r="W62" s="26">
        <v>0</v>
      </c>
      <c r="X62" s="26">
        <v>0</v>
      </c>
      <c r="Y62" s="26">
        <v>0</v>
      </c>
      <c r="Z62" s="26">
        <v>0</v>
      </c>
      <c r="AA62" s="26">
        <v>0</v>
      </c>
      <c r="AB62" s="26">
        <v>0</v>
      </c>
      <c r="AC62" s="26">
        <v>0</v>
      </c>
      <c r="AD62" s="26">
        <v>0</v>
      </c>
      <c r="AE62" s="26">
        <v>0</v>
      </c>
      <c r="AF62" s="26">
        <v>0</v>
      </c>
      <c r="AG62" s="26">
        <v>0</v>
      </c>
      <c r="AH62" s="26">
        <v>0</v>
      </c>
      <c r="AI62" s="26">
        <v>0</v>
      </c>
      <c r="AJ62" s="26">
        <v>0</v>
      </c>
    </row>
    <row r="63" spans="1:36" x14ac:dyDescent="0.25">
      <c r="A63" t="s">
        <v>575</v>
      </c>
      <c r="B63" t="s">
        <v>309</v>
      </c>
      <c r="C63" s="26">
        <v>5</v>
      </c>
      <c r="D63" s="26">
        <v>5</v>
      </c>
      <c r="E63" s="26">
        <v>5</v>
      </c>
      <c r="F63" s="26">
        <v>5</v>
      </c>
      <c r="G63" s="26">
        <v>5</v>
      </c>
      <c r="H63" s="26">
        <v>5</v>
      </c>
      <c r="I63" s="26">
        <v>5</v>
      </c>
      <c r="J63" s="26">
        <v>5</v>
      </c>
      <c r="K63" s="26">
        <v>5</v>
      </c>
      <c r="L63" s="26">
        <v>5</v>
      </c>
      <c r="M63" s="26">
        <v>5</v>
      </c>
      <c r="N63" s="26">
        <v>5</v>
      </c>
      <c r="O63" s="26">
        <v>5</v>
      </c>
      <c r="P63" s="26">
        <v>5</v>
      </c>
      <c r="Q63" s="26">
        <v>5</v>
      </c>
      <c r="R63" s="26">
        <v>5</v>
      </c>
      <c r="S63" s="26">
        <v>5</v>
      </c>
      <c r="T63" s="26">
        <v>5</v>
      </c>
      <c r="U63" s="26">
        <v>5</v>
      </c>
      <c r="V63" s="26">
        <v>5</v>
      </c>
      <c r="W63" s="26">
        <v>5</v>
      </c>
      <c r="X63" s="26">
        <v>5</v>
      </c>
      <c r="Y63" s="26">
        <v>5</v>
      </c>
      <c r="Z63" s="26">
        <v>5</v>
      </c>
      <c r="AA63" s="26">
        <v>5</v>
      </c>
      <c r="AB63" s="26">
        <v>5</v>
      </c>
      <c r="AC63" s="26">
        <v>5</v>
      </c>
      <c r="AD63" s="26">
        <v>5</v>
      </c>
      <c r="AE63" s="26">
        <v>5</v>
      </c>
      <c r="AF63" s="26">
        <v>5</v>
      </c>
      <c r="AG63" s="26">
        <v>5</v>
      </c>
      <c r="AH63" s="26">
        <v>5</v>
      </c>
      <c r="AI63" s="26">
        <v>5</v>
      </c>
      <c r="AJ63" s="26">
        <v>5</v>
      </c>
    </row>
    <row r="64" spans="1:36" s="53" customFormat="1" x14ac:dyDescent="0.25">
      <c r="A64" t="s">
        <v>576</v>
      </c>
      <c r="B64" t="s">
        <v>309</v>
      </c>
      <c r="C64" s="26">
        <v>0</v>
      </c>
      <c r="D64" s="26">
        <v>0</v>
      </c>
      <c r="E64" s="26">
        <v>0</v>
      </c>
      <c r="F64" s="26">
        <v>0</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v>
      </c>
      <c r="Z64" s="26">
        <v>0</v>
      </c>
      <c r="AA64" s="26">
        <v>0</v>
      </c>
      <c r="AB64" s="26">
        <v>0</v>
      </c>
      <c r="AC64" s="26">
        <v>0</v>
      </c>
      <c r="AD64" s="26">
        <v>0</v>
      </c>
      <c r="AE64" s="26">
        <v>0</v>
      </c>
      <c r="AF64" s="26">
        <v>0</v>
      </c>
      <c r="AG64" s="26">
        <v>0</v>
      </c>
      <c r="AH64" s="26">
        <v>0</v>
      </c>
      <c r="AI64" s="26">
        <v>0</v>
      </c>
      <c r="AJ64" s="26">
        <v>0</v>
      </c>
    </row>
    <row r="65" spans="1:36" x14ac:dyDescent="0.25">
      <c r="A65" t="s">
        <v>577</v>
      </c>
      <c r="B65" t="s">
        <v>309</v>
      </c>
      <c r="C65" s="26">
        <v>0</v>
      </c>
      <c r="D65" s="26">
        <v>0</v>
      </c>
      <c r="E65" s="26">
        <v>0</v>
      </c>
      <c r="F65" s="26">
        <v>0</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v>
      </c>
      <c r="Z65" s="26">
        <v>0</v>
      </c>
      <c r="AA65" s="26">
        <v>0</v>
      </c>
      <c r="AB65" s="26">
        <v>0</v>
      </c>
      <c r="AC65" s="26">
        <v>0</v>
      </c>
      <c r="AD65" s="26">
        <v>0</v>
      </c>
      <c r="AE65" s="26">
        <v>0</v>
      </c>
      <c r="AF65" s="26">
        <v>0</v>
      </c>
      <c r="AG65" s="26">
        <v>0</v>
      </c>
      <c r="AH65" s="26">
        <v>0</v>
      </c>
      <c r="AI65" s="26">
        <v>0</v>
      </c>
      <c r="AJ65" s="26">
        <v>0</v>
      </c>
    </row>
    <row r="66" spans="1:36" x14ac:dyDescent="0.25">
      <c r="A66" t="s">
        <v>578</v>
      </c>
      <c r="B66" t="s">
        <v>309</v>
      </c>
      <c r="C66" s="26">
        <v>0</v>
      </c>
      <c r="D66" s="26">
        <v>0</v>
      </c>
      <c r="E66" s="26">
        <v>0</v>
      </c>
      <c r="F66" s="26">
        <v>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v>
      </c>
      <c r="AC66" s="26">
        <v>0</v>
      </c>
      <c r="AD66" s="26">
        <v>0</v>
      </c>
      <c r="AE66" s="26">
        <v>0</v>
      </c>
      <c r="AF66" s="26">
        <v>0</v>
      </c>
      <c r="AG66" s="26">
        <v>0</v>
      </c>
      <c r="AH66" s="26">
        <v>0</v>
      </c>
      <c r="AI66" s="26">
        <v>0</v>
      </c>
      <c r="AJ66" s="26">
        <v>0</v>
      </c>
    </row>
    <row r="67" spans="1:36" s="56" customFormat="1" x14ac:dyDescent="0.25">
      <c r="A67" t="s">
        <v>579</v>
      </c>
      <c r="B67" t="s">
        <v>309</v>
      </c>
      <c r="C67" s="26">
        <v>5</v>
      </c>
      <c r="D67" s="26">
        <v>5</v>
      </c>
      <c r="E67" s="26">
        <v>5</v>
      </c>
      <c r="F67" s="26">
        <v>5</v>
      </c>
      <c r="G67" s="26">
        <v>5</v>
      </c>
      <c r="H67" s="26">
        <v>5</v>
      </c>
      <c r="I67" s="26">
        <v>5</v>
      </c>
      <c r="J67" s="26">
        <v>5</v>
      </c>
      <c r="K67" s="26">
        <v>5</v>
      </c>
      <c r="L67" s="26">
        <v>5</v>
      </c>
      <c r="M67" s="26">
        <v>5</v>
      </c>
      <c r="N67" s="26">
        <v>5</v>
      </c>
      <c r="O67" s="26">
        <v>5</v>
      </c>
      <c r="P67" s="26">
        <v>5</v>
      </c>
      <c r="Q67" s="26">
        <v>5</v>
      </c>
      <c r="R67" s="26">
        <v>5</v>
      </c>
      <c r="S67" s="26">
        <v>5</v>
      </c>
      <c r="T67" s="26">
        <v>5</v>
      </c>
      <c r="U67" s="26">
        <v>5</v>
      </c>
      <c r="V67" s="26">
        <v>5</v>
      </c>
      <c r="W67" s="26">
        <v>5</v>
      </c>
      <c r="X67" s="26">
        <v>5</v>
      </c>
      <c r="Y67" s="26">
        <v>5</v>
      </c>
      <c r="Z67" s="26">
        <v>5</v>
      </c>
      <c r="AA67" s="26">
        <v>5</v>
      </c>
      <c r="AB67" s="26">
        <v>5</v>
      </c>
      <c r="AC67" s="26">
        <v>5</v>
      </c>
      <c r="AD67" s="26">
        <v>5</v>
      </c>
      <c r="AE67" s="26">
        <v>5</v>
      </c>
      <c r="AF67" s="26">
        <v>5</v>
      </c>
      <c r="AG67" s="26">
        <v>5</v>
      </c>
      <c r="AH67" s="26">
        <v>5</v>
      </c>
      <c r="AI67" s="26">
        <v>5</v>
      </c>
      <c r="AJ67" s="26">
        <v>5</v>
      </c>
    </row>
    <row r="68" spans="1:36" x14ac:dyDescent="0.25">
      <c r="A68" t="s">
        <v>580</v>
      </c>
      <c r="B68" t="s">
        <v>309</v>
      </c>
      <c r="C68" s="26">
        <v>0</v>
      </c>
      <c r="D68" s="26">
        <v>0</v>
      </c>
      <c r="E68" s="26">
        <v>0</v>
      </c>
      <c r="F68" s="26">
        <v>0</v>
      </c>
      <c r="G68" s="26">
        <v>0</v>
      </c>
      <c r="H68" s="26">
        <v>0</v>
      </c>
      <c r="I68" s="26">
        <v>0</v>
      </c>
      <c r="J68" s="26">
        <v>0</v>
      </c>
      <c r="K68" s="26">
        <v>0</v>
      </c>
      <c r="L68" s="26">
        <v>0</v>
      </c>
      <c r="M68" s="26">
        <v>0</v>
      </c>
      <c r="N68" s="26">
        <v>0</v>
      </c>
      <c r="O68" s="26">
        <v>0</v>
      </c>
      <c r="P68" s="26">
        <v>0</v>
      </c>
      <c r="Q68" s="26">
        <v>0</v>
      </c>
      <c r="R68" s="26">
        <v>0</v>
      </c>
      <c r="S68" s="26">
        <v>0</v>
      </c>
      <c r="T68" s="26">
        <v>0</v>
      </c>
      <c r="U68" s="26">
        <v>0</v>
      </c>
      <c r="V68" s="26">
        <v>0</v>
      </c>
      <c r="W68" s="26">
        <v>0</v>
      </c>
      <c r="X68" s="26">
        <v>0</v>
      </c>
      <c r="Y68" s="26">
        <v>0</v>
      </c>
      <c r="Z68" s="26">
        <v>0</v>
      </c>
      <c r="AA68" s="26">
        <v>0</v>
      </c>
      <c r="AB68" s="26">
        <v>0</v>
      </c>
      <c r="AC68" s="26">
        <v>0</v>
      </c>
      <c r="AD68" s="26">
        <v>0</v>
      </c>
      <c r="AE68" s="26">
        <v>0</v>
      </c>
      <c r="AF68" s="26">
        <v>0</v>
      </c>
      <c r="AG68" s="26">
        <v>0</v>
      </c>
      <c r="AH68" s="26">
        <v>0</v>
      </c>
      <c r="AI68" s="26">
        <v>0</v>
      </c>
      <c r="AJ68" s="26">
        <v>0</v>
      </c>
    </row>
    <row r="69" spans="1:36" x14ac:dyDescent="0.25">
      <c r="A69" t="s">
        <v>581</v>
      </c>
      <c r="B69" t="s">
        <v>309</v>
      </c>
      <c r="C69" s="26">
        <v>0</v>
      </c>
      <c r="D69" s="26">
        <v>0</v>
      </c>
      <c r="E69" s="26">
        <v>0</v>
      </c>
      <c r="F69" s="26">
        <v>0</v>
      </c>
      <c r="G69" s="26">
        <v>0</v>
      </c>
      <c r="H69" s="26">
        <v>0</v>
      </c>
      <c r="I69" s="26">
        <v>0</v>
      </c>
      <c r="J69" s="26">
        <v>0</v>
      </c>
      <c r="K69" s="26">
        <v>0</v>
      </c>
      <c r="L69" s="26">
        <v>0</v>
      </c>
      <c r="M69" s="26">
        <v>0</v>
      </c>
      <c r="N69" s="26">
        <v>0</v>
      </c>
      <c r="O69" s="26">
        <v>0</v>
      </c>
      <c r="P69" s="26">
        <v>0</v>
      </c>
      <c r="Q69" s="26">
        <v>0</v>
      </c>
      <c r="R69" s="26">
        <v>0</v>
      </c>
      <c r="S69" s="26">
        <v>0</v>
      </c>
      <c r="T69" s="26">
        <v>0</v>
      </c>
      <c r="U69" s="26">
        <v>0</v>
      </c>
      <c r="V69" s="26">
        <v>0</v>
      </c>
      <c r="W69" s="26">
        <v>0</v>
      </c>
      <c r="X69" s="26">
        <v>0</v>
      </c>
      <c r="Y69" s="26">
        <v>0</v>
      </c>
      <c r="Z69" s="26">
        <v>0</v>
      </c>
      <c r="AA69" s="26">
        <v>0</v>
      </c>
      <c r="AB69" s="26">
        <v>0</v>
      </c>
      <c r="AC69" s="26">
        <v>0</v>
      </c>
      <c r="AD69" s="26">
        <v>0</v>
      </c>
      <c r="AE69" s="26">
        <v>0</v>
      </c>
      <c r="AF69" s="26">
        <v>0</v>
      </c>
      <c r="AG69" s="26">
        <v>0</v>
      </c>
      <c r="AH69" s="26">
        <v>0</v>
      </c>
      <c r="AI69" s="26">
        <v>0</v>
      </c>
      <c r="AJ69" s="26">
        <v>0</v>
      </c>
    </row>
    <row r="70" spans="1:36" s="56" customFormat="1" x14ac:dyDescent="0.25">
      <c r="A70" t="s">
        <v>582</v>
      </c>
      <c r="B70" t="s">
        <v>309</v>
      </c>
      <c r="C70" s="26">
        <v>90</v>
      </c>
      <c r="D70" s="26">
        <v>90</v>
      </c>
      <c r="E70" s="26">
        <v>90</v>
      </c>
      <c r="F70" s="26">
        <v>90</v>
      </c>
      <c r="G70" s="26">
        <v>90</v>
      </c>
      <c r="H70" s="26">
        <v>90</v>
      </c>
      <c r="I70" s="26">
        <v>90</v>
      </c>
      <c r="J70" s="26">
        <v>90</v>
      </c>
      <c r="K70" s="26">
        <v>90</v>
      </c>
      <c r="L70" s="26">
        <v>90</v>
      </c>
      <c r="M70" s="26">
        <v>90</v>
      </c>
      <c r="N70" s="26">
        <v>90</v>
      </c>
      <c r="O70" s="26">
        <v>90</v>
      </c>
      <c r="P70" s="26">
        <v>90</v>
      </c>
      <c r="Q70" s="26">
        <v>90</v>
      </c>
      <c r="R70" s="26">
        <v>90</v>
      </c>
      <c r="S70" s="26">
        <v>90</v>
      </c>
      <c r="T70" s="26">
        <v>90</v>
      </c>
      <c r="U70" s="26">
        <v>90</v>
      </c>
      <c r="V70" s="26">
        <v>90</v>
      </c>
      <c r="W70" s="26">
        <v>90</v>
      </c>
      <c r="X70" s="26">
        <v>90</v>
      </c>
      <c r="Y70" s="26">
        <v>90</v>
      </c>
      <c r="Z70" s="26">
        <v>90</v>
      </c>
      <c r="AA70" s="26">
        <v>90</v>
      </c>
      <c r="AB70" s="26">
        <v>90</v>
      </c>
      <c r="AC70" s="26">
        <v>90</v>
      </c>
      <c r="AD70" s="26">
        <v>90</v>
      </c>
      <c r="AE70" s="26">
        <v>90</v>
      </c>
      <c r="AF70" s="26">
        <v>90</v>
      </c>
      <c r="AG70" s="26">
        <v>90</v>
      </c>
      <c r="AH70" s="26">
        <v>90</v>
      </c>
      <c r="AI70" s="26">
        <v>90</v>
      </c>
      <c r="AJ70" s="26">
        <v>90</v>
      </c>
    </row>
    <row r="71" spans="1:36" x14ac:dyDescent="0.25">
      <c r="A71" t="s">
        <v>857</v>
      </c>
      <c r="B71" t="s">
        <v>309</v>
      </c>
      <c r="C71" s="26">
        <v>0</v>
      </c>
      <c r="D71" s="26">
        <v>0</v>
      </c>
      <c r="E71" s="26">
        <v>0</v>
      </c>
      <c r="F71" s="26">
        <v>0</v>
      </c>
      <c r="G71" s="26">
        <v>0</v>
      </c>
      <c r="H71" s="26">
        <v>0</v>
      </c>
      <c r="I71" s="26">
        <v>0</v>
      </c>
      <c r="J71" s="26">
        <v>0</v>
      </c>
      <c r="K71" s="26">
        <v>0</v>
      </c>
      <c r="L71" s="26">
        <v>0</v>
      </c>
      <c r="M71" s="26">
        <v>0</v>
      </c>
      <c r="N71" s="26">
        <v>0</v>
      </c>
      <c r="O71" s="26">
        <v>0</v>
      </c>
      <c r="P71" s="26">
        <v>0</v>
      </c>
      <c r="Q71" s="26">
        <v>0</v>
      </c>
      <c r="R71" s="26">
        <v>0</v>
      </c>
      <c r="S71" s="26">
        <v>0</v>
      </c>
      <c r="T71" s="26">
        <v>0</v>
      </c>
      <c r="U71" s="26">
        <v>0</v>
      </c>
      <c r="V71" s="26">
        <v>0</v>
      </c>
      <c r="W71" s="26">
        <v>0</v>
      </c>
      <c r="X71" s="26">
        <v>0</v>
      </c>
      <c r="Y71" s="26">
        <v>0</v>
      </c>
      <c r="Z71" s="26">
        <v>0</v>
      </c>
      <c r="AA71" s="26">
        <v>0</v>
      </c>
      <c r="AB71" s="26">
        <v>0</v>
      </c>
      <c r="AC71" s="26">
        <v>0</v>
      </c>
      <c r="AD71" s="26">
        <v>0</v>
      </c>
      <c r="AE71" s="26">
        <v>0</v>
      </c>
      <c r="AF71" s="26">
        <v>0</v>
      </c>
      <c r="AG71" s="26">
        <v>0</v>
      </c>
      <c r="AH71" s="26">
        <v>0</v>
      </c>
      <c r="AI71" s="26">
        <v>0</v>
      </c>
      <c r="AJ71" s="26">
        <v>0</v>
      </c>
    </row>
    <row r="72" spans="1:36" s="81" customFormat="1" x14ac:dyDescent="0.25">
      <c r="A72" s="81" t="s">
        <v>882</v>
      </c>
      <c r="C72" s="82">
        <f>+SUM(C61:C71)</f>
        <v>100</v>
      </c>
      <c r="D72" s="82">
        <f t="shared" ref="D72" si="100">+SUM(D61:D71)</f>
        <v>100</v>
      </c>
      <c r="E72" s="82">
        <f t="shared" ref="E72" si="101">+SUM(E61:E71)</f>
        <v>100</v>
      </c>
      <c r="F72" s="82">
        <f t="shared" ref="F72" si="102">+SUM(F61:F71)</f>
        <v>100</v>
      </c>
      <c r="G72" s="82">
        <f t="shared" ref="G72" si="103">+SUM(G61:G71)</f>
        <v>100</v>
      </c>
      <c r="H72" s="82">
        <f t="shared" ref="H72" si="104">+SUM(H61:H71)</f>
        <v>100</v>
      </c>
      <c r="I72" s="82">
        <f t="shared" ref="I72" si="105">+SUM(I61:I71)</f>
        <v>100</v>
      </c>
      <c r="J72" s="82">
        <f t="shared" ref="J72" si="106">+SUM(J61:J71)</f>
        <v>100</v>
      </c>
      <c r="K72" s="82">
        <f t="shared" ref="K72" si="107">+SUM(K61:K71)</f>
        <v>100</v>
      </c>
      <c r="L72" s="82">
        <f t="shared" ref="L72" si="108">+SUM(L61:L71)</f>
        <v>100</v>
      </c>
      <c r="M72" s="82">
        <f t="shared" ref="M72" si="109">+SUM(M61:M71)</f>
        <v>100</v>
      </c>
      <c r="N72" s="82">
        <f t="shared" ref="N72" si="110">+SUM(N61:N71)</f>
        <v>100</v>
      </c>
      <c r="O72" s="82">
        <f t="shared" ref="O72" si="111">+SUM(O61:O71)</f>
        <v>100</v>
      </c>
      <c r="P72" s="82">
        <f t="shared" ref="P72" si="112">+SUM(P61:P71)</f>
        <v>100</v>
      </c>
      <c r="Q72" s="82">
        <f t="shared" ref="Q72" si="113">+SUM(Q61:Q71)</f>
        <v>100</v>
      </c>
      <c r="R72" s="82">
        <f t="shared" ref="R72" si="114">+SUM(R61:R71)</f>
        <v>100</v>
      </c>
      <c r="S72" s="82">
        <f t="shared" ref="S72" si="115">+SUM(S61:S71)</f>
        <v>100</v>
      </c>
      <c r="T72" s="82">
        <f t="shared" ref="T72" si="116">+SUM(T61:T71)</f>
        <v>100</v>
      </c>
      <c r="U72" s="82">
        <f t="shared" ref="U72" si="117">+SUM(U61:U71)</f>
        <v>100</v>
      </c>
      <c r="V72" s="82">
        <f t="shared" ref="V72" si="118">+SUM(V61:V71)</f>
        <v>100</v>
      </c>
      <c r="W72" s="82">
        <f t="shared" ref="W72" si="119">+SUM(W61:W71)</f>
        <v>100</v>
      </c>
      <c r="X72" s="82">
        <f t="shared" ref="X72" si="120">+SUM(X61:X71)</f>
        <v>100</v>
      </c>
      <c r="Y72" s="82">
        <f t="shared" ref="Y72" si="121">+SUM(Y61:Y71)</f>
        <v>100</v>
      </c>
      <c r="Z72" s="82">
        <f t="shared" ref="Z72" si="122">+SUM(Z61:Z71)</f>
        <v>100</v>
      </c>
      <c r="AA72" s="82">
        <f t="shared" ref="AA72" si="123">+SUM(AA61:AA71)</f>
        <v>100</v>
      </c>
      <c r="AB72" s="82">
        <f t="shared" ref="AB72" si="124">+SUM(AB61:AB71)</f>
        <v>100</v>
      </c>
      <c r="AC72" s="82">
        <f t="shared" ref="AC72" si="125">+SUM(AC61:AC71)</f>
        <v>100</v>
      </c>
      <c r="AD72" s="82">
        <f t="shared" ref="AD72" si="126">+SUM(AD61:AD71)</f>
        <v>100</v>
      </c>
      <c r="AE72" s="82">
        <f t="shared" ref="AE72" si="127">+SUM(AE61:AE71)</f>
        <v>100</v>
      </c>
      <c r="AF72" s="82">
        <f t="shared" ref="AF72" si="128">+SUM(AF61:AF71)</f>
        <v>100</v>
      </c>
      <c r="AG72" s="82">
        <f t="shared" ref="AG72" si="129">+SUM(AG61:AG71)</f>
        <v>100</v>
      </c>
      <c r="AH72" s="82">
        <f t="shared" ref="AH72" si="130">+SUM(AH61:AH71)</f>
        <v>100</v>
      </c>
      <c r="AI72" s="82">
        <f t="shared" ref="AI72" si="131">+SUM(AI61:AI71)</f>
        <v>100</v>
      </c>
      <c r="AJ72" s="82">
        <f t="shared" ref="AJ72" si="132">+SUM(AJ61:AJ71)</f>
        <v>100</v>
      </c>
    </row>
    <row r="73" spans="1:36" x14ac:dyDescent="0.25">
      <c r="A73" s="80" t="s">
        <v>583</v>
      </c>
      <c r="B73" t="s">
        <v>309</v>
      </c>
      <c r="C73" s="26">
        <v>3</v>
      </c>
      <c r="D73" s="26">
        <v>3</v>
      </c>
      <c r="E73" s="26">
        <v>3</v>
      </c>
      <c r="F73" s="26">
        <v>3</v>
      </c>
      <c r="G73" s="26">
        <v>3</v>
      </c>
      <c r="H73" s="26">
        <v>3</v>
      </c>
      <c r="I73" s="26">
        <v>3</v>
      </c>
      <c r="J73" s="26">
        <v>3</v>
      </c>
      <c r="K73" s="26">
        <v>3</v>
      </c>
      <c r="L73" s="26">
        <v>3</v>
      </c>
      <c r="M73" s="26">
        <v>3</v>
      </c>
      <c r="N73" s="26">
        <v>3</v>
      </c>
      <c r="O73" s="26">
        <v>3</v>
      </c>
      <c r="P73" s="26">
        <v>3</v>
      </c>
      <c r="Q73" s="26">
        <v>3</v>
      </c>
      <c r="R73" s="26">
        <v>3</v>
      </c>
      <c r="S73" s="26">
        <v>3</v>
      </c>
      <c r="T73" s="26">
        <v>3</v>
      </c>
      <c r="U73" s="26">
        <v>3</v>
      </c>
      <c r="V73" s="26">
        <v>3</v>
      </c>
      <c r="W73" s="26">
        <v>3</v>
      </c>
      <c r="X73" s="26">
        <v>3</v>
      </c>
      <c r="Y73" s="26">
        <v>3</v>
      </c>
      <c r="Z73" s="26">
        <v>3</v>
      </c>
      <c r="AA73" s="26">
        <v>3</v>
      </c>
      <c r="AB73" s="26">
        <v>3</v>
      </c>
      <c r="AC73" s="26">
        <v>3</v>
      </c>
      <c r="AD73" s="26">
        <v>3</v>
      </c>
      <c r="AE73" s="26">
        <v>3</v>
      </c>
      <c r="AF73" s="26">
        <v>3</v>
      </c>
      <c r="AG73" s="26">
        <v>3</v>
      </c>
      <c r="AH73" s="26">
        <v>3</v>
      </c>
      <c r="AI73" s="26">
        <v>3</v>
      </c>
      <c r="AJ73" s="26">
        <v>3</v>
      </c>
    </row>
    <row r="74" spans="1:36" x14ac:dyDescent="0.25">
      <c r="A74" s="80" t="s">
        <v>584</v>
      </c>
      <c r="B74" t="s">
        <v>309</v>
      </c>
      <c r="C74" s="26">
        <v>3</v>
      </c>
      <c r="D74" s="26">
        <v>3</v>
      </c>
      <c r="E74" s="26">
        <v>3</v>
      </c>
      <c r="F74" s="26">
        <v>3</v>
      </c>
      <c r="G74" s="26">
        <v>3</v>
      </c>
      <c r="H74" s="26">
        <v>3</v>
      </c>
      <c r="I74" s="26">
        <v>3</v>
      </c>
      <c r="J74" s="26">
        <v>3</v>
      </c>
      <c r="K74" s="26">
        <v>3</v>
      </c>
      <c r="L74" s="26">
        <v>3</v>
      </c>
      <c r="M74" s="26">
        <v>3</v>
      </c>
      <c r="N74" s="26">
        <v>3</v>
      </c>
      <c r="O74" s="26">
        <v>3</v>
      </c>
      <c r="P74" s="26">
        <v>3</v>
      </c>
      <c r="Q74" s="26">
        <v>3</v>
      </c>
      <c r="R74" s="26">
        <v>3</v>
      </c>
      <c r="S74" s="26">
        <v>3</v>
      </c>
      <c r="T74" s="26">
        <v>3</v>
      </c>
      <c r="U74" s="26">
        <v>3</v>
      </c>
      <c r="V74" s="26">
        <v>3</v>
      </c>
      <c r="W74" s="26">
        <v>3</v>
      </c>
      <c r="X74" s="26">
        <v>3</v>
      </c>
      <c r="Y74" s="26">
        <v>3</v>
      </c>
      <c r="Z74" s="26">
        <v>3</v>
      </c>
      <c r="AA74" s="26">
        <v>3</v>
      </c>
      <c r="AB74" s="26">
        <v>3</v>
      </c>
      <c r="AC74" s="26">
        <v>3</v>
      </c>
      <c r="AD74" s="26">
        <v>3</v>
      </c>
      <c r="AE74" s="26">
        <v>3</v>
      </c>
      <c r="AF74" s="26">
        <v>3</v>
      </c>
      <c r="AG74" s="26">
        <v>3</v>
      </c>
      <c r="AH74" s="26">
        <v>3</v>
      </c>
      <c r="AI74" s="26">
        <v>3</v>
      </c>
      <c r="AJ74" s="26">
        <v>3</v>
      </c>
    </row>
    <row r="75" spans="1:36" x14ac:dyDescent="0.25">
      <c r="A75" s="80" t="s">
        <v>585</v>
      </c>
      <c r="B75" t="s">
        <v>309</v>
      </c>
      <c r="C75" s="26">
        <v>86</v>
      </c>
      <c r="D75" s="26">
        <v>86</v>
      </c>
      <c r="E75" s="26">
        <v>86</v>
      </c>
      <c r="F75" s="26">
        <v>86</v>
      </c>
      <c r="G75" s="26">
        <v>86</v>
      </c>
      <c r="H75" s="26">
        <v>86</v>
      </c>
      <c r="I75" s="26">
        <v>86</v>
      </c>
      <c r="J75" s="26">
        <v>86</v>
      </c>
      <c r="K75" s="26">
        <v>86</v>
      </c>
      <c r="L75" s="26">
        <v>86</v>
      </c>
      <c r="M75" s="26">
        <v>86</v>
      </c>
      <c r="N75" s="26">
        <v>86</v>
      </c>
      <c r="O75" s="26">
        <v>86</v>
      </c>
      <c r="P75" s="26">
        <v>86</v>
      </c>
      <c r="Q75" s="26">
        <v>86</v>
      </c>
      <c r="R75" s="26">
        <v>86</v>
      </c>
      <c r="S75" s="26">
        <v>86</v>
      </c>
      <c r="T75" s="26">
        <v>86</v>
      </c>
      <c r="U75" s="26">
        <v>86</v>
      </c>
      <c r="V75" s="26">
        <v>86</v>
      </c>
      <c r="W75" s="26">
        <v>86</v>
      </c>
      <c r="X75" s="26">
        <v>86</v>
      </c>
      <c r="Y75" s="26">
        <v>86</v>
      </c>
      <c r="Z75" s="26">
        <v>86</v>
      </c>
      <c r="AA75" s="26">
        <v>86</v>
      </c>
      <c r="AB75" s="26">
        <v>86</v>
      </c>
      <c r="AC75" s="26">
        <v>86</v>
      </c>
      <c r="AD75" s="26">
        <v>86</v>
      </c>
      <c r="AE75" s="26">
        <v>86</v>
      </c>
      <c r="AF75" s="26">
        <v>86</v>
      </c>
      <c r="AG75" s="26">
        <v>86</v>
      </c>
      <c r="AH75" s="26">
        <v>86</v>
      </c>
      <c r="AI75" s="26">
        <v>86</v>
      </c>
      <c r="AJ75" s="26">
        <v>86</v>
      </c>
    </row>
    <row r="76" spans="1:36" x14ac:dyDescent="0.25">
      <c r="A76" s="80" t="s">
        <v>586</v>
      </c>
      <c r="B76" t="s">
        <v>309</v>
      </c>
      <c r="C76" s="26">
        <v>0</v>
      </c>
      <c r="D76" s="26">
        <v>0</v>
      </c>
      <c r="E76" s="26">
        <v>0</v>
      </c>
      <c r="F76" s="26">
        <v>0</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0</v>
      </c>
      <c r="AF76" s="26">
        <v>0</v>
      </c>
      <c r="AG76" s="26">
        <v>0</v>
      </c>
      <c r="AH76" s="26">
        <v>0</v>
      </c>
      <c r="AI76" s="26">
        <v>0</v>
      </c>
      <c r="AJ76" s="26">
        <v>0</v>
      </c>
    </row>
    <row r="77" spans="1:36" x14ac:dyDescent="0.25">
      <c r="A77" s="80" t="s">
        <v>587</v>
      </c>
      <c r="B77" t="s">
        <v>309</v>
      </c>
      <c r="C77" s="26">
        <v>3</v>
      </c>
      <c r="D77" s="26">
        <v>3</v>
      </c>
      <c r="E77" s="26">
        <v>3</v>
      </c>
      <c r="F77" s="26">
        <v>3</v>
      </c>
      <c r="G77" s="26">
        <v>3</v>
      </c>
      <c r="H77" s="26">
        <v>3</v>
      </c>
      <c r="I77" s="26">
        <v>3</v>
      </c>
      <c r="J77" s="26">
        <v>3</v>
      </c>
      <c r="K77" s="26">
        <v>3</v>
      </c>
      <c r="L77" s="26">
        <v>3</v>
      </c>
      <c r="M77" s="26">
        <v>3</v>
      </c>
      <c r="N77" s="26">
        <v>3</v>
      </c>
      <c r="O77" s="26">
        <v>3</v>
      </c>
      <c r="P77" s="26">
        <v>3</v>
      </c>
      <c r="Q77" s="26">
        <v>3</v>
      </c>
      <c r="R77" s="26">
        <v>3</v>
      </c>
      <c r="S77" s="26">
        <v>3</v>
      </c>
      <c r="T77" s="26">
        <v>3</v>
      </c>
      <c r="U77" s="26">
        <v>3</v>
      </c>
      <c r="V77" s="26">
        <v>3</v>
      </c>
      <c r="W77" s="26">
        <v>3</v>
      </c>
      <c r="X77" s="26">
        <v>3</v>
      </c>
      <c r="Y77" s="26">
        <v>3</v>
      </c>
      <c r="Z77" s="26">
        <v>3</v>
      </c>
      <c r="AA77" s="26">
        <v>3</v>
      </c>
      <c r="AB77" s="26">
        <v>3</v>
      </c>
      <c r="AC77" s="26">
        <v>3</v>
      </c>
      <c r="AD77" s="26">
        <v>3</v>
      </c>
      <c r="AE77" s="26">
        <v>3</v>
      </c>
      <c r="AF77" s="26">
        <v>3</v>
      </c>
      <c r="AG77" s="26">
        <v>3</v>
      </c>
      <c r="AH77" s="26">
        <v>3</v>
      </c>
      <c r="AI77" s="26">
        <v>3</v>
      </c>
      <c r="AJ77" s="26">
        <v>3</v>
      </c>
    </row>
    <row r="78" spans="1:36" x14ac:dyDescent="0.25">
      <c r="A78" s="80" t="s">
        <v>588</v>
      </c>
      <c r="B78" t="s">
        <v>309</v>
      </c>
      <c r="C78" s="26">
        <v>5</v>
      </c>
      <c r="D78" s="26">
        <v>5</v>
      </c>
      <c r="E78" s="26">
        <v>5</v>
      </c>
      <c r="F78" s="26">
        <v>5</v>
      </c>
      <c r="G78" s="26">
        <v>5</v>
      </c>
      <c r="H78" s="26">
        <v>5</v>
      </c>
      <c r="I78" s="26">
        <v>5</v>
      </c>
      <c r="J78" s="26">
        <v>5</v>
      </c>
      <c r="K78" s="26">
        <v>5</v>
      </c>
      <c r="L78" s="26">
        <v>5</v>
      </c>
      <c r="M78" s="26">
        <v>5</v>
      </c>
      <c r="N78" s="26">
        <v>5</v>
      </c>
      <c r="O78" s="26">
        <v>5</v>
      </c>
      <c r="P78" s="26">
        <v>5</v>
      </c>
      <c r="Q78" s="26">
        <v>5</v>
      </c>
      <c r="R78" s="26">
        <v>5</v>
      </c>
      <c r="S78" s="26">
        <v>5</v>
      </c>
      <c r="T78" s="26">
        <v>5</v>
      </c>
      <c r="U78" s="26">
        <v>5</v>
      </c>
      <c r="V78" s="26">
        <v>5</v>
      </c>
      <c r="W78" s="26">
        <v>5</v>
      </c>
      <c r="X78" s="26">
        <v>5</v>
      </c>
      <c r="Y78" s="26">
        <v>5</v>
      </c>
      <c r="Z78" s="26">
        <v>5</v>
      </c>
      <c r="AA78" s="26">
        <v>5</v>
      </c>
      <c r="AB78" s="26">
        <v>5</v>
      </c>
      <c r="AC78" s="26">
        <v>5</v>
      </c>
      <c r="AD78" s="26">
        <v>5</v>
      </c>
      <c r="AE78" s="26">
        <v>5</v>
      </c>
      <c r="AF78" s="26">
        <v>5</v>
      </c>
      <c r="AG78" s="26">
        <v>5</v>
      </c>
      <c r="AH78" s="26">
        <v>5</v>
      </c>
      <c r="AI78" s="26">
        <v>5</v>
      </c>
      <c r="AJ78" s="26">
        <v>5</v>
      </c>
    </row>
    <row r="79" spans="1:36" x14ac:dyDescent="0.25">
      <c r="A79" s="80" t="s">
        <v>589</v>
      </c>
      <c r="B79" t="s">
        <v>309</v>
      </c>
      <c r="C79" s="26">
        <v>0</v>
      </c>
      <c r="D79" s="26">
        <v>0</v>
      </c>
      <c r="E79" s="26">
        <v>0</v>
      </c>
      <c r="F79" s="26">
        <v>0</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0</v>
      </c>
      <c r="AG79" s="26">
        <v>0</v>
      </c>
      <c r="AH79" s="26">
        <v>0</v>
      </c>
      <c r="AI79" s="26">
        <v>0</v>
      </c>
      <c r="AJ79" s="26">
        <v>0</v>
      </c>
    </row>
    <row r="80" spans="1:36" x14ac:dyDescent="0.25">
      <c r="A80" s="80" t="s">
        <v>590</v>
      </c>
      <c r="B80" t="s">
        <v>309</v>
      </c>
      <c r="C80" s="26">
        <v>0</v>
      </c>
      <c r="D80" s="26">
        <v>0</v>
      </c>
      <c r="E80" s="26">
        <v>0</v>
      </c>
      <c r="F80" s="26">
        <v>0</v>
      </c>
      <c r="G80" s="26">
        <v>0</v>
      </c>
      <c r="H80" s="26">
        <v>0</v>
      </c>
      <c r="I80" s="26">
        <v>0</v>
      </c>
      <c r="J80" s="26">
        <v>0</v>
      </c>
      <c r="K80" s="26">
        <v>0</v>
      </c>
      <c r="L80" s="26">
        <v>0</v>
      </c>
      <c r="M80" s="26">
        <v>0</v>
      </c>
      <c r="N80" s="26">
        <v>0</v>
      </c>
      <c r="O80" s="26">
        <v>0</v>
      </c>
      <c r="P80" s="26">
        <v>0</v>
      </c>
      <c r="Q80" s="26">
        <v>0</v>
      </c>
      <c r="R80" s="26">
        <v>0</v>
      </c>
      <c r="S80" s="26">
        <v>0</v>
      </c>
      <c r="T80" s="26">
        <v>0</v>
      </c>
      <c r="U80" s="26">
        <v>0</v>
      </c>
      <c r="V80" s="26">
        <v>0</v>
      </c>
      <c r="W80" s="26">
        <v>0</v>
      </c>
      <c r="X80" s="26">
        <v>0</v>
      </c>
      <c r="Y80" s="26">
        <v>0</v>
      </c>
      <c r="Z80" s="26">
        <v>0</v>
      </c>
      <c r="AA80" s="26">
        <v>0</v>
      </c>
      <c r="AB80" s="26">
        <v>0</v>
      </c>
      <c r="AC80" s="26">
        <v>0</v>
      </c>
      <c r="AD80" s="26">
        <v>0</v>
      </c>
      <c r="AE80" s="26">
        <v>0</v>
      </c>
      <c r="AF80" s="26">
        <v>0</v>
      </c>
      <c r="AG80" s="26">
        <v>0</v>
      </c>
      <c r="AH80" s="26">
        <v>0</v>
      </c>
      <c r="AI80" s="26">
        <v>0</v>
      </c>
      <c r="AJ80" s="26">
        <v>0</v>
      </c>
    </row>
    <row r="81" spans="1:36" x14ac:dyDescent="0.25">
      <c r="A81" s="80" t="s">
        <v>591</v>
      </c>
      <c r="B81" t="s">
        <v>309</v>
      </c>
      <c r="C81" s="26">
        <v>0</v>
      </c>
      <c r="D81" s="26">
        <v>0</v>
      </c>
      <c r="E81" s="26">
        <v>0</v>
      </c>
      <c r="F81" s="26">
        <v>0</v>
      </c>
      <c r="G81" s="26">
        <v>0</v>
      </c>
      <c r="H81" s="26">
        <v>0</v>
      </c>
      <c r="I81" s="26">
        <v>0</v>
      </c>
      <c r="J81" s="26">
        <v>0</v>
      </c>
      <c r="K81" s="26">
        <v>0</v>
      </c>
      <c r="L81" s="26">
        <v>0</v>
      </c>
      <c r="M81" s="26">
        <v>0</v>
      </c>
      <c r="N81" s="26">
        <v>0</v>
      </c>
      <c r="O81" s="26">
        <v>0</v>
      </c>
      <c r="P81" s="26">
        <v>0</v>
      </c>
      <c r="Q81" s="26">
        <v>0</v>
      </c>
      <c r="R81" s="26">
        <v>0</v>
      </c>
      <c r="S81" s="26">
        <v>0</v>
      </c>
      <c r="T81" s="26">
        <v>0</v>
      </c>
      <c r="U81" s="26">
        <v>0</v>
      </c>
      <c r="V81" s="26">
        <v>0</v>
      </c>
      <c r="W81" s="26">
        <v>0</v>
      </c>
      <c r="X81" s="26">
        <v>0</v>
      </c>
      <c r="Y81" s="26">
        <v>0</v>
      </c>
      <c r="Z81" s="26">
        <v>0</v>
      </c>
      <c r="AA81" s="26">
        <v>0</v>
      </c>
      <c r="AB81" s="26">
        <v>0</v>
      </c>
      <c r="AC81" s="26">
        <v>0</v>
      </c>
      <c r="AD81" s="26">
        <v>0</v>
      </c>
      <c r="AE81" s="26">
        <v>0</v>
      </c>
      <c r="AF81" s="26">
        <v>0</v>
      </c>
      <c r="AG81" s="26">
        <v>0</v>
      </c>
      <c r="AH81" s="26">
        <v>0</v>
      </c>
      <c r="AI81" s="26">
        <v>0</v>
      </c>
      <c r="AJ81" s="26">
        <v>0</v>
      </c>
    </row>
    <row r="82" spans="1:36" x14ac:dyDescent="0.25">
      <c r="A82" s="80" t="s">
        <v>592</v>
      </c>
      <c r="B82" t="s">
        <v>309</v>
      </c>
      <c r="C82" s="26">
        <v>0</v>
      </c>
      <c r="D82" s="26">
        <v>0</v>
      </c>
      <c r="E82" s="26">
        <v>0</v>
      </c>
      <c r="F82" s="26">
        <v>0</v>
      </c>
      <c r="G82" s="26">
        <v>0</v>
      </c>
      <c r="H82" s="26">
        <v>0</v>
      </c>
      <c r="I82" s="26">
        <v>0</v>
      </c>
      <c r="J82" s="26">
        <v>0</v>
      </c>
      <c r="K82" s="26">
        <v>0</v>
      </c>
      <c r="L82" s="26">
        <v>0</v>
      </c>
      <c r="M82" s="26">
        <v>0</v>
      </c>
      <c r="N82" s="26">
        <v>0</v>
      </c>
      <c r="O82" s="26">
        <v>0</v>
      </c>
      <c r="P82" s="26">
        <v>0</v>
      </c>
      <c r="Q82" s="26">
        <v>0</v>
      </c>
      <c r="R82" s="26">
        <v>0</v>
      </c>
      <c r="S82" s="26">
        <v>0</v>
      </c>
      <c r="T82" s="26">
        <v>0</v>
      </c>
      <c r="U82" s="26">
        <v>0</v>
      </c>
      <c r="V82" s="26">
        <v>0</v>
      </c>
      <c r="W82" s="26">
        <v>0</v>
      </c>
      <c r="X82" s="26">
        <v>0</v>
      </c>
      <c r="Y82" s="26">
        <v>0</v>
      </c>
      <c r="Z82" s="26">
        <v>0</v>
      </c>
      <c r="AA82" s="26">
        <v>0</v>
      </c>
      <c r="AB82" s="26">
        <v>0</v>
      </c>
      <c r="AC82" s="26">
        <v>0</v>
      </c>
      <c r="AD82" s="26">
        <v>0</v>
      </c>
      <c r="AE82" s="26">
        <v>0</v>
      </c>
      <c r="AF82" s="26">
        <v>0</v>
      </c>
      <c r="AG82" s="26">
        <v>0</v>
      </c>
      <c r="AH82" s="26">
        <v>0</v>
      </c>
      <c r="AI82" s="26">
        <v>0</v>
      </c>
      <c r="AJ82" s="26">
        <v>0</v>
      </c>
    </row>
    <row r="83" spans="1:36" x14ac:dyDescent="0.25">
      <c r="A83" s="80" t="s">
        <v>858</v>
      </c>
      <c r="B83" t="s">
        <v>309</v>
      </c>
      <c r="C83" s="26">
        <v>0</v>
      </c>
      <c r="D83" s="26">
        <v>0</v>
      </c>
      <c r="E83" s="26">
        <v>0</v>
      </c>
      <c r="F83" s="26">
        <v>0</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0</v>
      </c>
      <c r="AD83" s="26">
        <v>0</v>
      </c>
      <c r="AE83" s="26">
        <v>0</v>
      </c>
      <c r="AF83" s="26">
        <v>0</v>
      </c>
      <c r="AG83" s="26">
        <v>0</v>
      </c>
      <c r="AH83" s="26">
        <v>0</v>
      </c>
      <c r="AI83" s="26">
        <v>0</v>
      </c>
      <c r="AJ83" s="26">
        <v>0</v>
      </c>
    </row>
    <row r="84" spans="1:36" s="81" customFormat="1" x14ac:dyDescent="0.25">
      <c r="A84" s="81" t="s">
        <v>882</v>
      </c>
      <c r="C84" s="82">
        <f>+SUM(C73:C83)</f>
        <v>100</v>
      </c>
      <c r="D84" s="82">
        <f t="shared" ref="D84" si="133">+SUM(D73:D83)</f>
        <v>100</v>
      </c>
      <c r="E84" s="82">
        <f t="shared" ref="E84" si="134">+SUM(E73:E83)</f>
        <v>100</v>
      </c>
      <c r="F84" s="82">
        <f t="shared" ref="F84" si="135">+SUM(F73:F83)</f>
        <v>100</v>
      </c>
      <c r="G84" s="82">
        <f t="shared" ref="G84" si="136">+SUM(G73:G83)</f>
        <v>100</v>
      </c>
      <c r="H84" s="82">
        <f t="shared" ref="H84" si="137">+SUM(H73:H83)</f>
        <v>100</v>
      </c>
      <c r="I84" s="82">
        <f t="shared" ref="I84" si="138">+SUM(I73:I83)</f>
        <v>100</v>
      </c>
      <c r="J84" s="82">
        <f t="shared" ref="J84" si="139">+SUM(J73:J83)</f>
        <v>100</v>
      </c>
      <c r="K84" s="82">
        <f t="shared" ref="K84" si="140">+SUM(K73:K83)</f>
        <v>100</v>
      </c>
      <c r="L84" s="82">
        <f t="shared" ref="L84" si="141">+SUM(L73:L83)</f>
        <v>100</v>
      </c>
      <c r="M84" s="82">
        <f t="shared" ref="M84" si="142">+SUM(M73:M83)</f>
        <v>100</v>
      </c>
      <c r="N84" s="82">
        <f t="shared" ref="N84" si="143">+SUM(N73:N83)</f>
        <v>100</v>
      </c>
      <c r="O84" s="82">
        <f t="shared" ref="O84" si="144">+SUM(O73:O83)</f>
        <v>100</v>
      </c>
      <c r="P84" s="82">
        <f t="shared" ref="P84" si="145">+SUM(P73:P83)</f>
        <v>100</v>
      </c>
      <c r="Q84" s="82">
        <f t="shared" ref="Q84" si="146">+SUM(Q73:Q83)</f>
        <v>100</v>
      </c>
      <c r="R84" s="82">
        <f t="shared" ref="R84" si="147">+SUM(R73:R83)</f>
        <v>100</v>
      </c>
      <c r="S84" s="82">
        <f t="shared" ref="S84" si="148">+SUM(S73:S83)</f>
        <v>100</v>
      </c>
      <c r="T84" s="82">
        <f t="shared" ref="T84" si="149">+SUM(T73:T83)</f>
        <v>100</v>
      </c>
      <c r="U84" s="82">
        <f t="shared" ref="U84" si="150">+SUM(U73:U83)</f>
        <v>100</v>
      </c>
      <c r="V84" s="82">
        <f t="shared" ref="V84" si="151">+SUM(V73:V83)</f>
        <v>100</v>
      </c>
      <c r="W84" s="82">
        <f t="shared" ref="W84" si="152">+SUM(W73:W83)</f>
        <v>100</v>
      </c>
      <c r="X84" s="82">
        <f t="shared" ref="X84" si="153">+SUM(X73:X83)</f>
        <v>100</v>
      </c>
      <c r="Y84" s="82">
        <f t="shared" ref="Y84" si="154">+SUM(Y73:Y83)</f>
        <v>100</v>
      </c>
      <c r="Z84" s="82">
        <f t="shared" ref="Z84" si="155">+SUM(Z73:Z83)</f>
        <v>100</v>
      </c>
      <c r="AA84" s="82">
        <f t="shared" ref="AA84" si="156">+SUM(AA73:AA83)</f>
        <v>100</v>
      </c>
      <c r="AB84" s="82">
        <f t="shared" ref="AB84" si="157">+SUM(AB73:AB83)</f>
        <v>100</v>
      </c>
      <c r="AC84" s="82">
        <f t="shared" ref="AC84" si="158">+SUM(AC73:AC83)</f>
        <v>100</v>
      </c>
      <c r="AD84" s="82">
        <f t="shared" ref="AD84" si="159">+SUM(AD73:AD83)</f>
        <v>100</v>
      </c>
      <c r="AE84" s="82">
        <f t="shared" ref="AE84" si="160">+SUM(AE73:AE83)</f>
        <v>100</v>
      </c>
      <c r="AF84" s="82">
        <f t="shared" ref="AF84" si="161">+SUM(AF73:AF83)</f>
        <v>100</v>
      </c>
      <c r="AG84" s="82">
        <f t="shared" ref="AG84" si="162">+SUM(AG73:AG83)</f>
        <v>100</v>
      </c>
      <c r="AH84" s="82">
        <f t="shared" ref="AH84" si="163">+SUM(AH73:AH83)</f>
        <v>100</v>
      </c>
      <c r="AI84" s="82">
        <f t="shared" ref="AI84" si="164">+SUM(AI73:AI83)</f>
        <v>100</v>
      </c>
      <c r="AJ84" s="82">
        <f t="shared" ref="AJ84" si="165">+SUM(AJ73:AJ83)</f>
        <v>100</v>
      </c>
    </row>
    <row r="85" spans="1:36" s="79" customFormat="1" ht="15.75" x14ac:dyDescent="0.25">
      <c r="A85" s="77" t="s">
        <v>875</v>
      </c>
      <c r="B85" s="78"/>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x14ac:dyDescent="0.25">
      <c r="A86" t="s">
        <v>593</v>
      </c>
      <c r="B86" t="s">
        <v>309</v>
      </c>
      <c r="C86" s="26">
        <v>0</v>
      </c>
      <c r="D86" s="26">
        <v>0</v>
      </c>
      <c r="E86" s="26">
        <v>0</v>
      </c>
      <c r="F86" s="26">
        <v>0</v>
      </c>
      <c r="G86" s="26">
        <v>0</v>
      </c>
      <c r="H86" s="26">
        <v>0</v>
      </c>
      <c r="I86" s="26">
        <v>0</v>
      </c>
      <c r="J86" s="26">
        <v>0</v>
      </c>
      <c r="K86" s="26">
        <v>0</v>
      </c>
      <c r="L86" s="26">
        <v>0</v>
      </c>
      <c r="M86" s="26">
        <v>0</v>
      </c>
      <c r="N86" s="26">
        <v>0</v>
      </c>
      <c r="O86" s="26">
        <v>0</v>
      </c>
      <c r="P86" s="26">
        <v>0</v>
      </c>
      <c r="Q86" s="26">
        <v>0</v>
      </c>
      <c r="R86" s="26">
        <v>0</v>
      </c>
      <c r="S86" s="26">
        <v>0</v>
      </c>
      <c r="T86" s="26">
        <v>0</v>
      </c>
      <c r="U86" s="26">
        <v>0</v>
      </c>
      <c r="V86" s="26">
        <v>0</v>
      </c>
      <c r="W86" s="26">
        <v>0</v>
      </c>
      <c r="X86" s="26">
        <v>0</v>
      </c>
      <c r="Y86" s="26">
        <v>0</v>
      </c>
      <c r="Z86" s="26">
        <v>0</v>
      </c>
      <c r="AA86" s="26">
        <v>0</v>
      </c>
      <c r="AB86" s="26">
        <v>0</v>
      </c>
      <c r="AC86" s="26">
        <v>0</v>
      </c>
      <c r="AD86" s="26">
        <v>0</v>
      </c>
      <c r="AE86" s="26">
        <v>0</v>
      </c>
      <c r="AF86" s="26">
        <v>0</v>
      </c>
      <c r="AG86" s="26">
        <v>0</v>
      </c>
      <c r="AH86" s="26">
        <v>0</v>
      </c>
      <c r="AI86" s="26">
        <v>0</v>
      </c>
      <c r="AJ86" s="26">
        <v>0</v>
      </c>
    </row>
    <row r="87" spans="1:36" x14ac:dyDescent="0.25">
      <c r="A87" t="s">
        <v>594</v>
      </c>
      <c r="B87" t="s">
        <v>309</v>
      </c>
      <c r="C87" s="26">
        <v>0</v>
      </c>
      <c r="D87" s="26">
        <v>0</v>
      </c>
      <c r="E87" s="26">
        <v>0</v>
      </c>
      <c r="F87" s="26">
        <v>0</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0</v>
      </c>
      <c r="AB87" s="26">
        <v>0</v>
      </c>
      <c r="AC87" s="26">
        <v>0</v>
      </c>
      <c r="AD87" s="26">
        <v>0</v>
      </c>
      <c r="AE87" s="26">
        <v>0</v>
      </c>
      <c r="AF87" s="26">
        <v>0</v>
      </c>
      <c r="AG87" s="26">
        <v>0</v>
      </c>
      <c r="AH87" s="26">
        <v>0</v>
      </c>
      <c r="AI87" s="26">
        <v>0</v>
      </c>
      <c r="AJ87" s="26">
        <v>0</v>
      </c>
    </row>
    <row r="88" spans="1:36" x14ac:dyDescent="0.25">
      <c r="A88" t="s">
        <v>595</v>
      </c>
      <c r="B88" t="s">
        <v>309</v>
      </c>
      <c r="C88" s="26">
        <v>1</v>
      </c>
      <c r="D88" s="26">
        <v>1</v>
      </c>
      <c r="E88" s="26">
        <v>1</v>
      </c>
      <c r="F88" s="26">
        <v>1</v>
      </c>
      <c r="G88" s="26">
        <v>1</v>
      </c>
      <c r="H88" s="26">
        <v>1</v>
      </c>
      <c r="I88" s="26">
        <v>1</v>
      </c>
      <c r="J88" s="26">
        <v>1</v>
      </c>
      <c r="K88" s="26">
        <v>1</v>
      </c>
      <c r="L88" s="26">
        <v>1</v>
      </c>
      <c r="M88" s="26">
        <v>1</v>
      </c>
      <c r="N88" s="26">
        <v>1</v>
      </c>
      <c r="O88" s="26">
        <v>1</v>
      </c>
      <c r="P88" s="26">
        <v>1</v>
      </c>
      <c r="Q88" s="26">
        <v>1</v>
      </c>
      <c r="R88" s="26">
        <v>1</v>
      </c>
      <c r="S88" s="26">
        <v>1</v>
      </c>
      <c r="T88" s="26">
        <v>1</v>
      </c>
      <c r="U88" s="26">
        <v>1</v>
      </c>
      <c r="V88" s="26">
        <v>1</v>
      </c>
      <c r="W88" s="26">
        <v>1</v>
      </c>
      <c r="X88" s="26">
        <v>1</v>
      </c>
      <c r="Y88" s="26">
        <v>1</v>
      </c>
      <c r="Z88" s="26">
        <v>1</v>
      </c>
      <c r="AA88" s="26">
        <v>1</v>
      </c>
      <c r="AB88" s="26">
        <v>1</v>
      </c>
      <c r="AC88" s="26">
        <v>1</v>
      </c>
      <c r="AD88" s="26">
        <v>1</v>
      </c>
      <c r="AE88" s="26">
        <v>1</v>
      </c>
      <c r="AF88" s="26">
        <v>1</v>
      </c>
      <c r="AG88" s="26">
        <v>1</v>
      </c>
      <c r="AH88" s="26">
        <v>1</v>
      </c>
      <c r="AI88" s="26">
        <v>1</v>
      </c>
      <c r="AJ88" s="26">
        <v>1</v>
      </c>
    </row>
    <row r="89" spans="1:36" x14ac:dyDescent="0.25">
      <c r="A89" t="s">
        <v>596</v>
      </c>
      <c r="B89" t="s">
        <v>309</v>
      </c>
      <c r="C89" s="26">
        <v>0</v>
      </c>
      <c r="D89" s="26">
        <v>0</v>
      </c>
      <c r="E89" s="26">
        <v>0</v>
      </c>
      <c r="F89" s="26">
        <v>0</v>
      </c>
      <c r="G89" s="26">
        <v>0</v>
      </c>
      <c r="H89" s="26">
        <v>0</v>
      </c>
      <c r="I89" s="26">
        <v>0</v>
      </c>
      <c r="J89" s="26">
        <v>0</v>
      </c>
      <c r="K89" s="26">
        <v>0</v>
      </c>
      <c r="L89" s="26">
        <v>0</v>
      </c>
      <c r="M89" s="26">
        <v>0</v>
      </c>
      <c r="N89" s="26">
        <v>0</v>
      </c>
      <c r="O89" s="26">
        <v>0</v>
      </c>
      <c r="P89" s="26">
        <v>0</v>
      </c>
      <c r="Q89" s="26">
        <v>0</v>
      </c>
      <c r="R89" s="26">
        <v>0</v>
      </c>
      <c r="S89" s="26">
        <v>0</v>
      </c>
      <c r="T89" s="26">
        <v>0</v>
      </c>
      <c r="U89" s="26">
        <v>0</v>
      </c>
      <c r="V89" s="26">
        <v>0</v>
      </c>
      <c r="W89" s="26">
        <v>0</v>
      </c>
      <c r="X89" s="26">
        <v>0</v>
      </c>
      <c r="Y89" s="26">
        <v>0</v>
      </c>
      <c r="Z89" s="26">
        <v>0</v>
      </c>
      <c r="AA89" s="26">
        <v>0</v>
      </c>
      <c r="AB89" s="26">
        <v>0</v>
      </c>
      <c r="AC89" s="26">
        <v>0</v>
      </c>
      <c r="AD89" s="26">
        <v>0</v>
      </c>
      <c r="AE89" s="26">
        <v>0</v>
      </c>
      <c r="AF89" s="26">
        <v>0</v>
      </c>
      <c r="AG89" s="26">
        <v>0</v>
      </c>
      <c r="AH89" s="26">
        <v>0</v>
      </c>
      <c r="AI89" s="26">
        <v>0</v>
      </c>
      <c r="AJ89" s="26">
        <v>0</v>
      </c>
    </row>
    <row r="90" spans="1:36" x14ac:dyDescent="0.25">
      <c r="A90" t="s">
        <v>597</v>
      </c>
      <c r="B90" t="s">
        <v>309</v>
      </c>
      <c r="C90" s="26">
        <v>0</v>
      </c>
      <c r="D90" s="26">
        <v>0</v>
      </c>
      <c r="E90" s="26">
        <v>0</v>
      </c>
      <c r="F90" s="26">
        <v>0</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row>
    <row r="91" spans="1:36" x14ac:dyDescent="0.25">
      <c r="A91" t="s">
        <v>598</v>
      </c>
      <c r="B91" t="s">
        <v>309</v>
      </c>
      <c r="C91" s="26">
        <v>0</v>
      </c>
      <c r="D91" s="26">
        <v>0</v>
      </c>
      <c r="E91" s="26">
        <v>0</v>
      </c>
      <c r="F91" s="26">
        <v>0</v>
      </c>
      <c r="G91" s="26">
        <v>0</v>
      </c>
      <c r="H91" s="26">
        <v>0</v>
      </c>
      <c r="I91" s="26">
        <v>0</v>
      </c>
      <c r="J91" s="26">
        <v>0</v>
      </c>
      <c r="K91" s="26">
        <v>0</v>
      </c>
      <c r="L91" s="26">
        <v>0</v>
      </c>
      <c r="M91" s="26">
        <v>0</v>
      </c>
      <c r="N91" s="26">
        <v>0</v>
      </c>
      <c r="O91" s="26">
        <v>0</v>
      </c>
      <c r="P91" s="26">
        <v>0</v>
      </c>
      <c r="Q91" s="26">
        <v>0</v>
      </c>
      <c r="R91" s="26">
        <v>0</v>
      </c>
      <c r="S91" s="26">
        <v>0</v>
      </c>
      <c r="T91" s="26">
        <v>0</v>
      </c>
      <c r="U91" s="26">
        <v>0</v>
      </c>
      <c r="V91" s="26">
        <v>0</v>
      </c>
      <c r="W91" s="26">
        <v>0</v>
      </c>
      <c r="X91" s="26">
        <v>0</v>
      </c>
      <c r="Y91" s="26">
        <v>0</v>
      </c>
      <c r="Z91" s="26">
        <v>0</v>
      </c>
      <c r="AA91" s="26">
        <v>0</v>
      </c>
      <c r="AB91" s="26">
        <v>0</v>
      </c>
      <c r="AC91" s="26">
        <v>0</v>
      </c>
      <c r="AD91" s="26">
        <v>0</v>
      </c>
      <c r="AE91" s="26">
        <v>0</v>
      </c>
      <c r="AF91" s="26">
        <v>0</v>
      </c>
      <c r="AG91" s="26">
        <v>0</v>
      </c>
      <c r="AH91" s="26">
        <v>0</v>
      </c>
      <c r="AI91" s="26">
        <v>0</v>
      </c>
      <c r="AJ91" s="26">
        <v>0</v>
      </c>
    </row>
    <row r="92" spans="1:36" x14ac:dyDescent="0.25">
      <c r="A92" t="s">
        <v>599</v>
      </c>
      <c r="B92" t="s">
        <v>309</v>
      </c>
      <c r="C92" s="26">
        <v>0</v>
      </c>
      <c r="D92" s="26">
        <v>0</v>
      </c>
      <c r="E92" s="26">
        <v>0</v>
      </c>
      <c r="F92" s="26">
        <v>0</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row>
    <row r="93" spans="1:36" x14ac:dyDescent="0.25">
      <c r="A93" t="s">
        <v>600</v>
      </c>
      <c r="B93" t="s">
        <v>309</v>
      </c>
      <c r="C93" s="26">
        <v>0</v>
      </c>
      <c r="D93" s="26">
        <v>0</v>
      </c>
      <c r="E93" s="26">
        <v>0</v>
      </c>
      <c r="F93" s="26">
        <v>0</v>
      </c>
      <c r="G93" s="26">
        <v>0</v>
      </c>
      <c r="H93" s="26">
        <v>0</v>
      </c>
      <c r="I93" s="26">
        <v>0</v>
      </c>
      <c r="J93" s="26">
        <v>0</v>
      </c>
      <c r="K93" s="26">
        <v>0</v>
      </c>
      <c r="L93" s="26">
        <v>0</v>
      </c>
      <c r="M93" s="26">
        <v>0</v>
      </c>
      <c r="N93" s="26">
        <v>0</v>
      </c>
      <c r="O93" s="26">
        <v>0</v>
      </c>
      <c r="P93" s="26">
        <v>0</v>
      </c>
      <c r="Q93" s="26">
        <v>0</v>
      </c>
      <c r="R93" s="26">
        <v>0</v>
      </c>
      <c r="S93" s="26">
        <v>0</v>
      </c>
      <c r="T93" s="26">
        <v>0</v>
      </c>
      <c r="U93" s="26">
        <v>0</v>
      </c>
      <c r="V93" s="26">
        <v>0</v>
      </c>
      <c r="W93" s="26">
        <v>0</v>
      </c>
      <c r="X93" s="26">
        <v>0</v>
      </c>
      <c r="Y93" s="26">
        <v>0</v>
      </c>
      <c r="Z93" s="26">
        <v>0</v>
      </c>
      <c r="AA93" s="26">
        <v>0</v>
      </c>
      <c r="AB93" s="26">
        <v>0</v>
      </c>
      <c r="AC93" s="26">
        <v>0</v>
      </c>
      <c r="AD93" s="26">
        <v>0</v>
      </c>
      <c r="AE93" s="26">
        <v>0</v>
      </c>
      <c r="AF93" s="26">
        <v>0</v>
      </c>
      <c r="AG93" s="26">
        <v>0</v>
      </c>
      <c r="AH93" s="26">
        <v>0</v>
      </c>
      <c r="AI93" s="26">
        <v>0</v>
      </c>
      <c r="AJ93" s="26">
        <v>0</v>
      </c>
    </row>
    <row r="94" spans="1:36" x14ac:dyDescent="0.25">
      <c r="A94" t="s">
        <v>601</v>
      </c>
      <c r="B94" t="s">
        <v>309</v>
      </c>
      <c r="C94" s="26">
        <v>0</v>
      </c>
      <c r="D94" s="26">
        <v>0</v>
      </c>
      <c r="E94" s="26">
        <v>0</v>
      </c>
      <c r="F94" s="26">
        <v>0</v>
      </c>
      <c r="G94" s="26">
        <v>0</v>
      </c>
      <c r="H94" s="26">
        <v>0</v>
      </c>
      <c r="I94" s="26">
        <v>0</v>
      </c>
      <c r="J94" s="26">
        <v>0</v>
      </c>
      <c r="K94" s="26">
        <v>0</v>
      </c>
      <c r="L94" s="26">
        <v>0</v>
      </c>
      <c r="M94" s="26">
        <v>0</v>
      </c>
      <c r="N94" s="26">
        <v>0</v>
      </c>
      <c r="O94" s="26">
        <v>0</v>
      </c>
      <c r="P94" s="26">
        <v>0</v>
      </c>
      <c r="Q94" s="26">
        <v>0</v>
      </c>
      <c r="R94" s="26">
        <v>0</v>
      </c>
      <c r="S94" s="26">
        <v>0</v>
      </c>
      <c r="T94" s="26">
        <v>0</v>
      </c>
      <c r="U94" s="26">
        <v>0</v>
      </c>
      <c r="V94" s="26">
        <v>0</v>
      </c>
      <c r="W94" s="26">
        <v>0</v>
      </c>
      <c r="X94" s="26">
        <v>0</v>
      </c>
      <c r="Y94" s="26">
        <v>0</v>
      </c>
      <c r="Z94" s="26">
        <v>0</v>
      </c>
      <c r="AA94" s="26">
        <v>0</v>
      </c>
      <c r="AB94" s="26">
        <v>0</v>
      </c>
      <c r="AC94" s="26">
        <v>0</v>
      </c>
      <c r="AD94" s="26">
        <v>0</v>
      </c>
      <c r="AE94" s="26">
        <v>0</v>
      </c>
      <c r="AF94" s="26">
        <v>0</v>
      </c>
      <c r="AG94" s="26">
        <v>0</v>
      </c>
      <c r="AH94" s="26">
        <v>0</v>
      </c>
      <c r="AI94" s="26">
        <v>0</v>
      </c>
      <c r="AJ94" s="26">
        <v>0</v>
      </c>
    </row>
    <row r="95" spans="1:36" x14ac:dyDescent="0.25">
      <c r="A95" t="s">
        <v>602</v>
      </c>
      <c r="B95" t="s">
        <v>309</v>
      </c>
      <c r="C95" s="26">
        <v>99</v>
      </c>
      <c r="D95" s="26">
        <v>99</v>
      </c>
      <c r="E95" s="26">
        <v>99</v>
      </c>
      <c r="F95" s="26">
        <v>99</v>
      </c>
      <c r="G95" s="26">
        <v>99</v>
      </c>
      <c r="H95" s="26">
        <v>99</v>
      </c>
      <c r="I95" s="26">
        <v>99</v>
      </c>
      <c r="J95" s="26">
        <v>99</v>
      </c>
      <c r="K95" s="26">
        <v>99</v>
      </c>
      <c r="L95" s="26">
        <v>99</v>
      </c>
      <c r="M95" s="26">
        <v>99</v>
      </c>
      <c r="N95" s="26">
        <v>99</v>
      </c>
      <c r="O95" s="26">
        <v>99</v>
      </c>
      <c r="P95" s="26">
        <v>99</v>
      </c>
      <c r="Q95" s="26">
        <v>99</v>
      </c>
      <c r="R95" s="26">
        <v>99</v>
      </c>
      <c r="S95" s="26">
        <v>99</v>
      </c>
      <c r="T95" s="26">
        <v>99</v>
      </c>
      <c r="U95" s="26">
        <v>99</v>
      </c>
      <c r="V95" s="26">
        <v>99</v>
      </c>
      <c r="W95" s="26">
        <v>99</v>
      </c>
      <c r="X95" s="26">
        <v>99</v>
      </c>
      <c r="Y95" s="26">
        <v>99</v>
      </c>
      <c r="Z95" s="26">
        <v>99</v>
      </c>
      <c r="AA95" s="26">
        <v>99</v>
      </c>
      <c r="AB95" s="26">
        <v>99</v>
      </c>
      <c r="AC95" s="26">
        <v>99</v>
      </c>
      <c r="AD95" s="26">
        <v>99</v>
      </c>
      <c r="AE95" s="26">
        <v>99</v>
      </c>
      <c r="AF95" s="26">
        <v>99</v>
      </c>
      <c r="AG95" s="26">
        <v>99</v>
      </c>
      <c r="AH95" s="26">
        <v>99</v>
      </c>
      <c r="AI95" s="26">
        <v>99</v>
      </c>
      <c r="AJ95" s="26">
        <v>99</v>
      </c>
    </row>
    <row r="96" spans="1:36" x14ac:dyDescent="0.25">
      <c r="A96" t="s">
        <v>859</v>
      </c>
      <c r="B96" t="s">
        <v>309</v>
      </c>
      <c r="C96" s="26">
        <v>0</v>
      </c>
      <c r="D96" s="26">
        <v>0</v>
      </c>
      <c r="E96" s="26">
        <v>0</v>
      </c>
      <c r="F96" s="26">
        <v>0</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0</v>
      </c>
      <c r="AB96" s="26">
        <v>0</v>
      </c>
      <c r="AC96" s="26">
        <v>0</v>
      </c>
      <c r="AD96" s="26">
        <v>0</v>
      </c>
      <c r="AE96" s="26">
        <v>0</v>
      </c>
      <c r="AF96" s="26">
        <v>0</v>
      </c>
      <c r="AG96" s="26">
        <v>0</v>
      </c>
      <c r="AH96" s="26">
        <v>0</v>
      </c>
      <c r="AI96" s="26">
        <v>0</v>
      </c>
      <c r="AJ96" s="26">
        <v>0</v>
      </c>
    </row>
    <row r="97" spans="1:36" x14ac:dyDescent="0.25">
      <c r="A97" t="s">
        <v>603</v>
      </c>
      <c r="B97" t="s">
        <v>309</v>
      </c>
      <c r="C97" s="26">
        <v>0</v>
      </c>
      <c r="D97" s="26">
        <v>0</v>
      </c>
      <c r="E97" s="26">
        <v>0</v>
      </c>
      <c r="F97" s="26">
        <v>0</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row>
    <row r="98" spans="1:36" x14ac:dyDescent="0.25">
      <c r="A98" t="s">
        <v>604</v>
      </c>
      <c r="B98" t="s">
        <v>309</v>
      </c>
      <c r="C98" s="26">
        <v>0</v>
      </c>
      <c r="D98" s="26">
        <v>0</v>
      </c>
      <c r="E98" s="26">
        <v>0</v>
      </c>
      <c r="F98" s="26">
        <v>0</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row>
    <row r="99" spans="1:36" x14ac:dyDescent="0.25">
      <c r="A99" t="s">
        <v>605</v>
      </c>
      <c r="B99" t="s">
        <v>309</v>
      </c>
      <c r="C99" s="26">
        <v>2</v>
      </c>
      <c r="D99" s="26">
        <v>2</v>
      </c>
      <c r="E99" s="26">
        <v>2</v>
      </c>
      <c r="F99" s="26">
        <v>2</v>
      </c>
      <c r="G99" s="26">
        <v>2</v>
      </c>
      <c r="H99" s="26">
        <v>2</v>
      </c>
      <c r="I99" s="26">
        <v>2</v>
      </c>
      <c r="J99" s="26">
        <v>2</v>
      </c>
      <c r="K99" s="26">
        <v>2</v>
      </c>
      <c r="L99" s="26">
        <v>2</v>
      </c>
      <c r="M99" s="26">
        <v>2</v>
      </c>
      <c r="N99" s="26">
        <v>2</v>
      </c>
      <c r="O99" s="26">
        <v>2</v>
      </c>
      <c r="P99" s="26">
        <v>2</v>
      </c>
      <c r="Q99" s="26">
        <v>2</v>
      </c>
      <c r="R99" s="26">
        <v>2</v>
      </c>
      <c r="S99" s="26">
        <v>2</v>
      </c>
      <c r="T99" s="26">
        <v>2</v>
      </c>
      <c r="U99" s="26">
        <v>2</v>
      </c>
      <c r="V99" s="26">
        <v>2</v>
      </c>
      <c r="W99" s="26">
        <v>2</v>
      </c>
      <c r="X99" s="26">
        <v>2</v>
      </c>
      <c r="Y99" s="26">
        <v>2</v>
      </c>
      <c r="Z99" s="26">
        <v>2</v>
      </c>
      <c r="AA99" s="26">
        <v>2</v>
      </c>
      <c r="AB99" s="26">
        <v>2</v>
      </c>
      <c r="AC99" s="26">
        <v>2</v>
      </c>
      <c r="AD99" s="26">
        <v>2</v>
      </c>
      <c r="AE99" s="26">
        <v>2</v>
      </c>
      <c r="AF99" s="26">
        <v>2</v>
      </c>
      <c r="AG99" s="26">
        <v>2</v>
      </c>
      <c r="AH99" s="26">
        <v>2</v>
      </c>
      <c r="AI99" s="26">
        <v>2</v>
      </c>
      <c r="AJ99" s="26">
        <v>2</v>
      </c>
    </row>
    <row r="100" spans="1:36" x14ac:dyDescent="0.25">
      <c r="A100" t="s">
        <v>606</v>
      </c>
      <c r="B100" t="s">
        <v>309</v>
      </c>
      <c r="C100" s="26">
        <v>0</v>
      </c>
      <c r="D100" s="26">
        <v>0</v>
      </c>
      <c r="E100" s="26">
        <v>0</v>
      </c>
      <c r="F100" s="26">
        <v>0</v>
      </c>
      <c r="G100" s="26">
        <v>0</v>
      </c>
      <c r="H100" s="26">
        <v>0</v>
      </c>
      <c r="I100" s="26">
        <v>0</v>
      </c>
      <c r="J100" s="26">
        <v>0</v>
      </c>
      <c r="K100" s="26">
        <v>0</v>
      </c>
      <c r="L100" s="26">
        <v>0</v>
      </c>
      <c r="M100" s="26">
        <v>0</v>
      </c>
      <c r="N100" s="26">
        <v>0</v>
      </c>
      <c r="O100" s="26">
        <v>0</v>
      </c>
      <c r="P100" s="26">
        <v>0</v>
      </c>
      <c r="Q100" s="26">
        <v>0</v>
      </c>
      <c r="R100" s="26">
        <v>0</v>
      </c>
      <c r="S100" s="26">
        <v>0</v>
      </c>
      <c r="T100" s="26">
        <v>0</v>
      </c>
      <c r="U100" s="26">
        <v>0</v>
      </c>
      <c r="V100" s="26">
        <v>0</v>
      </c>
      <c r="W100" s="26">
        <v>0</v>
      </c>
      <c r="X100" s="26">
        <v>0</v>
      </c>
      <c r="Y100" s="26">
        <v>0</v>
      </c>
      <c r="Z100" s="26">
        <v>0</v>
      </c>
      <c r="AA100" s="26">
        <v>0</v>
      </c>
      <c r="AB100" s="26">
        <v>0</v>
      </c>
      <c r="AC100" s="26">
        <v>0</v>
      </c>
      <c r="AD100" s="26">
        <v>0</v>
      </c>
      <c r="AE100" s="26">
        <v>0</v>
      </c>
      <c r="AF100" s="26">
        <v>0</v>
      </c>
      <c r="AG100" s="26">
        <v>0</v>
      </c>
      <c r="AH100" s="26">
        <v>0</v>
      </c>
      <c r="AI100" s="26">
        <v>0</v>
      </c>
      <c r="AJ100" s="26">
        <v>0</v>
      </c>
    </row>
    <row r="101" spans="1:36" x14ac:dyDescent="0.25">
      <c r="A101" t="s">
        <v>607</v>
      </c>
      <c r="B101" t="s">
        <v>309</v>
      </c>
      <c r="C101" s="26">
        <v>0</v>
      </c>
      <c r="D101" s="26">
        <v>0</v>
      </c>
      <c r="E101" s="26">
        <v>0</v>
      </c>
      <c r="F101" s="26">
        <v>0</v>
      </c>
      <c r="G101" s="26">
        <v>0</v>
      </c>
      <c r="H101" s="26">
        <v>0</v>
      </c>
      <c r="I101" s="26">
        <v>0</v>
      </c>
      <c r="J101" s="26">
        <v>0</v>
      </c>
      <c r="K101" s="26">
        <v>0</v>
      </c>
      <c r="L101" s="26">
        <v>0</v>
      </c>
      <c r="M101" s="26">
        <v>0</v>
      </c>
      <c r="N101" s="26">
        <v>0</v>
      </c>
      <c r="O101" s="26">
        <v>0</v>
      </c>
      <c r="P101" s="26">
        <v>0</v>
      </c>
      <c r="Q101" s="26">
        <v>0</v>
      </c>
      <c r="R101" s="26">
        <v>0</v>
      </c>
      <c r="S101" s="26">
        <v>0</v>
      </c>
      <c r="T101" s="26">
        <v>0</v>
      </c>
      <c r="U101" s="26">
        <v>0</v>
      </c>
      <c r="V101" s="26">
        <v>0</v>
      </c>
      <c r="W101" s="26">
        <v>0</v>
      </c>
      <c r="X101" s="26">
        <v>0</v>
      </c>
      <c r="Y101" s="26">
        <v>0</v>
      </c>
      <c r="Z101" s="26">
        <v>0</v>
      </c>
      <c r="AA101" s="26">
        <v>0</v>
      </c>
      <c r="AB101" s="26">
        <v>0</v>
      </c>
      <c r="AC101" s="26">
        <v>0</v>
      </c>
      <c r="AD101" s="26">
        <v>0</v>
      </c>
      <c r="AE101" s="26">
        <v>0</v>
      </c>
      <c r="AF101" s="26">
        <v>0</v>
      </c>
      <c r="AG101" s="26">
        <v>0</v>
      </c>
      <c r="AH101" s="26">
        <v>0</v>
      </c>
      <c r="AI101" s="26">
        <v>0</v>
      </c>
      <c r="AJ101" s="26">
        <v>0</v>
      </c>
    </row>
    <row r="102" spans="1:36" x14ac:dyDescent="0.25">
      <c r="A102" t="s">
        <v>608</v>
      </c>
      <c r="B102" t="s">
        <v>309</v>
      </c>
      <c r="C102" s="26">
        <v>0</v>
      </c>
      <c r="D102" s="26">
        <v>0</v>
      </c>
      <c r="E102" s="26">
        <v>0</v>
      </c>
      <c r="F102" s="26">
        <v>0</v>
      </c>
      <c r="G102" s="26">
        <v>0</v>
      </c>
      <c r="H102" s="26">
        <v>0</v>
      </c>
      <c r="I102" s="26">
        <v>0</v>
      </c>
      <c r="J102" s="26">
        <v>0</v>
      </c>
      <c r="K102" s="26">
        <v>0</v>
      </c>
      <c r="L102" s="26">
        <v>0</v>
      </c>
      <c r="M102" s="26">
        <v>0</v>
      </c>
      <c r="N102" s="26">
        <v>0</v>
      </c>
      <c r="O102" s="26">
        <v>0</v>
      </c>
      <c r="P102" s="26">
        <v>0</v>
      </c>
      <c r="Q102" s="26">
        <v>0</v>
      </c>
      <c r="R102" s="26">
        <v>0</v>
      </c>
      <c r="S102" s="26">
        <v>0</v>
      </c>
      <c r="T102" s="26">
        <v>0</v>
      </c>
      <c r="U102" s="26">
        <v>0</v>
      </c>
      <c r="V102" s="26">
        <v>0</v>
      </c>
      <c r="W102" s="26">
        <v>0</v>
      </c>
      <c r="X102" s="26">
        <v>0</v>
      </c>
      <c r="Y102" s="26">
        <v>0</v>
      </c>
      <c r="Z102" s="26">
        <v>0</v>
      </c>
      <c r="AA102" s="26">
        <v>0</v>
      </c>
      <c r="AB102" s="26">
        <v>0</v>
      </c>
      <c r="AC102" s="26">
        <v>0</v>
      </c>
      <c r="AD102" s="26">
        <v>0</v>
      </c>
      <c r="AE102" s="26">
        <v>0</v>
      </c>
      <c r="AF102" s="26">
        <v>0</v>
      </c>
      <c r="AG102" s="26">
        <v>0</v>
      </c>
      <c r="AH102" s="26">
        <v>0</v>
      </c>
      <c r="AI102" s="26">
        <v>0</v>
      </c>
      <c r="AJ102" s="26">
        <v>0</v>
      </c>
    </row>
    <row r="103" spans="1:36" x14ac:dyDescent="0.25">
      <c r="A103" t="s">
        <v>609</v>
      </c>
      <c r="B103" t="s">
        <v>309</v>
      </c>
      <c r="C103" s="26">
        <v>5</v>
      </c>
      <c r="D103" s="26">
        <v>5</v>
      </c>
      <c r="E103" s="26">
        <v>5</v>
      </c>
      <c r="F103" s="26">
        <v>5</v>
      </c>
      <c r="G103" s="26">
        <v>5</v>
      </c>
      <c r="H103" s="26">
        <v>5</v>
      </c>
      <c r="I103" s="26">
        <v>5</v>
      </c>
      <c r="J103" s="26">
        <v>5</v>
      </c>
      <c r="K103" s="26">
        <v>5</v>
      </c>
      <c r="L103" s="26">
        <v>5</v>
      </c>
      <c r="M103" s="26">
        <v>5</v>
      </c>
      <c r="N103" s="26">
        <v>5</v>
      </c>
      <c r="O103" s="26">
        <v>5</v>
      </c>
      <c r="P103" s="26">
        <v>5</v>
      </c>
      <c r="Q103" s="26">
        <v>5</v>
      </c>
      <c r="R103" s="26">
        <v>5</v>
      </c>
      <c r="S103" s="26">
        <v>5</v>
      </c>
      <c r="T103" s="26">
        <v>5</v>
      </c>
      <c r="U103" s="26">
        <v>5</v>
      </c>
      <c r="V103" s="26">
        <v>5</v>
      </c>
      <c r="W103" s="26">
        <v>5</v>
      </c>
      <c r="X103" s="26">
        <v>5</v>
      </c>
      <c r="Y103" s="26">
        <v>5</v>
      </c>
      <c r="Z103" s="26">
        <v>5</v>
      </c>
      <c r="AA103" s="26">
        <v>5</v>
      </c>
      <c r="AB103" s="26">
        <v>5</v>
      </c>
      <c r="AC103" s="26">
        <v>5</v>
      </c>
      <c r="AD103" s="26">
        <v>5</v>
      </c>
      <c r="AE103" s="26">
        <v>5</v>
      </c>
      <c r="AF103" s="26">
        <v>5</v>
      </c>
      <c r="AG103" s="26">
        <v>5</v>
      </c>
      <c r="AH103" s="26">
        <v>5</v>
      </c>
      <c r="AI103" s="26">
        <v>5</v>
      </c>
      <c r="AJ103" s="26">
        <v>5</v>
      </c>
    </row>
    <row r="104" spans="1:36" x14ac:dyDescent="0.25">
      <c r="A104" t="s">
        <v>610</v>
      </c>
      <c r="B104" t="s">
        <v>309</v>
      </c>
      <c r="C104" s="26">
        <v>0</v>
      </c>
      <c r="D104" s="26">
        <v>0</v>
      </c>
      <c r="E104" s="26">
        <v>0</v>
      </c>
      <c r="F104" s="26">
        <v>0</v>
      </c>
      <c r="G104" s="26">
        <v>0</v>
      </c>
      <c r="H104" s="26">
        <v>0</v>
      </c>
      <c r="I104" s="26">
        <v>0</v>
      </c>
      <c r="J104" s="26">
        <v>0</v>
      </c>
      <c r="K104" s="26">
        <v>0</v>
      </c>
      <c r="L104" s="26">
        <v>0</v>
      </c>
      <c r="M104" s="26">
        <v>0</v>
      </c>
      <c r="N104" s="26">
        <v>0</v>
      </c>
      <c r="O104" s="26">
        <v>0</v>
      </c>
      <c r="P104" s="26">
        <v>0</v>
      </c>
      <c r="Q104" s="26">
        <v>0</v>
      </c>
      <c r="R104" s="26">
        <v>0</v>
      </c>
      <c r="S104" s="26">
        <v>0</v>
      </c>
      <c r="T104" s="26">
        <v>0</v>
      </c>
      <c r="U104" s="26">
        <v>0</v>
      </c>
      <c r="V104" s="26">
        <v>0</v>
      </c>
      <c r="W104" s="26">
        <v>0</v>
      </c>
      <c r="X104" s="26">
        <v>0</v>
      </c>
      <c r="Y104" s="26">
        <v>0</v>
      </c>
      <c r="Z104" s="26">
        <v>0</v>
      </c>
      <c r="AA104" s="26">
        <v>0</v>
      </c>
      <c r="AB104" s="26">
        <v>0</v>
      </c>
      <c r="AC104" s="26">
        <v>0</v>
      </c>
      <c r="AD104" s="26">
        <v>0</v>
      </c>
      <c r="AE104" s="26">
        <v>0</v>
      </c>
      <c r="AF104" s="26">
        <v>0</v>
      </c>
      <c r="AG104" s="26">
        <v>0</v>
      </c>
      <c r="AH104" s="26">
        <v>0</v>
      </c>
      <c r="AI104" s="26">
        <v>0</v>
      </c>
      <c r="AJ104" s="26">
        <v>0</v>
      </c>
    </row>
    <row r="105" spans="1:36" x14ac:dyDescent="0.25">
      <c r="A105" t="s">
        <v>611</v>
      </c>
      <c r="B105" t="s">
        <v>309</v>
      </c>
      <c r="C105" s="26">
        <v>0</v>
      </c>
      <c r="D105" s="26">
        <v>0</v>
      </c>
      <c r="E105" s="26">
        <v>0</v>
      </c>
      <c r="F105" s="26">
        <v>0</v>
      </c>
      <c r="G105" s="26">
        <v>0</v>
      </c>
      <c r="H105" s="26">
        <v>0</v>
      </c>
      <c r="I105" s="26">
        <v>0</v>
      </c>
      <c r="J105" s="26">
        <v>0</v>
      </c>
      <c r="K105" s="26">
        <v>0</v>
      </c>
      <c r="L105" s="26">
        <v>0</v>
      </c>
      <c r="M105" s="26">
        <v>0</v>
      </c>
      <c r="N105" s="26">
        <v>0</v>
      </c>
      <c r="O105" s="26">
        <v>0</v>
      </c>
      <c r="P105" s="26">
        <v>0</v>
      </c>
      <c r="Q105" s="26">
        <v>0</v>
      </c>
      <c r="R105" s="26">
        <v>0</v>
      </c>
      <c r="S105" s="26">
        <v>0</v>
      </c>
      <c r="T105" s="26">
        <v>0</v>
      </c>
      <c r="U105" s="26">
        <v>0</v>
      </c>
      <c r="V105" s="26">
        <v>0</v>
      </c>
      <c r="W105" s="26">
        <v>0</v>
      </c>
      <c r="X105" s="26">
        <v>0</v>
      </c>
      <c r="Y105" s="26">
        <v>0</v>
      </c>
      <c r="Z105" s="26">
        <v>0</v>
      </c>
      <c r="AA105" s="26">
        <v>0</v>
      </c>
      <c r="AB105" s="26">
        <v>0</v>
      </c>
      <c r="AC105" s="26">
        <v>0</v>
      </c>
      <c r="AD105" s="26">
        <v>0</v>
      </c>
      <c r="AE105" s="26">
        <v>0</v>
      </c>
      <c r="AF105" s="26">
        <v>0</v>
      </c>
      <c r="AG105" s="26">
        <v>0</v>
      </c>
      <c r="AH105" s="26">
        <v>0</v>
      </c>
      <c r="AI105" s="26">
        <v>0</v>
      </c>
      <c r="AJ105" s="26">
        <v>0</v>
      </c>
    </row>
    <row r="106" spans="1:36" x14ac:dyDescent="0.25">
      <c r="A106" t="s">
        <v>612</v>
      </c>
      <c r="B106" t="s">
        <v>309</v>
      </c>
      <c r="C106" s="26">
        <v>93</v>
      </c>
      <c r="D106" s="26">
        <v>93</v>
      </c>
      <c r="E106" s="26">
        <v>93</v>
      </c>
      <c r="F106" s="26">
        <v>93</v>
      </c>
      <c r="G106" s="26">
        <v>93</v>
      </c>
      <c r="H106" s="26">
        <v>93</v>
      </c>
      <c r="I106" s="26">
        <v>93</v>
      </c>
      <c r="J106" s="26">
        <v>93</v>
      </c>
      <c r="K106" s="26">
        <v>93</v>
      </c>
      <c r="L106" s="26">
        <v>93</v>
      </c>
      <c r="M106" s="26">
        <v>93</v>
      </c>
      <c r="N106" s="26">
        <v>93</v>
      </c>
      <c r="O106" s="26">
        <v>93</v>
      </c>
      <c r="P106" s="26">
        <v>93</v>
      </c>
      <c r="Q106" s="26">
        <v>93</v>
      </c>
      <c r="R106" s="26">
        <v>93</v>
      </c>
      <c r="S106" s="26">
        <v>93</v>
      </c>
      <c r="T106" s="26">
        <v>93</v>
      </c>
      <c r="U106" s="26">
        <v>93</v>
      </c>
      <c r="V106" s="26">
        <v>93</v>
      </c>
      <c r="W106" s="26">
        <v>93</v>
      </c>
      <c r="X106" s="26">
        <v>93</v>
      </c>
      <c r="Y106" s="26">
        <v>93</v>
      </c>
      <c r="Z106" s="26">
        <v>93</v>
      </c>
      <c r="AA106" s="26">
        <v>93</v>
      </c>
      <c r="AB106" s="26">
        <v>93</v>
      </c>
      <c r="AC106" s="26">
        <v>93</v>
      </c>
      <c r="AD106" s="26">
        <v>93</v>
      </c>
      <c r="AE106" s="26">
        <v>93</v>
      </c>
      <c r="AF106" s="26">
        <v>93</v>
      </c>
      <c r="AG106" s="26">
        <v>93</v>
      </c>
      <c r="AH106" s="26">
        <v>93</v>
      </c>
      <c r="AI106" s="26">
        <v>93</v>
      </c>
      <c r="AJ106" s="26">
        <v>93</v>
      </c>
    </row>
    <row r="107" spans="1:36" x14ac:dyDescent="0.25">
      <c r="A107" t="s">
        <v>860</v>
      </c>
      <c r="B107" t="s">
        <v>309</v>
      </c>
      <c r="C107" s="26">
        <v>0</v>
      </c>
      <c r="D107" s="26">
        <v>0</v>
      </c>
      <c r="E107" s="26">
        <v>0</v>
      </c>
      <c r="F107" s="26">
        <v>0</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0</v>
      </c>
      <c r="Y107" s="26">
        <v>0</v>
      </c>
      <c r="Z107" s="26">
        <v>0</v>
      </c>
      <c r="AA107" s="26">
        <v>0</v>
      </c>
      <c r="AB107" s="26">
        <v>0</v>
      </c>
      <c r="AC107" s="26">
        <v>0</v>
      </c>
      <c r="AD107" s="26">
        <v>0</v>
      </c>
      <c r="AE107" s="26">
        <v>0</v>
      </c>
      <c r="AF107" s="26">
        <v>0</v>
      </c>
      <c r="AG107" s="26">
        <v>0</v>
      </c>
      <c r="AH107" s="26">
        <v>0</v>
      </c>
      <c r="AI107" s="26">
        <v>0</v>
      </c>
      <c r="AJ107" s="26">
        <v>0</v>
      </c>
    </row>
    <row r="108" spans="1:36" s="81" customFormat="1" x14ac:dyDescent="0.25">
      <c r="A108" s="81" t="s">
        <v>882</v>
      </c>
      <c r="C108" s="82">
        <f>+SUM(C97:C107)</f>
        <v>100</v>
      </c>
      <c r="D108" s="82">
        <f t="shared" ref="D108" si="166">+SUM(D97:D107)</f>
        <v>100</v>
      </c>
      <c r="E108" s="82">
        <f t="shared" ref="E108" si="167">+SUM(E97:E107)</f>
        <v>100</v>
      </c>
      <c r="F108" s="82">
        <f t="shared" ref="F108" si="168">+SUM(F97:F107)</f>
        <v>100</v>
      </c>
      <c r="G108" s="82">
        <f t="shared" ref="G108" si="169">+SUM(G97:G107)</f>
        <v>100</v>
      </c>
      <c r="H108" s="82">
        <f t="shared" ref="H108" si="170">+SUM(H97:H107)</f>
        <v>100</v>
      </c>
      <c r="I108" s="82">
        <f t="shared" ref="I108" si="171">+SUM(I97:I107)</f>
        <v>100</v>
      </c>
      <c r="J108" s="82">
        <f t="shared" ref="J108" si="172">+SUM(J97:J107)</f>
        <v>100</v>
      </c>
      <c r="K108" s="82">
        <f t="shared" ref="K108" si="173">+SUM(K97:K107)</f>
        <v>100</v>
      </c>
      <c r="L108" s="82">
        <f t="shared" ref="L108" si="174">+SUM(L97:L107)</f>
        <v>100</v>
      </c>
      <c r="M108" s="82">
        <f t="shared" ref="M108" si="175">+SUM(M97:M107)</f>
        <v>100</v>
      </c>
      <c r="N108" s="82">
        <f t="shared" ref="N108" si="176">+SUM(N97:N107)</f>
        <v>100</v>
      </c>
      <c r="O108" s="82">
        <f t="shared" ref="O108" si="177">+SUM(O97:O107)</f>
        <v>100</v>
      </c>
      <c r="P108" s="82">
        <f t="shared" ref="P108" si="178">+SUM(P97:P107)</f>
        <v>100</v>
      </c>
      <c r="Q108" s="82">
        <f t="shared" ref="Q108" si="179">+SUM(Q97:Q107)</f>
        <v>100</v>
      </c>
      <c r="R108" s="82">
        <f t="shared" ref="R108" si="180">+SUM(R97:R107)</f>
        <v>100</v>
      </c>
      <c r="S108" s="82">
        <f t="shared" ref="S108" si="181">+SUM(S97:S107)</f>
        <v>100</v>
      </c>
      <c r="T108" s="82">
        <f t="shared" ref="T108" si="182">+SUM(T97:T107)</f>
        <v>100</v>
      </c>
      <c r="U108" s="82">
        <f t="shared" ref="U108" si="183">+SUM(U97:U107)</f>
        <v>100</v>
      </c>
      <c r="V108" s="82">
        <f t="shared" ref="V108" si="184">+SUM(V97:V107)</f>
        <v>100</v>
      </c>
      <c r="W108" s="82">
        <f t="shared" ref="W108" si="185">+SUM(W97:W107)</f>
        <v>100</v>
      </c>
      <c r="X108" s="82">
        <f t="shared" ref="X108" si="186">+SUM(X97:X107)</f>
        <v>100</v>
      </c>
      <c r="Y108" s="82">
        <f t="shared" ref="Y108" si="187">+SUM(Y97:Y107)</f>
        <v>100</v>
      </c>
      <c r="Z108" s="82">
        <f t="shared" ref="Z108" si="188">+SUM(Z97:Z107)</f>
        <v>100</v>
      </c>
      <c r="AA108" s="82">
        <f t="shared" ref="AA108" si="189">+SUM(AA97:AA107)</f>
        <v>100</v>
      </c>
      <c r="AB108" s="82">
        <f t="shared" ref="AB108" si="190">+SUM(AB97:AB107)</f>
        <v>100</v>
      </c>
      <c r="AC108" s="82">
        <f t="shared" ref="AC108" si="191">+SUM(AC97:AC107)</f>
        <v>100</v>
      </c>
      <c r="AD108" s="82">
        <f t="shared" ref="AD108" si="192">+SUM(AD97:AD107)</f>
        <v>100</v>
      </c>
      <c r="AE108" s="82">
        <f t="shared" ref="AE108" si="193">+SUM(AE97:AE107)</f>
        <v>100</v>
      </c>
      <c r="AF108" s="82">
        <f t="shared" ref="AF108" si="194">+SUM(AF97:AF107)</f>
        <v>100</v>
      </c>
      <c r="AG108" s="82">
        <f t="shared" ref="AG108" si="195">+SUM(AG97:AG107)</f>
        <v>100</v>
      </c>
      <c r="AH108" s="82">
        <f t="shared" ref="AH108" si="196">+SUM(AH97:AH107)</f>
        <v>100</v>
      </c>
      <c r="AI108" s="82">
        <f t="shared" ref="AI108" si="197">+SUM(AI97:AI107)</f>
        <v>100</v>
      </c>
      <c r="AJ108" s="82">
        <f t="shared" ref="AJ108" si="198">+SUM(AJ97:AJ107)</f>
        <v>100</v>
      </c>
    </row>
    <row r="109" spans="1:36" s="79" customFormat="1" ht="15.75" x14ac:dyDescent="0.25">
      <c r="A109" s="77" t="s">
        <v>876</v>
      </c>
      <c r="B109" s="78"/>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x14ac:dyDescent="0.25">
      <c r="A110" t="s">
        <v>613</v>
      </c>
      <c r="B110" t="s">
        <v>309</v>
      </c>
      <c r="C110" s="26">
        <v>0</v>
      </c>
      <c r="D110" s="26">
        <v>0</v>
      </c>
      <c r="E110" s="26">
        <v>0</v>
      </c>
      <c r="F110" s="26">
        <v>0</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row>
    <row r="111" spans="1:36" x14ac:dyDescent="0.25">
      <c r="A111" t="s">
        <v>614</v>
      </c>
      <c r="B111" t="s">
        <v>309</v>
      </c>
      <c r="C111" s="26">
        <v>0</v>
      </c>
      <c r="D111" s="26">
        <v>0</v>
      </c>
      <c r="E111" s="26">
        <v>0</v>
      </c>
      <c r="F111" s="26">
        <v>0</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row>
    <row r="112" spans="1:36" x14ac:dyDescent="0.25">
      <c r="A112" t="s">
        <v>615</v>
      </c>
      <c r="B112" t="s">
        <v>309</v>
      </c>
      <c r="C112" s="26">
        <v>1</v>
      </c>
      <c r="D112" s="26">
        <v>1</v>
      </c>
      <c r="E112" s="26">
        <v>1</v>
      </c>
      <c r="F112" s="26">
        <v>1</v>
      </c>
      <c r="G112" s="26">
        <v>1</v>
      </c>
      <c r="H112" s="26">
        <v>1</v>
      </c>
      <c r="I112" s="26">
        <v>1</v>
      </c>
      <c r="J112" s="26">
        <v>1</v>
      </c>
      <c r="K112" s="26">
        <v>1</v>
      </c>
      <c r="L112" s="26">
        <v>1</v>
      </c>
      <c r="M112" s="26">
        <v>1</v>
      </c>
      <c r="N112" s="26">
        <v>1</v>
      </c>
      <c r="O112" s="26">
        <v>1</v>
      </c>
      <c r="P112" s="26">
        <v>1</v>
      </c>
      <c r="Q112" s="26">
        <v>1</v>
      </c>
      <c r="R112" s="26">
        <v>1</v>
      </c>
      <c r="S112" s="26">
        <v>1</v>
      </c>
      <c r="T112" s="26">
        <v>1</v>
      </c>
      <c r="U112" s="26">
        <v>1</v>
      </c>
      <c r="V112" s="26">
        <v>1</v>
      </c>
      <c r="W112" s="26">
        <v>1</v>
      </c>
      <c r="X112" s="26">
        <v>1</v>
      </c>
      <c r="Y112" s="26">
        <v>1</v>
      </c>
      <c r="Z112" s="26">
        <v>1</v>
      </c>
      <c r="AA112" s="26">
        <v>1</v>
      </c>
      <c r="AB112" s="26">
        <v>1</v>
      </c>
      <c r="AC112" s="26">
        <v>1</v>
      </c>
      <c r="AD112" s="26">
        <v>1</v>
      </c>
      <c r="AE112" s="26">
        <v>1</v>
      </c>
      <c r="AF112" s="26">
        <v>1</v>
      </c>
      <c r="AG112" s="26">
        <v>1</v>
      </c>
      <c r="AH112" s="26">
        <v>1</v>
      </c>
      <c r="AI112" s="26">
        <v>1</v>
      </c>
      <c r="AJ112" s="26">
        <v>1</v>
      </c>
    </row>
    <row r="113" spans="1:36" x14ac:dyDescent="0.25">
      <c r="A113" t="s">
        <v>616</v>
      </c>
      <c r="B113" t="s">
        <v>309</v>
      </c>
      <c r="C113" s="26">
        <v>0</v>
      </c>
      <c r="D113" s="26">
        <v>0</v>
      </c>
      <c r="E113" s="26">
        <v>0</v>
      </c>
      <c r="F113" s="26">
        <v>0</v>
      </c>
      <c r="G113" s="26">
        <v>0</v>
      </c>
      <c r="H113" s="26">
        <v>0</v>
      </c>
      <c r="I113" s="26">
        <v>0</v>
      </c>
      <c r="J113" s="26">
        <v>0</v>
      </c>
      <c r="K113" s="26">
        <v>0</v>
      </c>
      <c r="L113" s="26">
        <v>0</v>
      </c>
      <c r="M113" s="26">
        <v>0</v>
      </c>
      <c r="N113" s="26">
        <v>0</v>
      </c>
      <c r="O113" s="26">
        <v>0</v>
      </c>
      <c r="P113" s="26">
        <v>0</v>
      </c>
      <c r="Q113" s="26">
        <v>0</v>
      </c>
      <c r="R113" s="26">
        <v>0</v>
      </c>
      <c r="S113" s="26">
        <v>0</v>
      </c>
      <c r="T113" s="26">
        <v>0</v>
      </c>
      <c r="U113" s="26">
        <v>0</v>
      </c>
      <c r="V113" s="26">
        <v>0</v>
      </c>
      <c r="W113" s="26">
        <v>0</v>
      </c>
      <c r="X113" s="26">
        <v>0</v>
      </c>
      <c r="Y113" s="26">
        <v>0</v>
      </c>
      <c r="Z113" s="26">
        <v>0</v>
      </c>
      <c r="AA113" s="26">
        <v>0</v>
      </c>
      <c r="AB113" s="26">
        <v>0</v>
      </c>
      <c r="AC113" s="26">
        <v>0</v>
      </c>
      <c r="AD113" s="26">
        <v>0</v>
      </c>
      <c r="AE113" s="26">
        <v>0</v>
      </c>
      <c r="AF113" s="26">
        <v>0</v>
      </c>
      <c r="AG113" s="26">
        <v>0</v>
      </c>
      <c r="AH113" s="26">
        <v>0</v>
      </c>
      <c r="AI113" s="26">
        <v>0</v>
      </c>
      <c r="AJ113" s="26">
        <v>0</v>
      </c>
    </row>
    <row r="114" spans="1:36" x14ac:dyDescent="0.25">
      <c r="A114" t="s">
        <v>617</v>
      </c>
      <c r="B114" t="s">
        <v>309</v>
      </c>
      <c r="C114" s="26">
        <v>0</v>
      </c>
      <c r="D114" s="26">
        <v>0</v>
      </c>
      <c r="E114" s="26">
        <v>0</v>
      </c>
      <c r="F114" s="26">
        <v>0</v>
      </c>
      <c r="G114" s="26">
        <v>0</v>
      </c>
      <c r="H114" s="26">
        <v>0</v>
      </c>
      <c r="I114" s="26">
        <v>0</v>
      </c>
      <c r="J114" s="26">
        <v>0</v>
      </c>
      <c r="K114" s="26">
        <v>0</v>
      </c>
      <c r="L114" s="26">
        <v>0</v>
      </c>
      <c r="M114" s="26">
        <v>0</v>
      </c>
      <c r="N114" s="26">
        <v>0</v>
      </c>
      <c r="O114" s="26">
        <v>0</v>
      </c>
      <c r="P114" s="26">
        <v>0</v>
      </c>
      <c r="Q114" s="26">
        <v>0</v>
      </c>
      <c r="R114" s="26">
        <v>0</v>
      </c>
      <c r="S114" s="26">
        <v>0</v>
      </c>
      <c r="T114" s="26">
        <v>0</v>
      </c>
      <c r="U114" s="26">
        <v>0</v>
      </c>
      <c r="V114" s="26">
        <v>0</v>
      </c>
      <c r="W114" s="26">
        <v>0</v>
      </c>
      <c r="X114" s="26">
        <v>0</v>
      </c>
      <c r="Y114" s="26">
        <v>0</v>
      </c>
      <c r="Z114" s="26">
        <v>0</v>
      </c>
      <c r="AA114" s="26">
        <v>0</v>
      </c>
      <c r="AB114" s="26">
        <v>0</v>
      </c>
      <c r="AC114" s="26">
        <v>0</v>
      </c>
      <c r="AD114" s="26">
        <v>0</v>
      </c>
      <c r="AE114" s="26">
        <v>0</v>
      </c>
      <c r="AF114" s="26">
        <v>0</v>
      </c>
      <c r="AG114" s="26">
        <v>0</v>
      </c>
      <c r="AH114" s="26">
        <v>0</v>
      </c>
      <c r="AI114" s="26">
        <v>0</v>
      </c>
      <c r="AJ114" s="26">
        <v>0</v>
      </c>
    </row>
    <row r="115" spans="1:36" x14ac:dyDescent="0.25">
      <c r="A115" t="s">
        <v>618</v>
      </c>
      <c r="B115" t="s">
        <v>309</v>
      </c>
      <c r="C115" s="26">
        <v>0</v>
      </c>
      <c r="D115" s="26">
        <v>0</v>
      </c>
      <c r="E115" s="26">
        <v>0</v>
      </c>
      <c r="F115" s="26">
        <v>0</v>
      </c>
      <c r="G115" s="26">
        <v>0</v>
      </c>
      <c r="H115" s="26">
        <v>0</v>
      </c>
      <c r="I115" s="26">
        <v>0</v>
      </c>
      <c r="J115" s="26">
        <v>0</v>
      </c>
      <c r="K115" s="26">
        <v>0</v>
      </c>
      <c r="L115" s="26">
        <v>0</v>
      </c>
      <c r="M115" s="26">
        <v>0</v>
      </c>
      <c r="N115" s="26">
        <v>0</v>
      </c>
      <c r="O115" s="26">
        <v>0</v>
      </c>
      <c r="P115" s="26">
        <v>0</v>
      </c>
      <c r="Q115" s="26">
        <v>0</v>
      </c>
      <c r="R115" s="26">
        <v>0</v>
      </c>
      <c r="S115" s="26">
        <v>0</v>
      </c>
      <c r="T115" s="26">
        <v>0</v>
      </c>
      <c r="U115" s="26">
        <v>0</v>
      </c>
      <c r="V115" s="26">
        <v>0</v>
      </c>
      <c r="W115" s="26">
        <v>0</v>
      </c>
      <c r="X115" s="26">
        <v>0</v>
      </c>
      <c r="Y115" s="26">
        <v>0</v>
      </c>
      <c r="Z115" s="26">
        <v>0</v>
      </c>
      <c r="AA115" s="26">
        <v>0</v>
      </c>
      <c r="AB115" s="26">
        <v>0</v>
      </c>
      <c r="AC115" s="26">
        <v>0</v>
      </c>
      <c r="AD115" s="26">
        <v>0</v>
      </c>
      <c r="AE115" s="26">
        <v>0</v>
      </c>
      <c r="AF115" s="26">
        <v>0</v>
      </c>
      <c r="AG115" s="26">
        <v>0</v>
      </c>
      <c r="AH115" s="26">
        <v>0</v>
      </c>
      <c r="AI115" s="26">
        <v>0</v>
      </c>
      <c r="AJ115" s="26">
        <v>0</v>
      </c>
    </row>
    <row r="116" spans="1:36" x14ac:dyDescent="0.25">
      <c r="A116" t="s">
        <v>619</v>
      </c>
      <c r="B116" t="s">
        <v>309</v>
      </c>
      <c r="C116" s="26">
        <v>0</v>
      </c>
      <c r="D116" s="26">
        <v>0</v>
      </c>
      <c r="E116" s="26">
        <v>0</v>
      </c>
      <c r="F116" s="26">
        <v>0</v>
      </c>
      <c r="G116" s="26">
        <v>0</v>
      </c>
      <c r="H116" s="26">
        <v>0</v>
      </c>
      <c r="I116" s="26">
        <v>0</v>
      </c>
      <c r="J116" s="26">
        <v>0</v>
      </c>
      <c r="K116" s="26">
        <v>0</v>
      </c>
      <c r="L116" s="26">
        <v>0</v>
      </c>
      <c r="M116" s="26">
        <v>0</v>
      </c>
      <c r="N116" s="26">
        <v>0</v>
      </c>
      <c r="O116" s="26">
        <v>0</v>
      </c>
      <c r="P116" s="26">
        <v>0</v>
      </c>
      <c r="Q116" s="26">
        <v>0</v>
      </c>
      <c r="R116" s="26">
        <v>0</v>
      </c>
      <c r="S116" s="26">
        <v>0</v>
      </c>
      <c r="T116" s="26">
        <v>0</v>
      </c>
      <c r="U116" s="26">
        <v>0</v>
      </c>
      <c r="V116" s="26">
        <v>0</v>
      </c>
      <c r="W116" s="26">
        <v>0</v>
      </c>
      <c r="X116" s="26">
        <v>0</v>
      </c>
      <c r="Y116" s="26">
        <v>0</v>
      </c>
      <c r="Z116" s="26">
        <v>0</v>
      </c>
      <c r="AA116" s="26">
        <v>0</v>
      </c>
      <c r="AB116" s="26">
        <v>0</v>
      </c>
      <c r="AC116" s="26">
        <v>0</v>
      </c>
      <c r="AD116" s="26">
        <v>0</v>
      </c>
      <c r="AE116" s="26">
        <v>0</v>
      </c>
      <c r="AF116" s="26">
        <v>0</v>
      </c>
      <c r="AG116" s="26">
        <v>0</v>
      </c>
      <c r="AH116" s="26">
        <v>0</v>
      </c>
      <c r="AI116" s="26">
        <v>0</v>
      </c>
      <c r="AJ116" s="26">
        <v>0</v>
      </c>
    </row>
    <row r="117" spans="1:36" x14ac:dyDescent="0.25">
      <c r="A117" t="s">
        <v>620</v>
      </c>
      <c r="B117" t="s">
        <v>309</v>
      </c>
      <c r="C117" s="26">
        <v>0</v>
      </c>
      <c r="D117" s="26">
        <v>0</v>
      </c>
      <c r="E117" s="26">
        <v>0</v>
      </c>
      <c r="F117" s="26">
        <v>0</v>
      </c>
      <c r="G117" s="26">
        <v>0</v>
      </c>
      <c r="H117" s="26">
        <v>0</v>
      </c>
      <c r="I117" s="26">
        <v>0</v>
      </c>
      <c r="J117" s="26">
        <v>0</v>
      </c>
      <c r="K117" s="26">
        <v>0</v>
      </c>
      <c r="L117" s="26">
        <v>0</v>
      </c>
      <c r="M117" s="26">
        <v>0</v>
      </c>
      <c r="N117" s="26">
        <v>0</v>
      </c>
      <c r="O117" s="26">
        <v>0</v>
      </c>
      <c r="P117" s="26">
        <v>0</v>
      </c>
      <c r="Q117" s="26">
        <v>0</v>
      </c>
      <c r="R117" s="26">
        <v>0</v>
      </c>
      <c r="S117" s="26">
        <v>0</v>
      </c>
      <c r="T117" s="26">
        <v>0</v>
      </c>
      <c r="U117" s="26">
        <v>0</v>
      </c>
      <c r="V117" s="26">
        <v>0</v>
      </c>
      <c r="W117" s="26">
        <v>0</v>
      </c>
      <c r="X117" s="26">
        <v>0</v>
      </c>
      <c r="Y117" s="26">
        <v>0</v>
      </c>
      <c r="Z117" s="26">
        <v>0</v>
      </c>
      <c r="AA117" s="26">
        <v>0</v>
      </c>
      <c r="AB117" s="26">
        <v>0</v>
      </c>
      <c r="AC117" s="26">
        <v>0</v>
      </c>
      <c r="AD117" s="26">
        <v>0</v>
      </c>
      <c r="AE117" s="26">
        <v>0</v>
      </c>
      <c r="AF117" s="26">
        <v>0</v>
      </c>
      <c r="AG117" s="26">
        <v>0</v>
      </c>
      <c r="AH117" s="26">
        <v>0</v>
      </c>
      <c r="AI117" s="26">
        <v>0</v>
      </c>
      <c r="AJ117" s="26">
        <v>0</v>
      </c>
    </row>
    <row r="118" spans="1:36" x14ac:dyDescent="0.25">
      <c r="A118" t="s">
        <v>621</v>
      </c>
      <c r="B118" t="s">
        <v>309</v>
      </c>
      <c r="C118" s="26">
        <v>0</v>
      </c>
      <c r="D118" s="26">
        <v>0</v>
      </c>
      <c r="E118" s="26">
        <v>0</v>
      </c>
      <c r="F118" s="26">
        <v>0</v>
      </c>
      <c r="G118" s="26">
        <v>0</v>
      </c>
      <c r="H118" s="26">
        <v>0</v>
      </c>
      <c r="I118" s="26">
        <v>0</v>
      </c>
      <c r="J118" s="26">
        <v>0</v>
      </c>
      <c r="K118" s="26">
        <v>0</v>
      </c>
      <c r="L118" s="26">
        <v>0</v>
      </c>
      <c r="M118" s="26">
        <v>0</v>
      </c>
      <c r="N118" s="26">
        <v>0</v>
      </c>
      <c r="O118" s="26">
        <v>0</v>
      </c>
      <c r="P118" s="26">
        <v>0</v>
      </c>
      <c r="Q118" s="26">
        <v>0</v>
      </c>
      <c r="R118" s="26">
        <v>0</v>
      </c>
      <c r="S118" s="26">
        <v>0</v>
      </c>
      <c r="T118" s="26">
        <v>0</v>
      </c>
      <c r="U118" s="26">
        <v>0</v>
      </c>
      <c r="V118" s="26">
        <v>0</v>
      </c>
      <c r="W118" s="26">
        <v>0</v>
      </c>
      <c r="X118" s="26">
        <v>0</v>
      </c>
      <c r="Y118" s="26">
        <v>0</v>
      </c>
      <c r="Z118" s="26">
        <v>0</v>
      </c>
      <c r="AA118" s="26">
        <v>0</v>
      </c>
      <c r="AB118" s="26">
        <v>0</v>
      </c>
      <c r="AC118" s="26">
        <v>0</v>
      </c>
      <c r="AD118" s="26">
        <v>0</v>
      </c>
      <c r="AE118" s="26">
        <v>0</v>
      </c>
      <c r="AF118" s="26">
        <v>0</v>
      </c>
      <c r="AG118" s="26">
        <v>0</v>
      </c>
      <c r="AH118" s="26">
        <v>0</v>
      </c>
      <c r="AI118" s="26">
        <v>0</v>
      </c>
      <c r="AJ118" s="26">
        <v>0</v>
      </c>
    </row>
    <row r="119" spans="1:36" x14ac:dyDescent="0.25">
      <c r="A119" t="s">
        <v>622</v>
      </c>
      <c r="B119" t="s">
        <v>309</v>
      </c>
      <c r="C119" s="26">
        <v>99</v>
      </c>
      <c r="D119" s="26">
        <v>99</v>
      </c>
      <c r="E119" s="26">
        <v>99</v>
      </c>
      <c r="F119" s="26">
        <v>99</v>
      </c>
      <c r="G119" s="26">
        <v>99</v>
      </c>
      <c r="H119" s="26">
        <v>99</v>
      </c>
      <c r="I119" s="26">
        <v>99</v>
      </c>
      <c r="J119" s="26">
        <v>99</v>
      </c>
      <c r="K119" s="26">
        <v>99</v>
      </c>
      <c r="L119" s="26">
        <v>99</v>
      </c>
      <c r="M119" s="26">
        <v>99</v>
      </c>
      <c r="N119" s="26">
        <v>99</v>
      </c>
      <c r="O119" s="26">
        <v>99</v>
      </c>
      <c r="P119" s="26">
        <v>99</v>
      </c>
      <c r="Q119" s="26">
        <v>99</v>
      </c>
      <c r="R119" s="26">
        <v>99</v>
      </c>
      <c r="S119" s="26">
        <v>99</v>
      </c>
      <c r="T119" s="26">
        <v>99</v>
      </c>
      <c r="U119" s="26">
        <v>99</v>
      </c>
      <c r="V119" s="26">
        <v>99</v>
      </c>
      <c r="W119" s="26">
        <v>99</v>
      </c>
      <c r="X119" s="26">
        <v>99</v>
      </c>
      <c r="Y119" s="26">
        <v>99</v>
      </c>
      <c r="Z119" s="26">
        <v>99</v>
      </c>
      <c r="AA119" s="26">
        <v>99</v>
      </c>
      <c r="AB119" s="26">
        <v>99</v>
      </c>
      <c r="AC119" s="26">
        <v>99</v>
      </c>
      <c r="AD119" s="26">
        <v>99</v>
      </c>
      <c r="AE119" s="26">
        <v>99</v>
      </c>
      <c r="AF119" s="26">
        <v>99</v>
      </c>
      <c r="AG119" s="26">
        <v>99</v>
      </c>
      <c r="AH119" s="26">
        <v>99</v>
      </c>
      <c r="AI119" s="26">
        <v>99</v>
      </c>
      <c r="AJ119" s="26">
        <v>99</v>
      </c>
    </row>
    <row r="120" spans="1:36" x14ac:dyDescent="0.25">
      <c r="A120" t="s">
        <v>861</v>
      </c>
      <c r="B120" t="s">
        <v>309</v>
      </c>
      <c r="C120" s="26">
        <v>0</v>
      </c>
      <c r="D120" s="26">
        <v>0</v>
      </c>
      <c r="E120" s="26">
        <v>0</v>
      </c>
      <c r="F120" s="26">
        <v>0</v>
      </c>
      <c r="G120" s="26">
        <v>0</v>
      </c>
      <c r="H120" s="26">
        <v>0</v>
      </c>
      <c r="I120" s="26">
        <v>0</v>
      </c>
      <c r="J120" s="26">
        <v>0</v>
      </c>
      <c r="K120" s="26">
        <v>0</v>
      </c>
      <c r="L120" s="26">
        <v>0</v>
      </c>
      <c r="M120" s="26">
        <v>0</v>
      </c>
      <c r="N120" s="26">
        <v>0</v>
      </c>
      <c r="O120" s="26">
        <v>0</v>
      </c>
      <c r="P120" s="26">
        <v>0</v>
      </c>
      <c r="Q120" s="26">
        <v>0</v>
      </c>
      <c r="R120" s="26">
        <v>0</v>
      </c>
      <c r="S120" s="26">
        <v>0</v>
      </c>
      <c r="T120" s="26">
        <v>0</v>
      </c>
      <c r="U120" s="26">
        <v>0</v>
      </c>
      <c r="V120" s="26">
        <v>0</v>
      </c>
      <c r="W120" s="26">
        <v>0</v>
      </c>
      <c r="X120" s="26">
        <v>0</v>
      </c>
      <c r="Y120" s="26">
        <v>0</v>
      </c>
      <c r="Z120" s="26">
        <v>0</v>
      </c>
      <c r="AA120" s="26">
        <v>0</v>
      </c>
      <c r="AB120" s="26">
        <v>0</v>
      </c>
      <c r="AC120" s="26">
        <v>0</v>
      </c>
      <c r="AD120" s="26">
        <v>0</v>
      </c>
      <c r="AE120" s="26">
        <v>0</v>
      </c>
      <c r="AF120" s="26">
        <v>0</v>
      </c>
      <c r="AG120" s="26">
        <v>0</v>
      </c>
      <c r="AH120" s="26">
        <v>0</v>
      </c>
      <c r="AI120" s="26">
        <v>0</v>
      </c>
      <c r="AJ120" s="26">
        <v>0</v>
      </c>
    </row>
    <row r="121" spans="1:36" s="81" customFormat="1" x14ac:dyDescent="0.25">
      <c r="A121" s="81" t="s">
        <v>882</v>
      </c>
      <c r="C121" s="82">
        <f>+SUM(C110:C120)</f>
        <v>100</v>
      </c>
      <c r="D121" s="82">
        <f t="shared" ref="D121" si="199">+SUM(D110:D120)</f>
        <v>100</v>
      </c>
      <c r="E121" s="82">
        <f t="shared" ref="E121" si="200">+SUM(E110:E120)</f>
        <v>100</v>
      </c>
      <c r="F121" s="82">
        <f t="shared" ref="F121" si="201">+SUM(F110:F120)</f>
        <v>100</v>
      </c>
      <c r="G121" s="82">
        <f t="shared" ref="G121" si="202">+SUM(G110:G120)</f>
        <v>100</v>
      </c>
      <c r="H121" s="82">
        <f t="shared" ref="H121" si="203">+SUM(H110:H120)</f>
        <v>100</v>
      </c>
      <c r="I121" s="82">
        <f t="shared" ref="I121" si="204">+SUM(I110:I120)</f>
        <v>100</v>
      </c>
      <c r="J121" s="82">
        <f t="shared" ref="J121" si="205">+SUM(J110:J120)</f>
        <v>100</v>
      </c>
      <c r="K121" s="82">
        <f t="shared" ref="K121" si="206">+SUM(K110:K120)</f>
        <v>100</v>
      </c>
      <c r="L121" s="82">
        <f t="shared" ref="L121" si="207">+SUM(L110:L120)</f>
        <v>100</v>
      </c>
      <c r="M121" s="82">
        <f t="shared" ref="M121" si="208">+SUM(M110:M120)</f>
        <v>100</v>
      </c>
      <c r="N121" s="82">
        <f t="shared" ref="N121" si="209">+SUM(N110:N120)</f>
        <v>100</v>
      </c>
      <c r="O121" s="82">
        <f t="shared" ref="O121" si="210">+SUM(O110:O120)</f>
        <v>100</v>
      </c>
      <c r="P121" s="82">
        <f t="shared" ref="P121" si="211">+SUM(P110:P120)</f>
        <v>100</v>
      </c>
      <c r="Q121" s="82">
        <f t="shared" ref="Q121" si="212">+SUM(Q110:Q120)</f>
        <v>100</v>
      </c>
      <c r="R121" s="82">
        <f t="shared" ref="R121" si="213">+SUM(R110:R120)</f>
        <v>100</v>
      </c>
      <c r="S121" s="82">
        <f t="shared" ref="S121" si="214">+SUM(S110:S120)</f>
        <v>100</v>
      </c>
      <c r="T121" s="82">
        <f t="shared" ref="T121" si="215">+SUM(T110:T120)</f>
        <v>100</v>
      </c>
      <c r="U121" s="82">
        <f t="shared" ref="U121" si="216">+SUM(U110:U120)</f>
        <v>100</v>
      </c>
      <c r="V121" s="82">
        <f t="shared" ref="V121" si="217">+SUM(V110:V120)</f>
        <v>100</v>
      </c>
      <c r="W121" s="82">
        <f t="shared" ref="W121" si="218">+SUM(W110:W120)</f>
        <v>100</v>
      </c>
      <c r="X121" s="82">
        <f t="shared" ref="X121" si="219">+SUM(X110:X120)</f>
        <v>100</v>
      </c>
      <c r="Y121" s="82">
        <f t="shared" ref="Y121" si="220">+SUM(Y110:Y120)</f>
        <v>100</v>
      </c>
      <c r="Z121" s="82">
        <f t="shared" ref="Z121" si="221">+SUM(Z110:Z120)</f>
        <v>100</v>
      </c>
      <c r="AA121" s="82">
        <f t="shared" ref="AA121" si="222">+SUM(AA110:AA120)</f>
        <v>100</v>
      </c>
      <c r="AB121" s="82">
        <f t="shared" ref="AB121" si="223">+SUM(AB110:AB120)</f>
        <v>100</v>
      </c>
      <c r="AC121" s="82">
        <f t="shared" ref="AC121" si="224">+SUM(AC110:AC120)</f>
        <v>100</v>
      </c>
      <c r="AD121" s="82">
        <f t="shared" ref="AD121" si="225">+SUM(AD110:AD120)</f>
        <v>100</v>
      </c>
      <c r="AE121" s="82">
        <f t="shared" ref="AE121" si="226">+SUM(AE110:AE120)</f>
        <v>100</v>
      </c>
      <c r="AF121" s="82">
        <f t="shared" ref="AF121" si="227">+SUM(AF110:AF120)</f>
        <v>100</v>
      </c>
      <c r="AG121" s="82">
        <f t="shared" ref="AG121" si="228">+SUM(AG110:AG120)</f>
        <v>100</v>
      </c>
      <c r="AH121" s="82">
        <f t="shared" ref="AH121" si="229">+SUM(AH110:AH120)</f>
        <v>100</v>
      </c>
      <c r="AI121" s="82">
        <f t="shared" ref="AI121" si="230">+SUM(AI110:AI120)</f>
        <v>100</v>
      </c>
      <c r="AJ121" s="82">
        <f t="shared" ref="AJ121" si="231">+SUM(AJ110:AJ120)</f>
        <v>100</v>
      </c>
    </row>
    <row r="122" spans="1:36" x14ac:dyDescent="0.25">
      <c r="A122" t="s">
        <v>623</v>
      </c>
      <c r="B122" t="s">
        <v>309</v>
      </c>
      <c r="C122" s="26">
        <v>0</v>
      </c>
      <c r="D122" s="26">
        <v>0</v>
      </c>
      <c r="E122" s="26">
        <v>0</v>
      </c>
      <c r="F122" s="26">
        <v>0</v>
      </c>
      <c r="G122" s="26">
        <v>0</v>
      </c>
      <c r="H122" s="26">
        <v>0</v>
      </c>
      <c r="I122" s="26">
        <v>0</v>
      </c>
      <c r="J122" s="26">
        <v>0</v>
      </c>
      <c r="K122" s="26">
        <v>0</v>
      </c>
      <c r="L122" s="26">
        <v>0</v>
      </c>
      <c r="M122" s="26">
        <v>0</v>
      </c>
      <c r="N122" s="26">
        <v>0</v>
      </c>
      <c r="O122" s="26">
        <v>0</v>
      </c>
      <c r="P122" s="26">
        <v>0</v>
      </c>
      <c r="Q122" s="26">
        <v>0</v>
      </c>
      <c r="R122" s="26">
        <v>0</v>
      </c>
      <c r="S122" s="26">
        <v>0</v>
      </c>
      <c r="T122" s="26">
        <v>0</v>
      </c>
      <c r="U122" s="26">
        <v>0</v>
      </c>
      <c r="V122" s="26">
        <v>0</v>
      </c>
      <c r="W122" s="26">
        <v>0</v>
      </c>
      <c r="X122" s="26">
        <v>0</v>
      </c>
      <c r="Y122" s="26">
        <v>0</v>
      </c>
      <c r="Z122" s="26">
        <v>0</v>
      </c>
      <c r="AA122" s="26">
        <v>0</v>
      </c>
      <c r="AB122" s="26">
        <v>0</v>
      </c>
      <c r="AC122" s="26">
        <v>0</v>
      </c>
      <c r="AD122" s="26">
        <v>0</v>
      </c>
      <c r="AE122" s="26">
        <v>0</v>
      </c>
      <c r="AF122" s="26">
        <v>0</v>
      </c>
      <c r="AG122" s="26">
        <v>0</v>
      </c>
      <c r="AH122" s="26">
        <v>0</v>
      </c>
      <c r="AI122" s="26">
        <v>0</v>
      </c>
      <c r="AJ122" s="26">
        <v>0</v>
      </c>
    </row>
    <row r="123" spans="1:36" x14ac:dyDescent="0.25">
      <c r="A123" t="s">
        <v>624</v>
      </c>
      <c r="B123" t="s">
        <v>309</v>
      </c>
      <c r="C123" s="26">
        <v>0</v>
      </c>
      <c r="D123" s="26">
        <v>0</v>
      </c>
      <c r="E123" s="26">
        <v>0</v>
      </c>
      <c r="F123" s="26">
        <v>0</v>
      </c>
      <c r="G123" s="26">
        <v>0</v>
      </c>
      <c r="H123" s="26">
        <v>0</v>
      </c>
      <c r="I123" s="26">
        <v>0</v>
      </c>
      <c r="J123" s="26">
        <v>0</v>
      </c>
      <c r="K123" s="26">
        <v>0</v>
      </c>
      <c r="L123" s="26">
        <v>0</v>
      </c>
      <c r="M123" s="26">
        <v>0</v>
      </c>
      <c r="N123" s="26">
        <v>0</v>
      </c>
      <c r="O123" s="26">
        <v>0</v>
      </c>
      <c r="P123" s="26">
        <v>0</v>
      </c>
      <c r="Q123" s="26">
        <v>0</v>
      </c>
      <c r="R123" s="26">
        <v>0</v>
      </c>
      <c r="S123" s="26">
        <v>0</v>
      </c>
      <c r="T123" s="26">
        <v>0</v>
      </c>
      <c r="U123" s="26">
        <v>0</v>
      </c>
      <c r="V123" s="26">
        <v>0</v>
      </c>
      <c r="W123" s="26">
        <v>0</v>
      </c>
      <c r="X123" s="26">
        <v>0</v>
      </c>
      <c r="Y123" s="26">
        <v>0</v>
      </c>
      <c r="Z123" s="26">
        <v>0</v>
      </c>
      <c r="AA123" s="26">
        <v>0</v>
      </c>
      <c r="AB123" s="26">
        <v>0</v>
      </c>
      <c r="AC123" s="26">
        <v>0</v>
      </c>
      <c r="AD123" s="26">
        <v>0</v>
      </c>
      <c r="AE123" s="26">
        <v>0</v>
      </c>
      <c r="AF123" s="26">
        <v>0</v>
      </c>
      <c r="AG123" s="26">
        <v>0</v>
      </c>
      <c r="AH123" s="26">
        <v>0</v>
      </c>
      <c r="AI123" s="26">
        <v>0</v>
      </c>
      <c r="AJ123" s="26">
        <v>0</v>
      </c>
    </row>
    <row r="124" spans="1:36" x14ac:dyDescent="0.25">
      <c r="A124" t="s">
        <v>625</v>
      </c>
      <c r="B124" t="s">
        <v>309</v>
      </c>
      <c r="C124" s="26">
        <v>2</v>
      </c>
      <c r="D124" s="26">
        <v>2</v>
      </c>
      <c r="E124" s="26">
        <v>2</v>
      </c>
      <c r="F124" s="26">
        <v>2</v>
      </c>
      <c r="G124" s="26">
        <v>2</v>
      </c>
      <c r="H124" s="26">
        <v>2</v>
      </c>
      <c r="I124" s="26">
        <v>2</v>
      </c>
      <c r="J124" s="26">
        <v>2</v>
      </c>
      <c r="K124" s="26">
        <v>2</v>
      </c>
      <c r="L124" s="26">
        <v>2</v>
      </c>
      <c r="M124" s="26">
        <v>2</v>
      </c>
      <c r="N124" s="26">
        <v>2</v>
      </c>
      <c r="O124" s="26">
        <v>2</v>
      </c>
      <c r="P124" s="26">
        <v>2</v>
      </c>
      <c r="Q124" s="26">
        <v>2</v>
      </c>
      <c r="R124" s="26">
        <v>2</v>
      </c>
      <c r="S124" s="26">
        <v>2</v>
      </c>
      <c r="T124" s="26">
        <v>2</v>
      </c>
      <c r="U124" s="26">
        <v>2</v>
      </c>
      <c r="V124" s="26">
        <v>2</v>
      </c>
      <c r="W124" s="26">
        <v>2</v>
      </c>
      <c r="X124" s="26">
        <v>2</v>
      </c>
      <c r="Y124" s="26">
        <v>2</v>
      </c>
      <c r="Z124" s="26">
        <v>2</v>
      </c>
      <c r="AA124" s="26">
        <v>2</v>
      </c>
      <c r="AB124" s="26">
        <v>2</v>
      </c>
      <c r="AC124" s="26">
        <v>2</v>
      </c>
      <c r="AD124" s="26">
        <v>2</v>
      </c>
      <c r="AE124" s="26">
        <v>2</v>
      </c>
      <c r="AF124" s="26">
        <v>2</v>
      </c>
      <c r="AG124" s="26">
        <v>2</v>
      </c>
      <c r="AH124" s="26">
        <v>2</v>
      </c>
      <c r="AI124" s="26">
        <v>2</v>
      </c>
      <c r="AJ124" s="26">
        <v>2</v>
      </c>
    </row>
    <row r="125" spans="1:36" x14ac:dyDescent="0.25">
      <c r="A125" t="s">
        <v>626</v>
      </c>
      <c r="B125" t="s">
        <v>309</v>
      </c>
      <c r="C125" s="26">
        <v>0</v>
      </c>
      <c r="D125" s="26">
        <v>0</v>
      </c>
      <c r="E125" s="26">
        <v>0</v>
      </c>
      <c r="F125" s="26">
        <v>0</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v>
      </c>
      <c r="W125" s="26">
        <v>0</v>
      </c>
      <c r="X125" s="26">
        <v>0</v>
      </c>
      <c r="Y125" s="26">
        <v>0</v>
      </c>
      <c r="Z125" s="26">
        <v>0</v>
      </c>
      <c r="AA125" s="26">
        <v>0</v>
      </c>
      <c r="AB125" s="26">
        <v>0</v>
      </c>
      <c r="AC125" s="26">
        <v>0</v>
      </c>
      <c r="AD125" s="26">
        <v>0</v>
      </c>
      <c r="AE125" s="26">
        <v>0</v>
      </c>
      <c r="AF125" s="26">
        <v>0</v>
      </c>
      <c r="AG125" s="26">
        <v>0</v>
      </c>
      <c r="AH125" s="26">
        <v>0</v>
      </c>
      <c r="AI125" s="26">
        <v>0</v>
      </c>
      <c r="AJ125" s="26">
        <v>0</v>
      </c>
    </row>
    <row r="126" spans="1:36" x14ac:dyDescent="0.25">
      <c r="A126" t="s">
        <v>627</v>
      </c>
      <c r="B126" t="s">
        <v>309</v>
      </c>
      <c r="C126" s="26">
        <v>0</v>
      </c>
      <c r="D126" s="26">
        <v>0</v>
      </c>
      <c r="E126" s="26">
        <v>0</v>
      </c>
      <c r="F126" s="26">
        <v>0</v>
      </c>
      <c r="G126" s="26">
        <v>0</v>
      </c>
      <c r="H126" s="26">
        <v>0</v>
      </c>
      <c r="I126" s="26">
        <v>0</v>
      </c>
      <c r="J126" s="26">
        <v>0</v>
      </c>
      <c r="K126" s="26">
        <v>0</v>
      </c>
      <c r="L126" s="26">
        <v>0</v>
      </c>
      <c r="M126" s="26">
        <v>0</v>
      </c>
      <c r="N126" s="26">
        <v>0</v>
      </c>
      <c r="O126" s="26">
        <v>0</v>
      </c>
      <c r="P126" s="26">
        <v>0</v>
      </c>
      <c r="Q126" s="26">
        <v>0</v>
      </c>
      <c r="R126" s="26">
        <v>0</v>
      </c>
      <c r="S126" s="26">
        <v>0</v>
      </c>
      <c r="T126" s="26">
        <v>0</v>
      </c>
      <c r="U126" s="26">
        <v>0</v>
      </c>
      <c r="V126" s="26">
        <v>0</v>
      </c>
      <c r="W126" s="26">
        <v>0</v>
      </c>
      <c r="X126" s="26">
        <v>0</v>
      </c>
      <c r="Y126" s="26">
        <v>0</v>
      </c>
      <c r="Z126" s="26">
        <v>0</v>
      </c>
      <c r="AA126" s="26">
        <v>0</v>
      </c>
      <c r="AB126" s="26">
        <v>0</v>
      </c>
      <c r="AC126" s="26">
        <v>0</v>
      </c>
      <c r="AD126" s="26">
        <v>0</v>
      </c>
      <c r="AE126" s="26">
        <v>0</v>
      </c>
      <c r="AF126" s="26">
        <v>0</v>
      </c>
      <c r="AG126" s="26">
        <v>0</v>
      </c>
      <c r="AH126" s="26">
        <v>0</v>
      </c>
      <c r="AI126" s="26">
        <v>0</v>
      </c>
      <c r="AJ126" s="26">
        <v>0</v>
      </c>
    </row>
    <row r="127" spans="1:36" x14ac:dyDescent="0.25">
      <c r="A127" t="s">
        <v>628</v>
      </c>
      <c r="B127" t="s">
        <v>309</v>
      </c>
      <c r="C127" s="26">
        <v>0</v>
      </c>
      <c r="D127" s="26">
        <v>0</v>
      </c>
      <c r="E127" s="26">
        <v>0</v>
      </c>
      <c r="F127" s="26">
        <v>0</v>
      </c>
      <c r="G127" s="26">
        <v>0</v>
      </c>
      <c r="H127" s="26">
        <v>0</v>
      </c>
      <c r="I127" s="26">
        <v>0</v>
      </c>
      <c r="J127" s="26">
        <v>0</v>
      </c>
      <c r="K127" s="26">
        <v>0</v>
      </c>
      <c r="L127" s="26">
        <v>0</v>
      </c>
      <c r="M127" s="26">
        <v>0</v>
      </c>
      <c r="N127" s="26">
        <v>0</v>
      </c>
      <c r="O127" s="26">
        <v>0</v>
      </c>
      <c r="P127" s="26">
        <v>0</v>
      </c>
      <c r="Q127" s="26">
        <v>0</v>
      </c>
      <c r="R127" s="26">
        <v>0</v>
      </c>
      <c r="S127" s="26">
        <v>0</v>
      </c>
      <c r="T127" s="26">
        <v>0</v>
      </c>
      <c r="U127" s="26">
        <v>0</v>
      </c>
      <c r="V127" s="26">
        <v>0</v>
      </c>
      <c r="W127" s="26">
        <v>0</v>
      </c>
      <c r="X127" s="26">
        <v>0</v>
      </c>
      <c r="Y127" s="26">
        <v>0</v>
      </c>
      <c r="Z127" s="26">
        <v>0</v>
      </c>
      <c r="AA127" s="26">
        <v>0</v>
      </c>
      <c r="AB127" s="26">
        <v>0</v>
      </c>
      <c r="AC127" s="26">
        <v>0</v>
      </c>
      <c r="AD127" s="26">
        <v>0</v>
      </c>
      <c r="AE127" s="26">
        <v>0</v>
      </c>
      <c r="AF127" s="26">
        <v>0</v>
      </c>
      <c r="AG127" s="26">
        <v>0</v>
      </c>
      <c r="AH127" s="26">
        <v>0</v>
      </c>
      <c r="AI127" s="26">
        <v>0</v>
      </c>
      <c r="AJ127" s="26">
        <v>0</v>
      </c>
    </row>
    <row r="128" spans="1:36" x14ac:dyDescent="0.25">
      <c r="A128" t="s">
        <v>629</v>
      </c>
      <c r="B128" t="s">
        <v>309</v>
      </c>
      <c r="C128" s="26">
        <v>5</v>
      </c>
      <c r="D128" s="26">
        <v>5</v>
      </c>
      <c r="E128" s="26">
        <v>5</v>
      </c>
      <c r="F128" s="26">
        <v>5</v>
      </c>
      <c r="G128" s="26">
        <v>5</v>
      </c>
      <c r="H128" s="26">
        <v>5</v>
      </c>
      <c r="I128" s="26">
        <v>5</v>
      </c>
      <c r="J128" s="26">
        <v>5</v>
      </c>
      <c r="K128" s="26">
        <v>5</v>
      </c>
      <c r="L128" s="26">
        <v>5</v>
      </c>
      <c r="M128" s="26">
        <v>5</v>
      </c>
      <c r="N128" s="26">
        <v>5</v>
      </c>
      <c r="O128" s="26">
        <v>5</v>
      </c>
      <c r="P128" s="26">
        <v>5</v>
      </c>
      <c r="Q128" s="26">
        <v>5</v>
      </c>
      <c r="R128" s="26">
        <v>5</v>
      </c>
      <c r="S128" s="26">
        <v>5</v>
      </c>
      <c r="T128" s="26">
        <v>5</v>
      </c>
      <c r="U128" s="26">
        <v>5</v>
      </c>
      <c r="V128" s="26">
        <v>5</v>
      </c>
      <c r="W128" s="26">
        <v>5</v>
      </c>
      <c r="X128" s="26">
        <v>5</v>
      </c>
      <c r="Y128" s="26">
        <v>5</v>
      </c>
      <c r="Z128" s="26">
        <v>5</v>
      </c>
      <c r="AA128" s="26">
        <v>5</v>
      </c>
      <c r="AB128" s="26">
        <v>5</v>
      </c>
      <c r="AC128" s="26">
        <v>5</v>
      </c>
      <c r="AD128" s="26">
        <v>5</v>
      </c>
      <c r="AE128" s="26">
        <v>5</v>
      </c>
      <c r="AF128" s="26">
        <v>5</v>
      </c>
      <c r="AG128" s="26">
        <v>5</v>
      </c>
      <c r="AH128" s="26">
        <v>5</v>
      </c>
      <c r="AI128" s="26">
        <v>5</v>
      </c>
      <c r="AJ128" s="26">
        <v>5</v>
      </c>
    </row>
    <row r="129" spans="1:36" x14ac:dyDescent="0.25">
      <c r="A129" t="s">
        <v>630</v>
      </c>
      <c r="B129" t="s">
        <v>309</v>
      </c>
      <c r="C129" s="26">
        <v>0</v>
      </c>
      <c r="D129" s="26">
        <v>0</v>
      </c>
      <c r="E129" s="26">
        <v>0</v>
      </c>
      <c r="F129" s="26">
        <v>0</v>
      </c>
      <c r="G129" s="26">
        <v>0</v>
      </c>
      <c r="H129" s="26">
        <v>0</v>
      </c>
      <c r="I129" s="26">
        <v>0</v>
      </c>
      <c r="J129" s="26">
        <v>0</v>
      </c>
      <c r="K129" s="26">
        <v>0</v>
      </c>
      <c r="L129" s="26">
        <v>0</v>
      </c>
      <c r="M129" s="26">
        <v>0</v>
      </c>
      <c r="N129" s="26">
        <v>0</v>
      </c>
      <c r="O129" s="26">
        <v>0</v>
      </c>
      <c r="P129" s="26">
        <v>0</v>
      </c>
      <c r="Q129" s="26">
        <v>0</v>
      </c>
      <c r="R129" s="26">
        <v>0</v>
      </c>
      <c r="S129" s="26">
        <v>0</v>
      </c>
      <c r="T129" s="26">
        <v>0</v>
      </c>
      <c r="U129" s="26">
        <v>0</v>
      </c>
      <c r="V129" s="26">
        <v>0</v>
      </c>
      <c r="W129" s="26">
        <v>0</v>
      </c>
      <c r="X129" s="26">
        <v>0</v>
      </c>
      <c r="Y129" s="26">
        <v>0</v>
      </c>
      <c r="Z129" s="26">
        <v>0</v>
      </c>
      <c r="AA129" s="26">
        <v>0</v>
      </c>
      <c r="AB129" s="26">
        <v>0</v>
      </c>
      <c r="AC129" s="26">
        <v>0</v>
      </c>
      <c r="AD129" s="26">
        <v>0</v>
      </c>
      <c r="AE129" s="26">
        <v>0</v>
      </c>
      <c r="AF129" s="26">
        <v>0</v>
      </c>
      <c r="AG129" s="26">
        <v>0</v>
      </c>
      <c r="AH129" s="26">
        <v>0</v>
      </c>
      <c r="AI129" s="26">
        <v>0</v>
      </c>
      <c r="AJ129" s="26">
        <v>0</v>
      </c>
    </row>
    <row r="130" spans="1:36" x14ac:dyDescent="0.25">
      <c r="A130" t="s">
        <v>631</v>
      </c>
      <c r="B130" t="s">
        <v>309</v>
      </c>
      <c r="C130" s="26">
        <v>0</v>
      </c>
      <c r="D130" s="26">
        <v>0</v>
      </c>
      <c r="E130" s="26">
        <v>0</v>
      </c>
      <c r="F130" s="26">
        <v>0</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row>
    <row r="131" spans="1:36" x14ac:dyDescent="0.25">
      <c r="A131" t="s">
        <v>632</v>
      </c>
      <c r="B131" t="s">
        <v>309</v>
      </c>
      <c r="C131" s="26">
        <v>93</v>
      </c>
      <c r="D131" s="26">
        <v>93</v>
      </c>
      <c r="E131" s="26">
        <v>93</v>
      </c>
      <c r="F131" s="26">
        <v>93</v>
      </c>
      <c r="G131" s="26">
        <v>93</v>
      </c>
      <c r="H131" s="26">
        <v>93</v>
      </c>
      <c r="I131" s="26">
        <v>93</v>
      </c>
      <c r="J131" s="26">
        <v>93</v>
      </c>
      <c r="K131" s="26">
        <v>93</v>
      </c>
      <c r="L131" s="26">
        <v>93</v>
      </c>
      <c r="M131" s="26">
        <v>93</v>
      </c>
      <c r="N131" s="26">
        <v>93</v>
      </c>
      <c r="O131" s="26">
        <v>93</v>
      </c>
      <c r="P131" s="26">
        <v>93</v>
      </c>
      <c r="Q131" s="26">
        <v>93</v>
      </c>
      <c r="R131" s="26">
        <v>93</v>
      </c>
      <c r="S131" s="26">
        <v>93</v>
      </c>
      <c r="T131" s="26">
        <v>93</v>
      </c>
      <c r="U131" s="26">
        <v>93</v>
      </c>
      <c r="V131" s="26">
        <v>93</v>
      </c>
      <c r="W131" s="26">
        <v>93</v>
      </c>
      <c r="X131" s="26">
        <v>93</v>
      </c>
      <c r="Y131" s="26">
        <v>93</v>
      </c>
      <c r="Z131" s="26">
        <v>93</v>
      </c>
      <c r="AA131" s="26">
        <v>93</v>
      </c>
      <c r="AB131" s="26">
        <v>93</v>
      </c>
      <c r="AC131" s="26">
        <v>93</v>
      </c>
      <c r="AD131" s="26">
        <v>93</v>
      </c>
      <c r="AE131" s="26">
        <v>93</v>
      </c>
      <c r="AF131" s="26">
        <v>93</v>
      </c>
      <c r="AG131" s="26">
        <v>93</v>
      </c>
      <c r="AH131" s="26">
        <v>93</v>
      </c>
      <c r="AI131" s="26">
        <v>93</v>
      </c>
      <c r="AJ131" s="26">
        <v>93</v>
      </c>
    </row>
    <row r="132" spans="1:36" x14ac:dyDescent="0.25">
      <c r="A132" t="s">
        <v>862</v>
      </c>
      <c r="B132" t="s">
        <v>309</v>
      </c>
      <c r="C132" s="26">
        <v>0</v>
      </c>
      <c r="D132" s="26">
        <v>0</v>
      </c>
      <c r="E132" s="26">
        <v>0</v>
      </c>
      <c r="F132" s="26">
        <v>0</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row>
    <row r="133" spans="1:36" s="81" customFormat="1" x14ac:dyDescent="0.25">
      <c r="A133" s="81" t="s">
        <v>882</v>
      </c>
      <c r="C133" s="82">
        <f>+SUM(C122:C132)</f>
        <v>100</v>
      </c>
      <c r="D133" s="82">
        <f t="shared" ref="D133" si="232">+SUM(D122:D132)</f>
        <v>100</v>
      </c>
      <c r="E133" s="82">
        <f t="shared" ref="E133" si="233">+SUM(E122:E132)</f>
        <v>100</v>
      </c>
      <c r="F133" s="82">
        <f t="shared" ref="F133" si="234">+SUM(F122:F132)</f>
        <v>100</v>
      </c>
      <c r="G133" s="82">
        <f t="shared" ref="G133" si="235">+SUM(G122:G132)</f>
        <v>100</v>
      </c>
      <c r="H133" s="82">
        <f t="shared" ref="H133" si="236">+SUM(H122:H132)</f>
        <v>100</v>
      </c>
      <c r="I133" s="82">
        <f t="shared" ref="I133" si="237">+SUM(I122:I132)</f>
        <v>100</v>
      </c>
      <c r="J133" s="82">
        <f t="shared" ref="J133" si="238">+SUM(J122:J132)</f>
        <v>100</v>
      </c>
      <c r="K133" s="82">
        <f t="shared" ref="K133" si="239">+SUM(K122:K132)</f>
        <v>100</v>
      </c>
      <c r="L133" s="82">
        <f t="shared" ref="L133" si="240">+SUM(L122:L132)</f>
        <v>100</v>
      </c>
      <c r="M133" s="82">
        <f t="shared" ref="M133" si="241">+SUM(M122:M132)</f>
        <v>100</v>
      </c>
      <c r="N133" s="82">
        <f t="shared" ref="N133" si="242">+SUM(N122:N132)</f>
        <v>100</v>
      </c>
      <c r="O133" s="82">
        <f t="shared" ref="O133" si="243">+SUM(O122:O132)</f>
        <v>100</v>
      </c>
      <c r="P133" s="82">
        <f t="shared" ref="P133" si="244">+SUM(P122:P132)</f>
        <v>100</v>
      </c>
      <c r="Q133" s="82">
        <f t="shared" ref="Q133" si="245">+SUM(Q122:Q132)</f>
        <v>100</v>
      </c>
      <c r="R133" s="82">
        <f t="shared" ref="R133" si="246">+SUM(R122:R132)</f>
        <v>100</v>
      </c>
      <c r="S133" s="82">
        <f t="shared" ref="S133" si="247">+SUM(S122:S132)</f>
        <v>100</v>
      </c>
      <c r="T133" s="82">
        <f t="shared" ref="T133" si="248">+SUM(T122:T132)</f>
        <v>100</v>
      </c>
      <c r="U133" s="82">
        <f t="shared" ref="U133" si="249">+SUM(U122:U132)</f>
        <v>100</v>
      </c>
      <c r="V133" s="82">
        <f t="shared" ref="V133" si="250">+SUM(V122:V132)</f>
        <v>100</v>
      </c>
      <c r="W133" s="82">
        <f t="shared" ref="W133" si="251">+SUM(W122:W132)</f>
        <v>100</v>
      </c>
      <c r="X133" s="82">
        <f t="shared" ref="X133" si="252">+SUM(X122:X132)</f>
        <v>100</v>
      </c>
      <c r="Y133" s="82">
        <f t="shared" ref="Y133" si="253">+SUM(Y122:Y132)</f>
        <v>100</v>
      </c>
      <c r="Z133" s="82">
        <f t="shared" ref="Z133" si="254">+SUM(Z122:Z132)</f>
        <v>100</v>
      </c>
      <c r="AA133" s="82">
        <f t="shared" ref="AA133" si="255">+SUM(AA122:AA132)</f>
        <v>100</v>
      </c>
      <c r="AB133" s="82">
        <f t="shared" ref="AB133" si="256">+SUM(AB122:AB132)</f>
        <v>100</v>
      </c>
      <c r="AC133" s="82">
        <f t="shared" ref="AC133" si="257">+SUM(AC122:AC132)</f>
        <v>100</v>
      </c>
      <c r="AD133" s="82">
        <f t="shared" ref="AD133" si="258">+SUM(AD122:AD132)</f>
        <v>100</v>
      </c>
      <c r="AE133" s="82">
        <f t="shared" ref="AE133" si="259">+SUM(AE122:AE132)</f>
        <v>100</v>
      </c>
      <c r="AF133" s="82">
        <f t="shared" ref="AF133" si="260">+SUM(AF122:AF132)</f>
        <v>100</v>
      </c>
      <c r="AG133" s="82">
        <f t="shared" ref="AG133" si="261">+SUM(AG122:AG132)</f>
        <v>100</v>
      </c>
      <c r="AH133" s="82">
        <f t="shared" ref="AH133" si="262">+SUM(AH122:AH132)</f>
        <v>100</v>
      </c>
      <c r="AI133" s="82">
        <f t="shared" ref="AI133" si="263">+SUM(AI122:AI132)</f>
        <v>100</v>
      </c>
      <c r="AJ133" s="82">
        <f t="shared" ref="AJ133" si="264">+SUM(AJ122:AJ132)</f>
        <v>100</v>
      </c>
    </row>
    <row r="134" spans="1:36" s="79" customFormat="1" ht="15.75" x14ac:dyDescent="0.25">
      <c r="A134" s="77" t="s">
        <v>877</v>
      </c>
      <c r="B134" s="78"/>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x14ac:dyDescent="0.25">
      <c r="A135" t="s">
        <v>633</v>
      </c>
      <c r="B135" t="s">
        <v>309</v>
      </c>
      <c r="C135" s="26">
        <v>0</v>
      </c>
      <c r="D135" s="26">
        <v>0</v>
      </c>
      <c r="E135" s="26">
        <v>0</v>
      </c>
      <c r="F135" s="26">
        <v>0</v>
      </c>
      <c r="G135" s="26">
        <v>0</v>
      </c>
      <c r="H135" s="26">
        <v>0</v>
      </c>
      <c r="I135" s="26">
        <v>0</v>
      </c>
      <c r="J135" s="26">
        <v>0</v>
      </c>
      <c r="K135" s="26">
        <v>0</v>
      </c>
      <c r="L135" s="26">
        <v>0</v>
      </c>
      <c r="M135" s="26">
        <v>0</v>
      </c>
      <c r="N135" s="26">
        <v>0</v>
      </c>
      <c r="O135" s="26">
        <v>0</v>
      </c>
      <c r="P135" s="26">
        <v>0</v>
      </c>
      <c r="Q135" s="26">
        <v>0</v>
      </c>
      <c r="R135" s="26">
        <v>0</v>
      </c>
      <c r="S135" s="26">
        <v>0</v>
      </c>
      <c r="T135" s="26">
        <v>0</v>
      </c>
      <c r="U135" s="26">
        <v>0</v>
      </c>
      <c r="V135" s="26">
        <v>0</v>
      </c>
      <c r="W135" s="26">
        <v>0</v>
      </c>
      <c r="X135" s="26">
        <v>0</v>
      </c>
      <c r="Y135" s="26">
        <v>0</v>
      </c>
      <c r="Z135" s="26">
        <v>0</v>
      </c>
      <c r="AA135" s="26">
        <v>0</v>
      </c>
      <c r="AB135" s="26">
        <v>0</v>
      </c>
      <c r="AC135" s="26">
        <v>0</v>
      </c>
      <c r="AD135" s="26">
        <v>0</v>
      </c>
      <c r="AE135" s="26">
        <v>0</v>
      </c>
      <c r="AF135" s="26">
        <v>0</v>
      </c>
      <c r="AG135" s="26">
        <v>0</v>
      </c>
      <c r="AH135" s="26">
        <v>0</v>
      </c>
      <c r="AI135" s="26">
        <v>0</v>
      </c>
      <c r="AJ135" s="26">
        <v>0</v>
      </c>
    </row>
    <row r="136" spans="1:36" x14ac:dyDescent="0.25">
      <c r="A136" t="s">
        <v>634</v>
      </c>
      <c r="B136" t="s">
        <v>309</v>
      </c>
      <c r="C136" s="26">
        <v>0</v>
      </c>
      <c r="D136" s="26">
        <v>0</v>
      </c>
      <c r="E136" s="26">
        <v>0</v>
      </c>
      <c r="F136" s="26">
        <v>0</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row>
    <row r="137" spans="1:36" x14ac:dyDescent="0.25">
      <c r="A137" t="s">
        <v>635</v>
      </c>
      <c r="B137" t="s">
        <v>309</v>
      </c>
      <c r="C137" s="26">
        <v>0</v>
      </c>
      <c r="D137" s="26">
        <v>0</v>
      </c>
      <c r="E137" s="26">
        <v>0</v>
      </c>
      <c r="F137" s="26">
        <v>0</v>
      </c>
      <c r="G137" s="26">
        <v>0</v>
      </c>
      <c r="H137" s="26">
        <v>0</v>
      </c>
      <c r="I137" s="26">
        <v>0</v>
      </c>
      <c r="J137" s="26">
        <v>0</v>
      </c>
      <c r="K137" s="26">
        <v>0</v>
      </c>
      <c r="L137" s="26">
        <v>0</v>
      </c>
      <c r="M137" s="26">
        <v>0</v>
      </c>
      <c r="N137" s="26">
        <v>0</v>
      </c>
      <c r="O137" s="26">
        <v>0</v>
      </c>
      <c r="P137" s="26">
        <v>0</v>
      </c>
      <c r="Q137" s="26">
        <v>0</v>
      </c>
      <c r="R137" s="26">
        <v>0</v>
      </c>
      <c r="S137" s="26">
        <v>0</v>
      </c>
      <c r="T137" s="26">
        <v>0</v>
      </c>
      <c r="U137" s="26">
        <v>0</v>
      </c>
      <c r="V137" s="26">
        <v>0</v>
      </c>
      <c r="W137" s="26">
        <v>0</v>
      </c>
      <c r="X137" s="26">
        <v>0</v>
      </c>
      <c r="Y137" s="26">
        <v>0</v>
      </c>
      <c r="Z137" s="26">
        <v>0</v>
      </c>
      <c r="AA137" s="26">
        <v>0</v>
      </c>
      <c r="AB137" s="26">
        <v>0</v>
      </c>
      <c r="AC137" s="26">
        <v>0</v>
      </c>
      <c r="AD137" s="26">
        <v>0</v>
      </c>
      <c r="AE137" s="26">
        <v>0</v>
      </c>
      <c r="AF137" s="26">
        <v>0</v>
      </c>
      <c r="AG137" s="26">
        <v>0</v>
      </c>
      <c r="AH137" s="26">
        <v>0</v>
      </c>
      <c r="AI137" s="26">
        <v>0</v>
      </c>
      <c r="AJ137" s="26">
        <v>0</v>
      </c>
    </row>
    <row r="138" spans="1:36" x14ac:dyDescent="0.25">
      <c r="A138" t="s">
        <v>636</v>
      </c>
      <c r="B138" t="s">
        <v>309</v>
      </c>
      <c r="C138" s="26">
        <v>0</v>
      </c>
      <c r="D138" s="26">
        <v>0</v>
      </c>
      <c r="E138" s="26">
        <v>0</v>
      </c>
      <c r="F138" s="26">
        <v>0</v>
      </c>
      <c r="G138" s="26">
        <v>0</v>
      </c>
      <c r="H138" s="26">
        <v>0</v>
      </c>
      <c r="I138" s="26">
        <v>0</v>
      </c>
      <c r="J138" s="26">
        <v>0</v>
      </c>
      <c r="K138" s="26">
        <v>0</v>
      </c>
      <c r="L138" s="26">
        <v>0</v>
      </c>
      <c r="M138" s="26">
        <v>0</v>
      </c>
      <c r="N138" s="26">
        <v>0</v>
      </c>
      <c r="O138" s="26">
        <v>0</v>
      </c>
      <c r="P138" s="26">
        <v>0</v>
      </c>
      <c r="Q138" s="26">
        <v>0</v>
      </c>
      <c r="R138" s="26">
        <v>0</v>
      </c>
      <c r="S138" s="26">
        <v>0</v>
      </c>
      <c r="T138" s="26">
        <v>0</v>
      </c>
      <c r="U138" s="26">
        <v>0</v>
      </c>
      <c r="V138" s="26">
        <v>0</v>
      </c>
      <c r="W138" s="26">
        <v>0</v>
      </c>
      <c r="X138" s="26">
        <v>0</v>
      </c>
      <c r="Y138" s="26">
        <v>0</v>
      </c>
      <c r="Z138" s="26">
        <v>0</v>
      </c>
      <c r="AA138" s="26">
        <v>0</v>
      </c>
      <c r="AB138" s="26">
        <v>0</v>
      </c>
      <c r="AC138" s="26">
        <v>0</v>
      </c>
      <c r="AD138" s="26">
        <v>0</v>
      </c>
      <c r="AE138" s="26">
        <v>0</v>
      </c>
      <c r="AF138" s="26">
        <v>0</v>
      </c>
      <c r="AG138" s="26">
        <v>0</v>
      </c>
      <c r="AH138" s="26">
        <v>0</v>
      </c>
      <c r="AI138" s="26">
        <v>0</v>
      </c>
      <c r="AJ138" s="26">
        <v>0</v>
      </c>
    </row>
    <row r="139" spans="1:36" x14ac:dyDescent="0.25">
      <c r="A139" t="s">
        <v>637</v>
      </c>
      <c r="B139" t="s">
        <v>309</v>
      </c>
      <c r="C139" s="26">
        <v>0</v>
      </c>
      <c r="D139" s="26">
        <v>0</v>
      </c>
      <c r="E139" s="26">
        <v>0</v>
      </c>
      <c r="F139" s="26">
        <v>0</v>
      </c>
      <c r="G139" s="26">
        <v>0</v>
      </c>
      <c r="H139" s="26">
        <v>0</v>
      </c>
      <c r="I139" s="26">
        <v>0</v>
      </c>
      <c r="J139" s="26">
        <v>0</v>
      </c>
      <c r="K139" s="26">
        <v>0</v>
      </c>
      <c r="L139" s="26">
        <v>0</v>
      </c>
      <c r="M139" s="26">
        <v>0</v>
      </c>
      <c r="N139" s="26">
        <v>0</v>
      </c>
      <c r="O139" s="26">
        <v>0</v>
      </c>
      <c r="P139" s="26">
        <v>0</v>
      </c>
      <c r="Q139" s="26">
        <v>0</v>
      </c>
      <c r="R139" s="26">
        <v>0</v>
      </c>
      <c r="S139" s="26">
        <v>0</v>
      </c>
      <c r="T139" s="26">
        <v>0</v>
      </c>
      <c r="U139" s="26">
        <v>0</v>
      </c>
      <c r="V139" s="26">
        <v>0</v>
      </c>
      <c r="W139" s="26">
        <v>0</v>
      </c>
      <c r="X139" s="26">
        <v>0</v>
      </c>
      <c r="Y139" s="26">
        <v>0</v>
      </c>
      <c r="Z139" s="26">
        <v>0</v>
      </c>
      <c r="AA139" s="26">
        <v>0</v>
      </c>
      <c r="AB139" s="26">
        <v>0</v>
      </c>
      <c r="AC139" s="26">
        <v>0</v>
      </c>
      <c r="AD139" s="26">
        <v>0</v>
      </c>
      <c r="AE139" s="26">
        <v>0</v>
      </c>
      <c r="AF139" s="26">
        <v>0</v>
      </c>
      <c r="AG139" s="26">
        <v>0</v>
      </c>
      <c r="AH139" s="26">
        <v>0</v>
      </c>
      <c r="AI139" s="26">
        <v>0</v>
      </c>
      <c r="AJ139" s="26">
        <v>0</v>
      </c>
    </row>
    <row r="140" spans="1:36" x14ac:dyDescent="0.25">
      <c r="A140" t="s">
        <v>638</v>
      </c>
      <c r="B140" t="s">
        <v>309</v>
      </c>
      <c r="C140" s="26">
        <v>0</v>
      </c>
      <c r="D140" s="26">
        <v>0</v>
      </c>
      <c r="E140" s="26">
        <v>0</v>
      </c>
      <c r="F140" s="26">
        <v>0</v>
      </c>
      <c r="G140" s="26">
        <v>0</v>
      </c>
      <c r="H140" s="26">
        <v>0</v>
      </c>
      <c r="I140" s="26">
        <v>0</v>
      </c>
      <c r="J140" s="26">
        <v>0</v>
      </c>
      <c r="K140" s="26">
        <v>0</v>
      </c>
      <c r="L140" s="26">
        <v>0</v>
      </c>
      <c r="M140" s="26">
        <v>0</v>
      </c>
      <c r="N140" s="26">
        <v>0</v>
      </c>
      <c r="O140" s="26">
        <v>0</v>
      </c>
      <c r="P140" s="26">
        <v>0</v>
      </c>
      <c r="Q140" s="26">
        <v>0</v>
      </c>
      <c r="R140" s="26">
        <v>0</v>
      </c>
      <c r="S140" s="26">
        <v>0</v>
      </c>
      <c r="T140" s="26">
        <v>0</v>
      </c>
      <c r="U140" s="26">
        <v>0</v>
      </c>
      <c r="V140" s="26">
        <v>0</v>
      </c>
      <c r="W140" s="26">
        <v>0</v>
      </c>
      <c r="X140" s="26">
        <v>0</v>
      </c>
      <c r="Y140" s="26">
        <v>0</v>
      </c>
      <c r="Z140" s="26">
        <v>0</v>
      </c>
      <c r="AA140" s="26">
        <v>0</v>
      </c>
      <c r="AB140" s="26">
        <v>0</v>
      </c>
      <c r="AC140" s="26">
        <v>0</v>
      </c>
      <c r="AD140" s="26">
        <v>0</v>
      </c>
      <c r="AE140" s="26">
        <v>0</v>
      </c>
      <c r="AF140" s="26">
        <v>0</v>
      </c>
      <c r="AG140" s="26">
        <v>0</v>
      </c>
      <c r="AH140" s="26">
        <v>0</v>
      </c>
      <c r="AI140" s="26">
        <v>0</v>
      </c>
      <c r="AJ140" s="26">
        <v>0</v>
      </c>
    </row>
    <row r="141" spans="1:36" x14ac:dyDescent="0.25">
      <c r="A141" t="s">
        <v>639</v>
      </c>
      <c r="B141" t="s">
        <v>309</v>
      </c>
      <c r="C141" s="26">
        <v>0</v>
      </c>
      <c r="D141" s="26">
        <v>0</v>
      </c>
      <c r="E141" s="26">
        <v>0</v>
      </c>
      <c r="F141" s="26">
        <v>0</v>
      </c>
      <c r="G141" s="26">
        <v>0</v>
      </c>
      <c r="H141" s="26">
        <v>0</v>
      </c>
      <c r="I141" s="26">
        <v>0</v>
      </c>
      <c r="J141" s="26">
        <v>0</v>
      </c>
      <c r="K141" s="26">
        <v>0</v>
      </c>
      <c r="L141" s="26">
        <v>0</v>
      </c>
      <c r="M141" s="26">
        <v>0</v>
      </c>
      <c r="N141" s="26">
        <v>0</v>
      </c>
      <c r="O141" s="26">
        <v>0</v>
      </c>
      <c r="P141" s="26">
        <v>0</v>
      </c>
      <c r="Q141" s="26">
        <v>0</v>
      </c>
      <c r="R141" s="26">
        <v>0</v>
      </c>
      <c r="S141" s="26">
        <v>0</v>
      </c>
      <c r="T141" s="26">
        <v>0</v>
      </c>
      <c r="U141" s="26">
        <v>0</v>
      </c>
      <c r="V141" s="26">
        <v>0</v>
      </c>
      <c r="W141" s="26">
        <v>0</v>
      </c>
      <c r="X141" s="26">
        <v>0</v>
      </c>
      <c r="Y141" s="26">
        <v>0</v>
      </c>
      <c r="Z141" s="26">
        <v>0</v>
      </c>
      <c r="AA141" s="26">
        <v>0</v>
      </c>
      <c r="AB141" s="26">
        <v>0</v>
      </c>
      <c r="AC141" s="26">
        <v>0</v>
      </c>
      <c r="AD141" s="26">
        <v>0</v>
      </c>
      <c r="AE141" s="26">
        <v>0</v>
      </c>
      <c r="AF141" s="26">
        <v>0</v>
      </c>
      <c r="AG141" s="26">
        <v>0</v>
      </c>
      <c r="AH141" s="26">
        <v>0</v>
      </c>
      <c r="AI141" s="26">
        <v>0</v>
      </c>
      <c r="AJ141" s="26">
        <v>0</v>
      </c>
    </row>
    <row r="142" spans="1:36" x14ac:dyDescent="0.25">
      <c r="A142" t="s">
        <v>640</v>
      </c>
      <c r="B142" t="s">
        <v>309</v>
      </c>
      <c r="C142" s="26">
        <v>0</v>
      </c>
      <c r="D142" s="26">
        <v>0</v>
      </c>
      <c r="E142" s="26">
        <v>0</v>
      </c>
      <c r="F142" s="26">
        <v>0</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v>
      </c>
      <c r="AB142" s="26">
        <v>0</v>
      </c>
      <c r="AC142" s="26">
        <v>0</v>
      </c>
      <c r="AD142" s="26">
        <v>0</v>
      </c>
      <c r="AE142" s="26">
        <v>0</v>
      </c>
      <c r="AF142" s="26">
        <v>0</v>
      </c>
      <c r="AG142" s="26">
        <v>0</v>
      </c>
      <c r="AH142" s="26">
        <v>0</v>
      </c>
      <c r="AI142" s="26">
        <v>0</v>
      </c>
      <c r="AJ142" s="26">
        <v>0</v>
      </c>
    </row>
    <row r="143" spans="1:36" x14ac:dyDescent="0.25">
      <c r="A143" t="s">
        <v>641</v>
      </c>
      <c r="B143" t="s">
        <v>309</v>
      </c>
      <c r="C143" s="26">
        <v>0</v>
      </c>
      <c r="D143" s="26">
        <v>0</v>
      </c>
      <c r="E143" s="26">
        <v>0</v>
      </c>
      <c r="F143" s="26">
        <v>0</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v>
      </c>
      <c r="AG143" s="26">
        <v>0</v>
      </c>
      <c r="AH143" s="26">
        <v>0</v>
      </c>
      <c r="AI143" s="26">
        <v>0</v>
      </c>
      <c r="AJ143" s="26">
        <v>0</v>
      </c>
    </row>
    <row r="144" spans="1:36" x14ac:dyDescent="0.25">
      <c r="A144" t="s">
        <v>642</v>
      </c>
      <c r="B144" t="s">
        <v>309</v>
      </c>
      <c r="C144" s="26">
        <v>100</v>
      </c>
      <c r="D144" s="26">
        <v>100</v>
      </c>
      <c r="E144" s="26">
        <v>100</v>
      </c>
      <c r="F144" s="26">
        <v>100</v>
      </c>
      <c r="G144" s="26">
        <v>100</v>
      </c>
      <c r="H144" s="26">
        <v>100</v>
      </c>
      <c r="I144" s="26">
        <v>100</v>
      </c>
      <c r="J144" s="26">
        <v>100</v>
      </c>
      <c r="K144" s="26">
        <v>100</v>
      </c>
      <c r="L144" s="26">
        <v>100</v>
      </c>
      <c r="M144" s="26">
        <v>100</v>
      </c>
      <c r="N144" s="26">
        <v>100</v>
      </c>
      <c r="O144" s="26">
        <v>100</v>
      </c>
      <c r="P144" s="26">
        <v>100</v>
      </c>
      <c r="Q144" s="26">
        <v>100</v>
      </c>
      <c r="R144" s="26">
        <v>100</v>
      </c>
      <c r="S144" s="26">
        <v>100</v>
      </c>
      <c r="T144" s="26">
        <v>100</v>
      </c>
      <c r="U144" s="26">
        <v>100</v>
      </c>
      <c r="V144" s="26">
        <v>100</v>
      </c>
      <c r="W144" s="26">
        <v>100</v>
      </c>
      <c r="X144" s="26">
        <v>100</v>
      </c>
      <c r="Y144" s="26">
        <v>100</v>
      </c>
      <c r="Z144" s="26">
        <v>100</v>
      </c>
      <c r="AA144" s="26">
        <v>100</v>
      </c>
      <c r="AB144" s="26">
        <v>100</v>
      </c>
      <c r="AC144" s="26">
        <v>100</v>
      </c>
      <c r="AD144" s="26">
        <v>100</v>
      </c>
      <c r="AE144" s="26">
        <v>100</v>
      </c>
      <c r="AF144" s="26">
        <v>100</v>
      </c>
      <c r="AG144" s="26">
        <v>100</v>
      </c>
      <c r="AH144" s="26">
        <v>100</v>
      </c>
      <c r="AI144" s="26">
        <v>100</v>
      </c>
      <c r="AJ144" s="26">
        <v>100</v>
      </c>
    </row>
    <row r="145" spans="1:36" x14ac:dyDescent="0.25">
      <c r="A145" t="s">
        <v>863</v>
      </c>
      <c r="B145" t="s">
        <v>309</v>
      </c>
      <c r="C145" s="26">
        <v>0</v>
      </c>
      <c r="D145" s="26">
        <v>0</v>
      </c>
      <c r="E145" s="26">
        <v>0</v>
      </c>
      <c r="F145" s="26">
        <v>0</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0</v>
      </c>
      <c r="W145" s="26">
        <v>0</v>
      </c>
      <c r="X145" s="26">
        <v>0</v>
      </c>
      <c r="Y145" s="26">
        <v>0</v>
      </c>
      <c r="Z145" s="26">
        <v>0</v>
      </c>
      <c r="AA145" s="26">
        <v>0</v>
      </c>
      <c r="AB145" s="26">
        <v>0</v>
      </c>
      <c r="AC145" s="26">
        <v>0</v>
      </c>
      <c r="AD145" s="26">
        <v>0</v>
      </c>
      <c r="AE145" s="26">
        <v>0</v>
      </c>
      <c r="AF145" s="26">
        <v>0</v>
      </c>
      <c r="AG145" s="26">
        <v>0</v>
      </c>
      <c r="AH145" s="26">
        <v>0</v>
      </c>
      <c r="AI145" s="26">
        <v>0</v>
      </c>
      <c r="AJ145" s="26">
        <v>0</v>
      </c>
    </row>
    <row r="146" spans="1:36" s="81" customFormat="1" x14ac:dyDescent="0.25">
      <c r="A146" s="81" t="s">
        <v>882</v>
      </c>
      <c r="C146" s="82">
        <f>+SUM(C135:C145)</f>
        <v>100</v>
      </c>
      <c r="D146" s="82">
        <f t="shared" ref="D146" si="265">+SUM(D135:D145)</f>
        <v>100</v>
      </c>
      <c r="E146" s="82">
        <f t="shared" ref="E146" si="266">+SUM(E135:E145)</f>
        <v>100</v>
      </c>
      <c r="F146" s="82">
        <f t="shared" ref="F146" si="267">+SUM(F135:F145)</f>
        <v>100</v>
      </c>
      <c r="G146" s="82">
        <f t="shared" ref="G146" si="268">+SUM(G135:G145)</f>
        <v>100</v>
      </c>
      <c r="H146" s="82">
        <f t="shared" ref="H146" si="269">+SUM(H135:H145)</f>
        <v>100</v>
      </c>
      <c r="I146" s="82">
        <f t="shared" ref="I146" si="270">+SUM(I135:I145)</f>
        <v>100</v>
      </c>
      <c r="J146" s="82">
        <f t="shared" ref="J146" si="271">+SUM(J135:J145)</f>
        <v>100</v>
      </c>
      <c r="K146" s="82">
        <f t="shared" ref="K146" si="272">+SUM(K135:K145)</f>
        <v>100</v>
      </c>
      <c r="L146" s="82">
        <f t="shared" ref="L146" si="273">+SUM(L135:L145)</f>
        <v>100</v>
      </c>
      <c r="M146" s="82">
        <f t="shared" ref="M146" si="274">+SUM(M135:M145)</f>
        <v>100</v>
      </c>
      <c r="N146" s="82">
        <f t="shared" ref="N146" si="275">+SUM(N135:N145)</f>
        <v>100</v>
      </c>
      <c r="O146" s="82">
        <f t="shared" ref="O146" si="276">+SUM(O135:O145)</f>
        <v>100</v>
      </c>
      <c r="P146" s="82">
        <f t="shared" ref="P146" si="277">+SUM(P135:P145)</f>
        <v>100</v>
      </c>
      <c r="Q146" s="82">
        <f t="shared" ref="Q146" si="278">+SUM(Q135:Q145)</f>
        <v>100</v>
      </c>
      <c r="R146" s="82">
        <f t="shared" ref="R146" si="279">+SUM(R135:R145)</f>
        <v>100</v>
      </c>
      <c r="S146" s="82">
        <f t="shared" ref="S146" si="280">+SUM(S135:S145)</f>
        <v>100</v>
      </c>
      <c r="T146" s="82">
        <f t="shared" ref="T146" si="281">+SUM(T135:T145)</f>
        <v>100</v>
      </c>
      <c r="U146" s="82">
        <f t="shared" ref="U146" si="282">+SUM(U135:U145)</f>
        <v>100</v>
      </c>
      <c r="V146" s="82">
        <f t="shared" ref="V146" si="283">+SUM(V135:V145)</f>
        <v>100</v>
      </c>
      <c r="W146" s="82">
        <f t="shared" ref="W146" si="284">+SUM(W135:W145)</f>
        <v>100</v>
      </c>
      <c r="X146" s="82">
        <f t="shared" ref="X146" si="285">+SUM(X135:X145)</f>
        <v>100</v>
      </c>
      <c r="Y146" s="82">
        <f t="shared" ref="Y146" si="286">+SUM(Y135:Y145)</f>
        <v>100</v>
      </c>
      <c r="Z146" s="82">
        <f t="shared" ref="Z146" si="287">+SUM(Z135:Z145)</f>
        <v>100</v>
      </c>
      <c r="AA146" s="82">
        <f t="shared" ref="AA146" si="288">+SUM(AA135:AA145)</f>
        <v>100</v>
      </c>
      <c r="AB146" s="82">
        <f t="shared" ref="AB146" si="289">+SUM(AB135:AB145)</f>
        <v>100</v>
      </c>
      <c r="AC146" s="82">
        <f t="shared" ref="AC146" si="290">+SUM(AC135:AC145)</f>
        <v>100</v>
      </c>
      <c r="AD146" s="82">
        <f t="shared" ref="AD146" si="291">+SUM(AD135:AD145)</f>
        <v>100</v>
      </c>
      <c r="AE146" s="82">
        <f t="shared" ref="AE146" si="292">+SUM(AE135:AE145)</f>
        <v>100</v>
      </c>
      <c r="AF146" s="82">
        <f t="shared" ref="AF146" si="293">+SUM(AF135:AF145)</f>
        <v>100</v>
      </c>
      <c r="AG146" s="82">
        <f t="shared" ref="AG146" si="294">+SUM(AG135:AG145)</f>
        <v>100</v>
      </c>
      <c r="AH146" s="82">
        <f t="shared" ref="AH146" si="295">+SUM(AH135:AH145)</f>
        <v>100</v>
      </c>
      <c r="AI146" s="82">
        <f t="shared" ref="AI146" si="296">+SUM(AI135:AI145)</f>
        <v>100</v>
      </c>
      <c r="AJ146" s="82">
        <f t="shared" ref="AJ146" si="297">+SUM(AJ135:AJ145)</f>
        <v>100</v>
      </c>
    </row>
    <row r="147" spans="1:36" x14ac:dyDescent="0.25">
      <c r="A147" t="s">
        <v>643</v>
      </c>
      <c r="B147" t="s">
        <v>309</v>
      </c>
      <c r="C147" s="26">
        <v>0</v>
      </c>
      <c r="D147" s="26">
        <v>0</v>
      </c>
      <c r="E147" s="26">
        <v>0</v>
      </c>
      <c r="F147" s="26">
        <v>0</v>
      </c>
      <c r="G147" s="26">
        <v>0</v>
      </c>
      <c r="H147" s="26">
        <v>0</v>
      </c>
      <c r="I147" s="26">
        <v>0</v>
      </c>
      <c r="J147" s="26">
        <v>0</v>
      </c>
      <c r="K147" s="26">
        <v>0</v>
      </c>
      <c r="L147" s="26">
        <v>0</v>
      </c>
      <c r="M147" s="26">
        <v>0</v>
      </c>
      <c r="N147" s="26">
        <v>0</v>
      </c>
      <c r="O147" s="26">
        <v>0</v>
      </c>
      <c r="P147" s="26">
        <v>0</v>
      </c>
      <c r="Q147" s="26">
        <v>0</v>
      </c>
      <c r="R147" s="26">
        <v>0</v>
      </c>
      <c r="S147" s="26">
        <v>0</v>
      </c>
      <c r="T147" s="26">
        <v>0</v>
      </c>
      <c r="U147" s="26">
        <v>0</v>
      </c>
      <c r="V147" s="26">
        <v>0</v>
      </c>
      <c r="W147" s="26">
        <v>0</v>
      </c>
      <c r="X147" s="26">
        <v>0</v>
      </c>
      <c r="Y147" s="26">
        <v>0</v>
      </c>
      <c r="Z147" s="26">
        <v>0</v>
      </c>
      <c r="AA147" s="26">
        <v>0</v>
      </c>
      <c r="AB147" s="26">
        <v>0</v>
      </c>
      <c r="AC147" s="26">
        <v>0</v>
      </c>
      <c r="AD147" s="26">
        <v>0</v>
      </c>
      <c r="AE147" s="26">
        <v>0</v>
      </c>
      <c r="AF147" s="26">
        <v>0</v>
      </c>
      <c r="AG147" s="26">
        <v>0</v>
      </c>
      <c r="AH147" s="26">
        <v>0</v>
      </c>
      <c r="AI147" s="26">
        <v>0</v>
      </c>
      <c r="AJ147" s="26">
        <v>0</v>
      </c>
    </row>
    <row r="148" spans="1:36" x14ac:dyDescent="0.25">
      <c r="A148" t="s">
        <v>644</v>
      </c>
      <c r="B148" t="s">
        <v>309</v>
      </c>
      <c r="C148" s="26">
        <v>0</v>
      </c>
      <c r="D148" s="26">
        <v>0</v>
      </c>
      <c r="E148" s="26">
        <v>0</v>
      </c>
      <c r="F148" s="26">
        <v>0</v>
      </c>
      <c r="G148" s="26">
        <v>0</v>
      </c>
      <c r="H148" s="26">
        <v>0</v>
      </c>
      <c r="I148" s="26">
        <v>0</v>
      </c>
      <c r="J148" s="26">
        <v>0</v>
      </c>
      <c r="K148" s="26">
        <v>0</v>
      </c>
      <c r="L148" s="26">
        <v>0</v>
      </c>
      <c r="M148" s="26">
        <v>0</v>
      </c>
      <c r="N148" s="26">
        <v>0</v>
      </c>
      <c r="O148" s="26">
        <v>0</v>
      </c>
      <c r="P148" s="26">
        <v>0</v>
      </c>
      <c r="Q148" s="26">
        <v>0</v>
      </c>
      <c r="R148" s="26">
        <v>0</v>
      </c>
      <c r="S148" s="26">
        <v>0</v>
      </c>
      <c r="T148" s="26">
        <v>0</v>
      </c>
      <c r="U148" s="26">
        <v>0</v>
      </c>
      <c r="V148" s="26">
        <v>0</v>
      </c>
      <c r="W148" s="26">
        <v>0</v>
      </c>
      <c r="X148" s="26">
        <v>0</v>
      </c>
      <c r="Y148" s="26">
        <v>0</v>
      </c>
      <c r="Z148" s="26">
        <v>0</v>
      </c>
      <c r="AA148" s="26">
        <v>0</v>
      </c>
      <c r="AB148" s="26">
        <v>0</v>
      </c>
      <c r="AC148" s="26">
        <v>0</v>
      </c>
      <c r="AD148" s="26">
        <v>0</v>
      </c>
      <c r="AE148" s="26">
        <v>0</v>
      </c>
      <c r="AF148" s="26">
        <v>0</v>
      </c>
      <c r="AG148" s="26">
        <v>0</v>
      </c>
      <c r="AH148" s="26">
        <v>0</v>
      </c>
      <c r="AI148" s="26">
        <v>0</v>
      </c>
      <c r="AJ148" s="26">
        <v>0</v>
      </c>
    </row>
    <row r="149" spans="1:36" x14ac:dyDescent="0.25">
      <c r="A149" t="s">
        <v>645</v>
      </c>
      <c r="B149" t="s">
        <v>309</v>
      </c>
      <c r="C149" s="26">
        <v>0</v>
      </c>
      <c r="D149" s="26">
        <v>0</v>
      </c>
      <c r="E149" s="26">
        <v>0</v>
      </c>
      <c r="F149" s="26">
        <v>0</v>
      </c>
      <c r="G149" s="26">
        <v>0</v>
      </c>
      <c r="H149" s="26">
        <v>0</v>
      </c>
      <c r="I149" s="26">
        <v>0</v>
      </c>
      <c r="J149" s="26">
        <v>0</v>
      </c>
      <c r="K149" s="26">
        <v>0</v>
      </c>
      <c r="L149" s="26">
        <v>0</v>
      </c>
      <c r="M149" s="26">
        <v>0</v>
      </c>
      <c r="N149" s="26">
        <v>0</v>
      </c>
      <c r="O149" s="26">
        <v>0</v>
      </c>
      <c r="P149" s="26">
        <v>0</v>
      </c>
      <c r="Q149" s="26">
        <v>0</v>
      </c>
      <c r="R149" s="26">
        <v>0</v>
      </c>
      <c r="S149" s="26">
        <v>0</v>
      </c>
      <c r="T149" s="26">
        <v>0</v>
      </c>
      <c r="U149" s="26">
        <v>0</v>
      </c>
      <c r="V149" s="26">
        <v>0</v>
      </c>
      <c r="W149" s="26">
        <v>0</v>
      </c>
      <c r="X149" s="26">
        <v>0</v>
      </c>
      <c r="Y149" s="26">
        <v>0</v>
      </c>
      <c r="Z149" s="26">
        <v>0</v>
      </c>
      <c r="AA149" s="26">
        <v>0</v>
      </c>
      <c r="AB149" s="26">
        <v>0</v>
      </c>
      <c r="AC149" s="26">
        <v>0</v>
      </c>
      <c r="AD149" s="26">
        <v>0</v>
      </c>
      <c r="AE149" s="26">
        <v>0</v>
      </c>
      <c r="AF149" s="26">
        <v>0</v>
      </c>
      <c r="AG149" s="26">
        <v>0</v>
      </c>
      <c r="AH149" s="26">
        <v>0</v>
      </c>
      <c r="AI149" s="26">
        <v>0</v>
      </c>
      <c r="AJ149" s="26">
        <v>0</v>
      </c>
    </row>
    <row r="150" spans="1:36" x14ac:dyDescent="0.25">
      <c r="A150" t="s">
        <v>646</v>
      </c>
      <c r="B150" t="s">
        <v>309</v>
      </c>
      <c r="C150" s="26">
        <v>0</v>
      </c>
      <c r="D150" s="26">
        <v>0</v>
      </c>
      <c r="E150" s="26">
        <v>0</v>
      </c>
      <c r="F150" s="26">
        <v>0</v>
      </c>
      <c r="G150" s="26">
        <v>0</v>
      </c>
      <c r="H150" s="26">
        <v>0</v>
      </c>
      <c r="I150" s="26">
        <v>0</v>
      </c>
      <c r="J150" s="26">
        <v>0</v>
      </c>
      <c r="K150" s="26">
        <v>0</v>
      </c>
      <c r="L150" s="26">
        <v>0</v>
      </c>
      <c r="M150" s="26">
        <v>0</v>
      </c>
      <c r="N150" s="26">
        <v>0</v>
      </c>
      <c r="O150" s="26">
        <v>0</v>
      </c>
      <c r="P150" s="26">
        <v>0</v>
      </c>
      <c r="Q150" s="26">
        <v>0</v>
      </c>
      <c r="R150" s="26">
        <v>0</v>
      </c>
      <c r="S150" s="26">
        <v>0</v>
      </c>
      <c r="T150" s="26">
        <v>0</v>
      </c>
      <c r="U150" s="26">
        <v>0</v>
      </c>
      <c r="V150" s="26">
        <v>0</v>
      </c>
      <c r="W150" s="26">
        <v>0</v>
      </c>
      <c r="X150" s="26">
        <v>0</v>
      </c>
      <c r="Y150" s="26">
        <v>0</v>
      </c>
      <c r="Z150" s="26">
        <v>0</v>
      </c>
      <c r="AA150" s="26">
        <v>0</v>
      </c>
      <c r="AB150" s="26">
        <v>0</v>
      </c>
      <c r="AC150" s="26">
        <v>0</v>
      </c>
      <c r="AD150" s="26">
        <v>0</v>
      </c>
      <c r="AE150" s="26">
        <v>0</v>
      </c>
      <c r="AF150" s="26">
        <v>0</v>
      </c>
      <c r="AG150" s="26">
        <v>0</v>
      </c>
      <c r="AH150" s="26">
        <v>0</v>
      </c>
      <c r="AI150" s="26">
        <v>0</v>
      </c>
      <c r="AJ150" s="26">
        <v>0</v>
      </c>
    </row>
    <row r="151" spans="1:36" x14ac:dyDescent="0.25">
      <c r="A151" t="s">
        <v>647</v>
      </c>
      <c r="B151" t="s">
        <v>309</v>
      </c>
      <c r="C151" s="26">
        <v>0</v>
      </c>
      <c r="D151" s="26">
        <v>0</v>
      </c>
      <c r="E151" s="26">
        <v>0</v>
      </c>
      <c r="F151" s="26">
        <v>0</v>
      </c>
      <c r="G151" s="26">
        <v>0</v>
      </c>
      <c r="H151" s="26">
        <v>0</v>
      </c>
      <c r="I151" s="26">
        <v>0</v>
      </c>
      <c r="J151" s="26">
        <v>0</v>
      </c>
      <c r="K151" s="26">
        <v>0</v>
      </c>
      <c r="L151" s="26">
        <v>0</v>
      </c>
      <c r="M151" s="26">
        <v>0</v>
      </c>
      <c r="N151" s="26">
        <v>0</v>
      </c>
      <c r="O151" s="26">
        <v>0</v>
      </c>
      <c r="P151" s="26">
        <v>0</v>
      </c>
      <c r="Q151" s="26">
        <v>0</v>
      </c>
      <c r="R151" s="26">
        <v>0</v>
      </c>
      <c r="S151" s="26">
        <v>0</v>
      </c>
      <c r="T151" s="26">
        <v>0</v>
      </c>
      <c r="U151" s="26">
        <v>0</v>
      </c>
      <c r="V151" s="26">
        <v>0</v>
      </c>
      <c r="W151" s="26">
        <v>0</v>
      </c>
      <c r="X151" s="26">
        <v>0</v>
      </c>
      <c r="Y151" s="26">
        <v>0</v>
      </c>
      <c r="Z151" s="26">
        <v>0</v>
      </c>
      <c r="AA151" s="26">
        <v>0</v>
      </c>
      <c r="AB151" s="26">
        <v>0</v>
      </c>
      <c r="AC151" s="26">
        <v>0</v>
      </c>
      <c r="AD151" s="26">
        <v>0</v>
      </c>
      <c r="AE151" s="26">
        <v>0</v>
      </c>
      <c r="AF151" s="26">
        <v>0</v>
      </c>
      <c r="AG151" s="26">
        <v>0</v>
      </c>
      <c r="AH151" s="26">
        <v>0</v>
      </c>
      <c r="AI151" s="26">
        <v>0</v>
      </c>
      <c r="AJ151" s="26">
        <v>0</v>
      </c>
    </row>
    <row r="152" spans="1:36" x14ac:dyDescent="0.25">
      <c r="A152" t="s">
        <v>648</v>
      </c>
      <c r="B152" t="s">
        <v>309</v>
      </c>
      <c r="C152" s="26">
        <v>0</v>
      </c>
      <c r="D152" s="26">
        <v>0</v>
      </c>
      <c r="E152" s="26">
        <v>0</v>
      </c>
      <c r="F152" s="26">
        <v>0</v>
      </c>
      <c r="G152" s="26">
        <v>0</v>
      </c>
      <c r="H152" s="26">
        <v>0</v>
      </c>
      <c r="I152" s="26">
        <v>0</v>
      </c>
      <c r="J152" s="26">
        <v>0</v>
      </c>
      <c r="K152" s="26">
        <v>0</v>
      </c>
      <c r="L152" s="26">
        <v>0</v>
      </c>
      <c r="M152" s="26">
        <v>0</v>
      </c>
      <c r="N152" s="26">
        <v>0</v>
      </c>
      <c r="O152" s="26">
        <v>0</v>
      </c>
      <c r="P152" s="26">
        <v>0</v>
      </c>
      <c r="Q152" s="26">
        <v>0</v>
      </c>
      <c r="R152" s="26">
        <v>0</v>
      </c>
      <c r="S152" s="26">
        <v>0</v>
      </c>
      <c r="T152" s="26">
        <v>0</v>
      </c>
      <c r="U152" s="26">
        <v>0</v>
      </c>
      <c r="V152" s="26">
        <v>0</v>
      </c>
      <c r="W152" s="26">
        <v>0</v>
      </c>
      <c r="X152" s="26">
        <v>0</v>
      </c>
      <c r="Y152" s="26">
        <v>0</v>
      </c>
      <c r="Z152" s="26">
        <v>0</v>
      </c>
      <c r="AA152" s="26">
        <v>0</v>
      </c>
      <c r="AB152" s="26">
        <v>0</v>
      </c>
      <c r="AC152" s="26">
        <v>0</v>
      </c>
      <c r="AD152" s="26">
        <v>0</v>
      </c>
      <c r="AE152" s="26">
        <v>0</v>
      </c>
      <c r="AF152" s="26">
        <v>0</v>
      </c>
      <c r="AG152" s="26">
        <v>0</v>
      </c>
      <c r="AH152" s="26">
        <v>0</v>
      </c>
      <c r="AI152" s="26">
        <v>0</v>
      </c>
      <c r="AJ152" s="26">
        <v>0</v>
      </c>
    </row>
    <row r="153" spans="1:36" x14ac:dyDescent="0.25">
      <c r="A153" t="s">
        <v>649</v>
      </c>
      <c r="B153" t="s">
        <v>309</v>
      </c>
      <c r="C153" s="26">
        <v>0</v>
      </c>
      <c r="D153" s="26">
        <v>0</v>
      </c>
      <c r="E153" s="26">
        <v>0</v>
      </c>
      <c r="F153" s="26">
        <v>0</v>
      </c>
      <c r="G153" s="26">
        <v>0</v>
      </c>
      <c r="H153" s="26">
        <v>0</v>
      </c>
      <c r="I153" s="26">
        <v>0</v>
      </c>
      <c r="J153" s="26">
        <v>0</v>
      </c>
      <c r="K153" s="26">
        <v>0</v>
      </c>
      <c r="L153" s="26">
        <v>0</v>
      </c>
      <c r="M153" s="26">
        <v>0</v>
      </c>
      <c r="N153" s="26">
        <v>0</v>
      </c>
      <c r="O153" s="26">
        <v>0</v>
      </c>
      <c r="P153" s="26">
        <v>0</v>
      </c>
      <c r="Q153" s="26">
        <v>0</v>
      </c>
      <c r="R153" s="26">
        <v>0</v>
      </c>
      <c r="S153" s="26">
        <v>0</v>
      </c>
      <c r="T153" s="26">
        <v>0</v>
      </c>
      <c r="U153" s="26">
        <v>0</v>
      </c>
      <c r="V153" s="26">
        <v>0</v>
      </c>
      <c r="W153" s="26">
        <v>0</v>
      </c>
      <c r="X153" s="26">
        <v>0</v>
      </c>
      <c r="Y153" s="26">
        <v>0</v>
      </c>
      <c r="Z153" s="26">
        <v>0</v>
      </c>
      <c r="AA153" s="26">
        <v>0</v>
      </c>
      <c r="AB153" s="26">
        <v>0</v>
      </c>
      <c r="AC153" s="26">
        <v>0</v>
      </c>
      <c r="AD153" s="26">
        <v>0</v>
      </c>
      <c r="AE153" s="26">
        <v>0</v>
      </c>
      <c r="AF153" s="26">
        <v>0</v>
      </c>
      <c r="AG153" s="26">
        <v>0</v>
      </c>
      <c r="AH153" s="26">
        <v>0</v>
      </c>
      <c r="AI153" s="26">
        <v>0</v>
      </c>
      <c r="AJ153" s="26">
        <v>0</v>
      </c>
    </row>
    <row r="154" spans="1:36" x14ac:dyDescent="0.25">
      <c r="A154" t="s">
        <v>650</v>
      </c>
      <c r="B154" t="s">
        <v>309</v>
      </c>
      <c r="C154" s="26">
        <v>0</v>
      </c>
      <c r="D154" s="26">
        <v>0</v>
      </c>
      <c r="E154" s="26">
        <v>0</v>
      </c>
      <c r="F154" s="26">
        <v>0</v>
      </c>
      <c r="G154" s="26">
        <v>0</v>
      </c>
      <c r="H154" s="26">
        <v>0</v>
      </c>
      <c r="I154" s="26">
        <v>0</v>
      </c>
      <c r="J154" s="26">
        <v>0</v>
      </c>
      <c r="K154" s="26">
        <v>0</v>
      </c>
      <c r="L154" s="26">
        <v>0</v>
      </c>
      <c r="M154" s="26">
        <v>0</v>
      </c>
      <c r="N154" s="26">
        <v>0</v>
      </c>
      <c r="O154" s="26">
        <v>0</v>
      </c>
      <c r="P154" s="26">
        <v>0</v>
      </c>
      <c r="Q154" s="26">
        <v>0</v>
      </c>
      <c r="R154" s="26">
        <v>0</v>
      </c>
      <c r="S154" s="26">
        <v>0</v>
      </c>
      <c r="T154" s="26">
        <v>0</v>
      </c>
      <c r="U154" s="26">
        <v>0</v>
      </c>
      <c r="V154" s="26">
        <v>0</v>
      </c>
      <c r="W154" s="26">
        <v>0</v>
      </c>
      <c r="X154" s="26">
        <v>0</v>
      </c>
      <c r="Y154" s="26">
        <v>0</v>
      </c>
      <c r="Z154" s="26">
        <v>0</v>
      </c>
      <c r="AA154" s="26">
        <v>0</v>
      </c>
      <c r="AB154" s="26">
        <v>0</v>
      </c>
      <c r="AC154" s="26">
        <v>0</v>
      </c>
      <c r="AD154" s="26">
        <v>0</v>
      </c>
      <c r="AE154" s="26">
        <v>0</v>
      </c>
      <c r="AF154" s="26">
        <v>0</v>
      </c>
      <c r="AG154" s="26">
        <v>0</v>
      </c>
      <c r="AH154" s="26">
        <v>0</v>
      </c>
      <c r="AI154" s="26">
        <v>0</v>
      </c>
      <c r="AJ154" s="26">
        <v>0</v>
      </c>
    </row>
    <row r="155" spans="1:36" x14ac:dyDescent="0.25">
      <c r="A155" t="s">
        <v>651</v>
      </c>
      <c r="B155" t="s">
        <v>309</v>
      </c>
      <c r="C155" s="26">
        <v>0</v>
      </c>
      <c r="D155" s="26">
        <v>0</v>
      </c>
      <c r="E155" s="26">
        <v>0</v>
      </c>
      <c r="F155" s="26">
        <v>0</v>
      </c>
      <c r="G155" s="26">
        <v>0</v>
      </c>
      <c r="H155" s="26">
        <v>0</v>
      </c>
      <c r="I155" s="26">
        <v>0</v>
      </c>
      <c r="J155" s="26">
        <v>0</v>
      </c>
      <c r="K155" s="26">
        <v>0</v>
      </c>
      <c r="L155" s="26">
        <v>0</v>
      </c>
      <c r="M155" s="26">
        <v>0</v>
      </c>
      <c r="N155" s="26">
        <v>0</v>
      </c>
      <c r="O155" s="26">
        <v>0</v>
      </c>
      <c r="P155" s="26">
        <v>0</v>
      </c>
      <c r="Q155" s="26">
        <v>0</v>
      </c>
      <c r="R155" s="26">
        <v>0</v>
      </c>
      <c r="S155" s="26">
        <v>0</v>
      </c>
      <c r="T155" s="26">
        <v>0</v>
      </c>
      <c r="U155" s="26">
        <v>0</v>
      </c>
      <c r="V155" s="26">
        <v>0</v>
      </c>
      <c r="W155" s="26">
        <v>0</v>
      </c>
      <c r="X155" s="26">
        <v>0</v>
      </c>
      <c r="Y155" s="26">
        <v>0</v>
      </c>
      <c r="Z155" s="26">
        <v>0</v>
      </c>
      <c r="AA155" s="26">
        <v>0</v>
      </c>
      <c r="AB155" s="26">
        <v>0</v>
      </c>
      <c r="AC155" s="26">
        <v>0</v>
      </c>
      <c r="AD155" s="26">
        <v>0</v>
      </c>
      <c r="AE155" s="26">
        <v>0</v>
      </c>
      <c r="AF155" s="26">
        <v>0</v>
      </c>
      <c r="AG155" s="26">
        <v>0</v>
      </c>
      <c r="AH155" s="26">
        <v>0</v>
      </c>
      <c r="AI155" s="26">
        <v>0</v>
      </c>
      <c r="AJ155" s="26">
        <v>0</v>
      </c>
    </row>
    <row r="156" spans="1:36" x14ac:dyDescent="0.25">
      <c r="A156" t="s">
        <v>652</v>
      </c>
      <c r="B156" t="s">
        <v>309</v>
      </c>
      <c r="C156" s="26">
        <v>100</v>
      </c>
      <c r="D156" s="26">
        <v>100</v>
      </c>
      <c r="E156" s="26">
        <v>100</v>
      </c>
      <c r="F156" s="26">
        <v>100</v>
      </c>
      <c r="G156" s="26">
        <v>100</v>
      </c>
      <c r="H156" s="26">
        <v>100</v>
      </c>
      <c r="I156" s="26">
        <v>100</v>
      </c>
      <c r="J156" s="26">
        <v>100</v>
      </c>
      <c r="K156" s="26">
        <v>100</v>
      </c>
      <c r="L156" s="26">
        <v>100</v>
      </c>
      <c r="M156" s="26">
        <v>100</v>
      </c>
      <c r="N156" s="26">
        <v>100</v>
      </c>
      <c r="O156" s="26">
        <v>100</v>
      </c>
      <c r="P156" s="26">
        <v>100</v>
      </c>
      <c r="Q156" s="26">
        <v>100</v>
      </c>
      <c r="R156" s="26">
        <v>100</v>
      </c>
      <c r="S156" s="26">
        <v>100</v>
      </c>
      <c r="T156" s="26">
        <v>100</v>
      </c>
      <c r="U156" s="26">
        <v>100</v>
      </c>
      <c r="V156" s="26">
        <v>100</v>
      </c>
      <c r="W156" s="26">
        <v>100</v>
      </c>
      <c r="X156" s="26">
        <v>100</v>
      </c>
      <c r="Y156" s="26">
        <v>100</v>
      </c>
      <c r="Z156" s="26">
        <v>100</v>
      </c>
      <c r="AA156" s="26">
        <v>100</v>
      </c>
      <c r="AB156" s="26">
        <v>100</v>
      </c>
      <c r="AC156" s="26">
        <v>100</v>
      </c>
      <c r="AD156" s="26">
        <v>100</v>
      </c>
      <c r="AE156" s="26">
        <v>100</v>
      </c>
      <c r="AF156" s="26">
        <v>100</v>
      </c>
      <c r="AG156" s="26">
        <v>100</v>
      </c>
      <c r="AH156" s="26">
        <v>100</v>
      </c>
      <c r="AI156" s="26">
        <v>100</v>
      </c>
      <c r="AJ156" s="26">
        <v>100</v>
      </c>
    </row>
    <row r="157" spans="1:36" x14ac:dyDescent="0.25">
      <c r="A157" t="s">
        <v>864</v>
      </c>
      <c r="B157" t="s">
        <v>309</v>
      </c>
      <c r="C157" s="26">
        <v>0</v>
      </c>
      <c r="D157" s="26">
        <v>0</v>
      </c>
      <c r="E157" s="26">
        <v>0</v>
      </c>
      <c r="F157" s="26">
        <v>0</v>
      </c>
      <c r="G157" s="26">
        <v>0</v>
      </c>
      <c r="H157" s="26">
        <v>0</v>
      </c>
      <c r="I157" s="26">
        <v>0</v>
      </c>
      <c r="J157" s="26">
        <v>0</v>
      </c>
      <c r="K157" s="26">
        <v>0</v>
      </c>
      <c r="L157" s="26">
        <v>0</v>
      </c>
      <c r="M157" s="26">
        <v>0</v>
      </c>
      <c r="N157" s="26">
        <v>0</v>
      </c>
      <c r="O157" s="26">
        <v>0</v>
      </c>
      <c r="P157" s="26">
        <v>0</v>
      </c>
      <c r="Q157" s="26">
        <v>0</v>
      </c>
      <c r="R157" s="26">
        <v>0</v>
      </c>
      <c r="S157" s="26">
        <v>0</v>
      </c>
      <c r="T157" s="26">
        <v>0</v>
      </c>
      <c r="U157" s="26">
        <v>0</v>
      </c>
      <c r="V157" s="26">
        <v>0</v>
      </c>
      <c r="W157" s="26">
        <v>0</v>
      </c>
      <c r="X157" s="26">
        <v>0</v>
      </c>
      <c r="Y157" s="26">
        <v>0</v>
      </c>
      <c r="Z157" s="26">
        <v>0</v>
      </c>
      <c r="AA157" s="26">
        <v>0</v>
      </c>
      <c r="AB157" s="26">
        <v>0</v>
      </c>
      <c r="AC157" s="26">
        <v>0</v>
      </c>
      <c r="AD157" s="26">
        <v>0</v>
      </c>
      <c r="AE157" s="26">
        <v>0</v>
      </c>
      <c r="AF157" s="26">
        <v>0</v>
      </c>
      <c r="AG157" s="26">
        <v>0</v>
      </c>
      <c r="AH157" s="26">
        <v>0</v>
      </c>
      <c r="AI157" s="26">
        <v>0</v>
      </c>
      <c r="AJ157" s="26">
        <v>0</v>
      </c>
    </row>
    <row r="158" spans="1:36" s="81" customFormat="1" x14ac:dyDescent="0.25">
      <c r="A158" s="81" t="s">
        <v>882</v>
      </c>
      <c r="C158" s="82">
        <f>+SUM(C147:C157)</f>
        <v>100</v>
      </c>
      <c r="D158" s="82">
        <f t="shared" ref="D158" si="298">+SUM(D147:D157)</f>
        <v>100</v>
      </c>
      <c r="E158" s="82">
        <f t="shared" ref="E158" si="299">+SUM(E147:E157)</f>
        <v>100</v>
      </c>
      <c r="F158" s="82">
        <f t="shared" ref="F158" si="300">+SUM(F147:F157)</f>
        <v>100</v>
      </c>
      <c r="G158" s="82">
        <f t="shared" ref="G158" si="301">+SUM(G147:G157)</f>
        <v>100</v>
      </c>
      <c r="H158" s="82">
        <f t="shared" ref="H158" si="302">+SUM(H147:H157)</f>
        <v>100</v>
      </c>
      <c r="I158" s="82">
        <f t="shared" ref="I158" si="303">+SUM(I147:I157)</f>
        <v>100</v>
      </c>
      <c r="J158" s="82">
        <f t="shared" ref="J158" si="304">+SUM(J147:J157)</f>
        <v>100</v>
      </c>
      <c r="K158" s="82">
        <f t="shared" ref="K158" si="305">+SUM(K147:K157)</f>
        <v>100</v>
      </c>
      <c r="L158" s="82">
        <f t="shared" ref="L158" si="306">+SUM(L147:L157)</f>
        <v>100</v>
      </c>
      <c r="M158" s="82">
        <f t="shared" ref="M158" si="307">+SUM(M147:M157)</f>
        <v>100</v>
      </c>
      <c r="N158" s="82">
        <f t="shared" ref="N158" si="308">+SUM(N147:N157)</f>
        <v>100</v>
      </c>
      <c r="O158" s="82">
        <f t="shared" ref="O158" si="309">+SUM(O147:O157)</f>
        <v>100</v>
      </c>
      <c r="P158" s="82">
        <f t="shared" ref="P158" si="310">+SUM(P147:P157)</f>
        <v>100</v>
      </c>
      <c r="Q158" s="82">
        <f t="shared" ref="Q158" si="311">+SUM(Q147:Q157)</f>
        <v>100</v>
      </c>
      <c r="R158" s="82">
        <f t="shared" ref="R158" si="312">+SUM(R147:R157)</f>
        <v>100</v>
      </c>
      <c r="S158" s="82">
        <f t="shared" ref="S158" si="313">+SUM(S147:S157)</f>
        <v>100</v>
      </c>
      <c r="T158" s="82">
        <f t="shared" ref="T158" si="314">+SUM(T147:T157)</f>
        <v>100</v>
      </c>
      <c r="U158" s="82">
        <f t="shared" ref="U158" si="315">+SUM(U147:U157)</f>
        <v>100</v>
      </c>
      <c r="V158" s="82">
        <f t="shared" ref="V158" si="316">+SUM(V147:V157)</f>
        <v>100</v>
      </c>
      <c r="W158" s="82">
        <f t="shared" ref="W158" si="317">+SUM(W147:W157)</f>
        <v>100</v>
      </c>
      <c r="X158" s="82">
        <f t="shared" ref="X158" si="318">+SUM(X147:X157)</f>
        <v>100</v>
      </c>
      <c r="Y158" s="82">
        <f t="shared" ref="Y158" si="319">+SUM(Y147:Y157)</f>
        <v>100</v>
      </c>
      <c r="Z158" s="82">
        <f t="shared" ref="Z158" si="320">+SUM(Z147:Z157)</f>
        <v>100</v>
      </c>
      <c r="AA158" s="82">
        <f t="shared" ref="AA158" si="321">+SUM(AA147:AA157)</f>
        <v>100</v>
      </c>
      <c r="AB158" s="82">
        <f t="shared" ref="AB158" si="322">+SUM(AB147:AB157)</f>
        <v>100</v>
      </c>
      <c r="AC158" s="82">
        <f t="shared" ref="AC158" si="323">+SUM(AC147:AC157)</f>
        <v>100</v>
      </c>
      <c r="AD158" s="82">
        <f t="shared" ref="AD158" si="324">+SUM(AD147:AD157)</f>
        <v>100</v>
      </c>
      <c r="AE158" s="82">
        <f t="shared" ref="AE158" si="325">+SUM(AE147:AE157)</f>
        <v>100</v>
      </c>
      <c r="AF158" s="82">
        <f t="shared" ref="AF158" si="326">+SUM(AF147:AF157)</f>
        <v>100</v>
      </c>
      <c r="AG158" s="82">
        <f t="shared" ref="AG158" si="327">+SUM(AG147:AG157)</f>
        <v>100</v>
      </c>
      <c r="AH158" s="82">
        <f t="shared" ref="AH158" si="328">+SUM(AH147:AH157)</f>
        <v>100</v>
      </c>
      <c r="AI158" s="82">
        <f t="shared" ref="AI158" si="329">+SUM(AI147:AI157)</f>
        <v>100</v>
      </c>
      <c r="AJ158" s="82">
        <f t="shared" ref="AJ158" si="330">+SUM(AJ147:AJ157)</f>
        <v>100</v>
      </c>
    </row>
    <row r="159" spans="1:36" s="79" customFormat="1" ht="15.75" x14ac:dyDescent="0.25">
      <c r="A159" s="77" t="s">
        <v>878</v>
      </c>
      <c r="B159" s="78"/>
      <c r="C159" s="77"/>
      <c r="D159" s="77"/>
      <c r="E159" s="77"/>
      <c r="F159" s="77"/>
      <c r="G159" s="77"/>
      <c r="H159" s="77"/>
      <c r="I159" s="77"/>
      <c r="J159" s="77"/>
      <c r="K159" s="77"/>
      <c r="L159" s="77"/>
      <c r="M159" s="77"/>
      <c r="N159" s="77"/>
      <c r="O159" s="77"/>
      <c r="P159" s="77"/>
      <c r="Q159" s="77"/>
      <c r="R159" s="77"/>
      <c r="S159" s="77"/>
      <c r="T159" s="77"/>
      <c r="U159" s="77"/>
      <c r="V159" s="77"/>
      <c r="W159" s="77"/>
      <c r="X159" s="77"/>
      <c r="Y159" s="77"/>
      <c r="Z159" s="77"/>
      <c r="AA159" s="77"/>
      <c r="AB159" s="77"/>
      <c r="AC159" s="77"/>
      <c r="AD159" s="77"/>
      <c r="AE159" s="77"/>
      <c r="AF159" s="77"/>
      <c r="AG159" s="77"/>
      <c r="AH159" s="77"/>
      <c r="AI159" s="77"/>
      <c r="AJ159" s="77"/>
    </row>
    <row r="160" spans="1:36" x14ac:dyDescent="0.25">
      <c r="A160" s="80" t="s">
        <v>653</v>
      </c>
      <c r="B160" t="s">
        <v>309</v>
      </c>
      <c r="C160" s="26">
        <v>71</v>
      </c>
      <c r="D160" s="26">
        <v>71</v>
      </c>
      <c r="E160" s="26">
        <v>71</v>
      </c>
      <c r="F160" s="26">
        <v>71</v>
      </c>
      <c r="G160" s="26">
        <v>71</v>
      </c>
      <c r="H160" s="26">
        <v>71</v>
      </c>
      <c r="I160" s="26">
        <v>71</v>
      </c>
      <c r="J160" s="26">
        <v>71</v>
      </c>
      <c r="K160" s="26">
        <v>71</v>
      </c>
      <c r="L160" s="26">
        <v>71</v>
      </c>
      <c r="M160" s="26">
        <v>71</v>
      </c>
      <c r="N160" s="26">
        <v>71</v>
      </c>
      <c r="O160" s="26">
        <v>71</v>
      </c>
      <c r="P160" s="26">
        <v>71</v>
      </c>
      <c r="Q160" s="26">
        <v>71</v>
      </c>
      <c r="R160" s="26">
        <v>71</v>
      </c>
      <c r="S160" s="26">
        <v>71</v>
      </c>
      <c r="T160" s="26">
        <v>71</v>
      </c>
      <c r="U160" s="26">
        <v>71</v>
      </c>
      <c r="V160" s="26">
        <v>71</v>
      </c>
      <c r="W160" s="26">
        <v>71</v>
      </c>
      <c r="X160" s="26">
        <v>71</v>
      </c>
      <c r="Y160" s="26">
        <v>71</v>
      </c>
      <c r="Z160" s="26">
        <v>71</v>
      </c>
      <c r="AA160" s="26">
        <v>71</v>
      </c>
      <c r="AB160" s="26">
        <v>71</v>
      </c>
      <c r="AC160" s="26">
        <v>71</v>
      </c>
      <c r="AD160" s="26">
        <v>71</v>
      </c>
      <c r="AE160" s="26">
        <v>71</v>
      </c>
      <c r="AF160" s="26">
        <v>71</v>
      </c>
      <c r="AG160" s="26">
        <v>71</v>
      </c>
      <c r="AH160" s="26">
        <v>71</v>
      </c>
      <c r="AI160" s="26">
        <v>71</v>
      </c>
      <c r="AJ160" s="26">
        <v>71</v>
      </c>
    </row>
    <row r="161" spans="1:36" x14ac:dyDescent="0.25">
      <c r="A161" s="80" t="s">
        <v>654</v>
      </c>
      <c r="B161" t="s">
        <v>309</v>
      </c>
      <c r="C161" s="26">
        <v>11</v>
      </c>
      <c r="D161" s="26">
        <v>11</v>
      </c>
      <c r="E161" s="26">
        <v>11</v>
      </c>
      <c r="F161" s="26">
        <v>11</v>
      </c>
      <c r="G161" s="26">
        <v>11</v>
      </c>
      <c r="H161" s="26">
        <v>11</v>
      </c>
      <c r="I161" s="26">
        <v>11</v>
      </c>
      <c r="J161" s="26">
        <v>11</v>
      </c>
      <c r="K161" s="26">
        <v>11</v>
      </c>
      <c r="L161" s="26">
        <v>11</v>
      </c>
      <c r="M161" s="26">
        <v>11</v>
      </c>
      <c r="N161" s="26">
        <v>11</v>
      </c>
      <c r="O161" s="26">
        <v>11</v>
      </c>
      <c r="P161" s="26">
        <v>11</v>
      </c>
      <c r="Q161" s="26">
        <v>11</v>
      </c>
      <c r="R161" s="26">
        <v>11</v>
      </c>
      <c r="S161" s="26">
        <v>11</v>
      </c>
      <c r="T161" s="26">
        <v>11</v>
      </c>
      <c r="U161" s="26">
        <v>11</v>
      </c>
      <c r="V161" s="26">
        <v>11</v>
      </c>
      <c r="W161" s="26">
        <v>11</v>
      </c>
      <c r="X161" s="26">
        <v>11</v>
      </c>
      <c r="Y161" s="26">
        <v>11</v>
      </c>
      <c r="Z161" s="26">
        <v>11</v>
      </c>
      <c r="AA161" s="26">
        <v>11</v>
      </c>
      <c r="AB161" s="26">
        <v>11</v>
      </c>
      <c r="AC161" s="26">
        <v>11</v>
      </c>
      <c r="AD161" s="26">
        <v>11</v>
      </c>
      <c r="AE161" s="26">
        <v>11</v>
      </c>
      <c r="AF161" s="26">
        <v>11</v>
      </c>
      <c r="AG161" s="26">
        <v>11</v>
      </c>
      <c r="AH161" s="26">
        <v>11</v>
      </c>
      <c r="AI161" s="26">
        <v>11</v>
      </c>
      <c r="AJ161" s="26">
        <v>11</v>
      </c>
    </row>
    <row r="162" spans="1:36" x14ac:dyDescent="0.25">
      <c r="A162" s="80" t="s">
        <v>655</v>
      </c>
      <c r="B162" t="s">
        <v>309</v>
      </c>
      <c r="C162" s="26">
        <v>13</v>
      </c>
      <c r="D162" s="26">
        <v>13</v>
      </c>
      <c r="E162" s="26">
        <v>13</v>
      </c>
      <c r="F162" s="26">
        <v>13</v>
      </c>
      <c r="G162" s="26">
        <v>13</v>
      </c>
      <c r="H162" s="26">
        <v>13</v>
      </c>
      <c r="I162" s="26">
        <v>13</v>
      </c>
      <c r="J162" s="26">
        <v>13</v>
      </c>
      <c r="K162" s="26">
        <v>13</v>
      </c>
      <c r="L162" s="26">
        <v>13</v>
      </c>
      <c r="M162" s="26">
        <v>13</v>
      </c>
      <c r="N162" s="26">
        <v>13</v>
      </c>
      <c r="O162" s="26">
        <v>13</v>
      </c>
      <c r="P162" s="26">
        <v>13</v>
      </c>
      <c r="Q162" s="26">
        <v>13</v>
      </c>
      <c r="R162" s="26">
        <v>13</v>
      </c>
      <c r="S162" s="26">
        <v>13</v>
      </c>
      <c r="T162" s="26">
        <v>13</v>
      </c>
      <c r="U162" s="26">
        <v>13</v>
      </c>
      <c r="V162" s="26">
        <v>13</v>
      </c>
      <c r="W162" s="26">
        <v>13</v>
      </c>
      <c r="X162" s="26">
        <v>13</v>
      </c>
      <c r="Y162" s="26">
        <v>13</v>
      </c>
      <c r="Z162" s="26">
        <v>13</v>
      </c>
      <c r="AA162" s="26">
        <v>13</v>
      </c>
      <c r="AB162" s="26">
        <v>13</v>
      </c>
      <c r="AC162" s="26">
        <v>13</v>
      </c>
      <c r="AD162" s="26">
        <v>13</v>
      </c>
      <c r="AE162" s="26">
        <v>13</v>
      </c>
      <c r="AF162" s="26">
        <v>13</v>
      </c>
      <c r="AG162" s="26">
        <v>13</v>
      </c>
      <c r="AH162" s="26">
        <v>13</v>
      </c>
      <c r="AI162" s="26">
        <v>13</v>
      </c>
      <c r="AJ162" s="26">
        <v>13</v>
      </c>
    </row>
    <row r="163" spans="1:36" x14ac:dyDescent="0.25">
      <c r="A163" s="80" t="s">
        <v>656</v>
      </c>
      <c r="B163" t="s">
        <v>309</v>
      </c>
      <c r="C163" s="26">
        <v>0</v>
      </c>
      <c r="D163" s="26">
        <v>0</v>
      </c>
      <c r="E163" s="26">
        <v>0</v>
      </c>
      <c r="F163" s="26">
        <v>0</v>
      </c>
      <c r="G163" s="26">
        <v>0</v>
      </c>
      <c r="H163" s="26">
        <v>0</v>
      </c>
      <c r="I163" s="26">
        <v>0</v>
      </c>
      <c r="J163" s="26">
        <v>0</v>
      </c>
      <c r="K163" s="26">
        <v>0</v>
      </c>
      <c r="L163" s="26">
        <v>0</v>
      </c>
      <c r="M163" s="26">
        <v>0</v>
      </c>
      <c r="N163" s="26">
        <v>0</v>
      </c>
      <c r="O163" s="26">
        <v>0</v>
      </c>
      <c r="P163" s="26">
        <v>0</v>
      </c>
      <c r="Q163" s="26">
        <v>0</v>
      </c>
      <c r="R163" s="26">
        <v>0</v>
      </c>
      <c r="S163" s="26">
        <v>0</v>
      </c>
      <c r="T163" s="26">
        <v>0</v>
      </c>
      <c r="U163" s="26">
        <v>0</v>
      </c>
      <c r="V163" s="26">
        <v>0</v>
      </c>
      <c r="W163" s="26">
        <v>0</v>
      </c>
      <c r="X163" s="26">
        <v>0</v>
      </c>
      <c r="Y163" s="26">
        <v>0</v>
      </c>
      <c r="Z163" s="26">
        <v>0</v>
      </c>
      <c r="AA163" s="26">
        <v>0</v>
      </c>
      <c r="AB163" s="26">
        <v>0</v>
      </c>
      <c r="AC163" s="26">
        <v>0</v>
      </c>
      <c r="AD163" s="26">
        <v>0</v>
      </c>
      <c r="AE163" s="26">
        <v>0</v>
      </c>
      <c r="AF163" s="26">
        <v>0</v>
      </c>
      <c r="AG163" s="26">
        <v>0</v>
      </c>
      <c r="AH163" s="26">
        <v>0</v>
      </c>
      <c r="AI163" s="26">
        <v>0</v>
      </c>
      <c r="AJ163" s="26">
        <v>0</v>
      </c>
    </row>
    <row r="164" spans="1:36" x14ac:dyDescent="0.25">
      <c r="A164" s="80" t="s">
        <v>657</v>
      </c>
      <c r="B164" t="s">
        <v>309</v>
      </c>
      <c r="C164" s="26">
        <v>3</v>
      </c>
      <c r="D164" s="26">
        <v>3</v>
      </c>
      <c r="E164" s="26">
        <v>3</v>
      </c>
      <c r="F164" s="26">
        <v>3</v>
      </c>
      <c r="G164" s="26">
        <v>3</v>
      </c>
      <c r="H164" s="26">
        <v>3</v>
      </c>
      <c r="I164" s="26">
        <v>3</v>
      </c>
      <c r="J164" s="26">
        <v>3</v>
      </c>
      <c r="K164" s="26">
        <v>3</v>
      </c>
      <c r="L164" s="26">
        <v>3</v>
      </c>
      <c r="M164" s="26">
        <v>3</v>
      </c>
      <c r="N164" s="26">
        <v>3</v>
      </c>
      <c r="O164" s="26">
        <v>3</v>
      </c>
      <c r="P164" s="26">
        <v>3</v>
      </c>
      <c r="Q164" s="26">
        <v>3</v>
      </c>
      <c r="R164" s="26">
        <v>3</v>
      </c>
      <c r="S164" s="26">
        <v>3</v>
      </c>
      <c r="T164" s="26">
        <v>3</v>
      </c>
      <c r="U164" s="26">
        <v>3</v>
      </c>
      <c r="V164" s="26">
        <v>3</v>
      </c>
      <c r="W164" s="26">
        <v>3</v>
      </c>
      <c r="X164" s="26">
        <v>3</v>
      </c>
      <c r="Y164" s="26">
        <v>3</v>
      </c>
      <c r="Z164" s="26">
        <v>3</v>
      </c>
      <c r="AA164" s="26">
        <v>3</v>
      </c>
      <c r="AB164" s="26">
        <v>3</v>
      </c>
      <c r="AC164" s="26">
        <v>3</v>
      </c>
      <c r="AD164" s="26">
        <v>3</v>
      </c>
      <c r="AE164" s="26">
        <v>3</v>
      </c>
      <c r="AF164" s="26">
        <v>3</v>
      </c>
      <c r="AG164" s="26">
        <v>3</v>
      </c>
      <c r="AH164" s="26">
        <v>3</v>
      </c>
      <c r="AI164" s="26">
        <v>3</v>
      </c>
      <c r="AJ164" s="26">
        <v>3</v>
      </c>
    </row>
    <row r="165" spans="1:36" x14ac:dyDescent="0.25">
      <c r="A165" s="80" t="s">
        <v>658</v>
      </c>
      <c r="B165" t="s">
        <v>309</v>
      </c>
      <c r="C165" s="26">
        <v>2</v>
      </c>
      <c r="D165" s="26">
        <v>2</v>
      </c>
      <c r="E165" s="26">
        <v>2</v>
      </c>
      <c r="F165" s="26">
        <v>2</v>
      </c>
      <c r="G165" s="26">
        <v>2</v>
      </c>
      <c r="H165" s="26">
        <v>2</v>
      </c>
      <c r="I165" s="26">
        <v>2</v>
      </c>
      <c r="J165" s="26">
        <v>2</v>
      </c>
      <c r="K165" s="26">
        <v>2</v>
      </c>
      <c r="L165" s="26">
        <v>2</v>
      </c>
      <c r="M165" s="26">
        <v>2</v>
      </c>
      <c r="N165" s="26">
        <v>2</v>
      </c>
      <c r="O165" s="26">
        <v>2</v>
      </c>
      <c r="P165" s="26">
        <v>2</v>
      </c>
      <c r="Q165" s="26">
        <v>2</v>
      </c>
      <c r="R165" s="26">
        <v>2</v>
      </c>
      <c r="S165" s="26">
        <v>2</v>
      </c>
      <c r="T165" s="26">
        <v>2</v>
      </c>
      <c r="U165" s="26">
        <v>2</v>
      </c>
      <c r="V165" s="26">
        <v>2</v>
      </c>
      <c r="W165" s="26">
        <v>2</v>
      </c>
      <c r="X165" s="26">
        <v>2</v>
      </c>
      <c r="Y165" s="26">
        <v>2</v>
      </c>
      <c r="Z165" s="26">
        <v>2</v>
      </c>
      <c r="AA165" s="26">
        <v>2</v>
      </c>
      <c r="AB165" s="26">
        <v>2</v>
      </c>
      <c r="AC165" s="26">
        <v>2</v>
      </c>
      <c r="AD165" s="26">
        <v>2</v>
      </c>
      <c r="AE165" s="26">
        <v>2</v>
      </c>
      <c r="AF165" s="26">
        <v>2</v>
      </c>
      <c r="AG165" s="26">
        <v>2</v>
      </c>
      <c r="AH165" s="26">
        <v>2</v>
      </c>
      <c r="AI165" s="26">
        <v>2</v>
      </c>
      <c r="AJ165" s="26">
        <v>2</v>
      </c>
    </row>
    <row r="166" spans="1:36" x14ac:dyDescent="0.25">
      <c r="A166" s="80" t="s">
        <v>659</v>
      </c>
      <c r="B166" t="s">
        <v>309</v>
      </c>
      <c r="C166" s="26">
        <v>0</v>
      </c>
      <c r="D166" s="26">
        <v>0</v>
      </c>
      <c r="E166" s="26">
        <v>0</v>
      </c>
      <c r="F166" s="26">
        <v>0</v>
      </c>
      <c r="G166" s="26">
        <v>0</v>
      </c>
      <c r="H166" s="26">
        <v>0</v>
      </c>
      <c r="I166" s="26">
        <v>0</v>
      </c>
      <c r="J166" s="26">
        <v>0</v>
      </c>
      <c r="K166" s="26">
        <v>0</v>
      </c>
      <c r="L166" s="26">
        <v>0</v>
      </c>
      <c r="M166" s="26">
        <v>0</v>
      </c>
      <c r="N166" s="26">
        <v>0</v>
      </c>
      <c r="O166" s="26">
        <v>0</v>
      </c>
      <c r="P166" s="26">
        <v>0</v>
      </c>
      <c r="Q166" s="26">
        <v>0</v>
      </c>
      <c r="R166" s="26">
        <v>0</v>
      </c>
      <c r="S166" s="26">
        <v>0</v>
      </c>
      <c r="T166" s="26">
        <v>0</v>
      </c>
      <c r="U166" s="26">
        <v>0</v>
      </c>
      <c r="V166" s="26">
        <v>0</v>
      </c>
      <c r="W166" s="26">
        <v>0</v>
      </c>
      <c r="X166" s="26">
        <v>0</v>
      </c>
      <c r="Y166" s="26">
        <v>0</v>
      </c>
      <c r="Z166" s="26">
        <v>0</v>
      </c>
      <c r="AA166" s="26">
        <v>0</v>
      </c>
      <c r="AB166" s="26">
        <v>0</v>
      </c>
      <c r="AC166" s="26">
        <v>0</v>
      </c>
      <c r="AD166" s="26">
        <v>0</v>
      </c>
      <c r="AE166" s="26">
        <v>0</v>
      </c>
      <c r="AF166" s="26">
        <v>0</v>
      </c>
      <c r="AG166" s="26">
        <v>0</v>
      </c>
      <c r="AH166" s="26">
        <v>0</v>
      </c>
      <c r="AI166" s="26">
        <v>0</v>
      </c>
      <c r="AJ166" s="26">
        <v>0</v>
      </c>
    </row>
    <row r="167" spans="1:36" x14ac:dyDescent="0.25">
      <c r="A167" s="80" t="s">
        <v>660</v>
      </c>
      <c r="B167" t="s">
        <v>309</v>
      </c>
      <c r="C167" s="26">
        <v>0</v>
      </c>
      <c r="D167" s="26">
        <v>0</v>
      </c>
      <c r="E167" s="26">
        <v>0</v>
      </c>
      <c r="F167" s="26">
        <v>0</v>
      </c>
      <c r="G167" s="26">
        <v>0</v>
      </c>
      <c r="H167" s="26">
        <v>0</v>
      </c>
      <c r="I167" s="26">
        <v>0</v>
      </c>
      <c r="J167" s="26">
        <v>0</v>
      </c>
      <c r="K167" s="26">
        <v>0</v>
      </c>
      <c r="L167" s="26">
        <v>0</v>
      </c>
      <c r="M167" s="26">
        <v>0</v>
      </c>
      <c r="N167" s="26">
        <v>0</v>
      </c>
      <c r="O167" s="26">
        <v>0</v>
      </c>
      <c r="P167" s="26">
        <v>0</v>
      </c>
      <c r="Q167" s="26">
        <v>0</v>
      </c>
      <c r="R167" s="26">
        <v>0</v>
      </c>
      <c r="S167" s="26">
        <v>0</v>
      </c>
      <c r="T167" s="26">
        <v>0</v>
      </c>
      <c r="U167" s="26">
        <v>0</v>
      </c>
      <c r="V167" s="26">
        <v>0</v>
      </c>
      <c r="W167" s="26">
        <v>0</v>
      </c>
      <c r="X167" s="26">
        <v>0</v>
      </c>
      <c r="Y167" s="26">
        <v>0</v>
      </c>
      <c r="Z167" s="26">
        <v>0</v>
      </c>
      <c r="AA167" s="26">
        <v>0</v>
      </c>
      <c r="AB167" s="26">
        <v>0</v>
      </c>
      <c r="AC167" s="26">
        <v>0</v>
      </c>
      <c r="AD167" s="26">
        <v>0</v>
      </c>
      <c r="AE167" s="26">
        <v>0</v>
      </c>
      <c r="AF167" s="26">
        <v>0</v>
      </c>
      <c r="AG167" s="26">
        <v>0</v>
      </c>
      <c r="AH167" s="26">
        <v>0</v>
      </c>
      <c r="AI167" s="26">
        <v>0</v>
      </c>
      <c r="AJ167" s="26">
        <v>0</v>
      </c>
    </row>
    <row r="168" spans="1:36" x14ac:dyDescent="0.25">
      <c r="A168" s="80" t="s">
        <v>661</v>
      </c>
      <c r="B168" t="s">
        <v>309</v>
      </c>
      <c r="C168" s="26">
        <v>0</v>
      </c>
      <c r="D168" s="26">
        <v>0</v>
      </c>
      <c r="E168" s="26">
        <v>0</v>
      </c>
      <c r="F168" s="26">
        <v>0</v>
      </c>
      <c r="G168" s="26">
        <v>0</v>
      </c>
      <c r="H168" s="26">
        <v>0</v>
      </c>
      <c r="I168" s="26">
        <v>0</v>
      </c>
      <c r="J168" s="26">
        <v>0</v>
      </c>
      <c r="K168" s="26">
        <v>0</v>
      </c>
      <c r="L168" s="26">
        <v>0</v>
      </c>
      <c r="M168" s="26">
        <v>0</v>
      </c>
      <c r="N168" s="26">
        <v>0</v>
      </c>
      <c r="O168" s="26">
        <v>0</v>
      </c>
      <c r="P168" s="26">
        <v>0</v>
      </c>
      <c r="Q168" s="26">
        <v>0</v>
      </c>
      <c r="R168" s="26">
        <v>0</v>
      </c>
      <c r="S168" s="26">
        <v>0</v>
      </c>
      <c r="T168" s="26">
        <v>0</v>
      </c>
      <c r="U168" s="26">
        <v>0</v>
      </c>
      <c r="V168" s="26">
        <v>0</v>
      </c>
      <c r="W168" s="26">
        <v>0</v>
      </c>
      <c r="X168" s="26">
        <v>0</v>
      </c>
      <c r="Y168" s="26">
        <v>0</v>
      </c>
      <c r="Z168" s="26">
        <v>0</v>
      </c>
      <c r="AA168" s="26">
        <v>0</v>
      </c>
      <c r="AB168" s="26">
        <v>0</v>
      </c>
      <c r="AC168" s="26">
        <v>0</v>
      </c>
      <c r="AD168" s="26">
        <v>0</v>
      </c>
      <c r="AE168" s="26">
        <v>0</v>
      </c>
      <c r="AF168" s="26">
        <v>0</v>
      </c>
      <c r="AG168" s="26">
        <v>0</v>
      </c>
      <c r="AH168" s="26">
        <v>0</v>
      </c>
      <c r="AI168" s="26">
        <v>0</v>
      </c>
      <c r="AJ168" s="26">
        <v>0</v>
      </c>
    </row>
    <row r="169" spans="1:36" x14ac:dyDescent="0.25">
      <c r="A169" s="80" t="s">
        <v>662</v>
      </c>
      <c r="B169" t="s">
        <v>309</v>
      </c>
      <c r="C169" s="26">
        <v>0</v>
      </c>
      <c r="D169" s="26">
        <v>0</v>
      </c>
      <c r="E169" s="26">
        <v>0</v>
      </c>
      <c r="F169" s="26">
        <v>0</v>
      </c>
      <c r="G169" s="26">
        <v>0</v>
      </c>
      <c r="H169" s="26">
        <v>0</v>
      </c>
      <c r="I169" s="26">
        <v>0</v>
      </c>
      <c r="J169" s="26">
        <v>0</v>
      </c>
      <c r="K169" s="26">
        <v>0</v>
      </c>
      <c r="L169" s="26">
        <v>0</v>
      </c>
      <c r="M169" s="26">
        <v>0</v>
      </c>
      <c r="N169" s="26">
        <v>0</v>
      </c>
      <c r="O169" s="26">
        <v>0</v>
      </c>
      <c r="P169" s="26">
        <v>0</v>
      </c>
      <c r="Q169" s="26">
        <v>0</v>
      </c>
      <c r="R169" s="26">
        <v>0</v>
      </c>
      <c r="S169" s="26">
        <v>0</v>
      </c>
      <c r="T169" s="26">
        <v>0</v>
      </c>
      <c r="U169" s="26">
        <v>0</v>
      </c>
      <c r="V169" s="26">
        <v>0</v>
      </c>
      <c r="W169" s="26">
        <v>0</v>
      </c>
      <c r="X169" s="26">
        <v>0</v>
      </c>
      <c r="Y169" s="26">
        <v>0</v>
      </c>
      <c r="Z169" s="26">
        <v>0</v>
      </c>
      <c r="AA169" s="26">
        <v>0</v>
      </c>
      <c r="AB169" s="26">
        <v>0</v>
      </c>
      <c r="AC169" s="26">
        <v>0</v>
      </c>
      <c r="AD169" s="26">
        <v>0</v>
      </c>
      <c r="AE169" s="26">
        <v>0</v>
      </c>
      <c r="AF169" s="26">
        <v>0</v>
      </c>
      <c r="AG169" s="26">
        <v>0</v>
      </c>
      <c r="AH169" s="26">
        <v>0</v>
      </c>
      <c r="AI169" s="26">
        <v>0</v>
      </c>
      <c r="AJ169" s="26">
        <v>0</v>
      </c>
    </row>
    <row r="170" spans="1:36" x14ac:dyDescent="0.25">
      <c r="A170" s="80" t="s">
        <v>865</v>
      </c>
      <c r="B170" t="s">
        <v>309</v>
      </c>
      <c r="C170" s="26">
        <v>0</v>
      </c>
      <c r="D170" s="26">
        <v>0</v>
      </c>
      <c r="E170" s="26">
        <v>0</v>
      </c>
      <c r="F170" s="26">
        <v>0</v>
      </c>
      <c r="G170" s="26">
        <v>0</v>
      </c>
      <c r="H170" s="26">
        <v>0</v>
      </c>
      <c r="I170" s="26">
        <v>0</v>
      </c>
      <c r="J170" s="26">
        <v>0</v>
      </c>
      <c r="K170" s="26">
        <v>0</v>
      </c>
      <c r="L170" s="26">
        <v>0</v>
      </c>
      <c r="M170" s="26">
        <v>0</v>
      </c>
      <c r="N170" s="26">
        <v>0</v>
      </c>
      <c r="O170" s="26">
        <v>0</v>
      </c>
      <c r="P170" s="26">
        <v>0</v>
      </c>
      <c r="Q170" s="26">
        <v>0</v>
      </c>
      <c r="R170" s="26">
        <v>0</v>
      </c>
      <c r="S170" s="26">
        <v>0</v>
      </c>
      <c r="T170" s="26">
        <v>0</v>
      </c>
      <c r="U170" s="26">
        <v>0</v>
      </c>
      <c r="V170" s="26">
        <v>0</v>
      </c>
      <c r="W170" s="26">
        <v>0</v>
      </c>
      <c r="X170" s="26">
        <v>0</v>
      </c>
      <c r="Y170" s="26">
        <v>0</v>
      </c>
      <c r="Z170" s="26">
        <v>0</v>
      </c>
      <c r="AA170" s="26">
        <v>0</v>
      </c>
      <c r="AB170" s="26">
        <v>0</v>
      </c>
      <c r="AC170" s="26">
        <v>0</v>
      </c>
      <c r="AD170" s="26">
        <v>0</v>
      </c>
      <c r="AE170" s="26">
        <v>0</v>
      </c>
      <c r="AF170" s="26">
        <v>0</v>
      </c>
      <c r="AG170" s="26">
        <v>0</v>
      </c>
      <c r="AH170" s="26">
        <v>0</v>
      </c>
      <c r="AI170" s="26">
        <v>0</v>
      </c>
      <c r="AJ170" s="26">
        <v>0</v>
      </c>
    </row>
    <row r="171" spans="1:36" s="81" customFormat="1" x14ac:dyDescent="0.25">
      <c r="A171" s="81" t="s">
        <v>882</v>
      </c>
      <c r="C171" s="82">
        <f>+SUM(C160:C170)</f>
        <v>100</v>
      </c>
      <c r="D171" s="82">
        <f t="shared" ref="D171" si="331">+SUM(D160:D170)</f>
        <v>100</v>
      </c>
      <c r="E171" s="82">
        <f t="shared" ref="E171" si="332">+SUM(E160:E170)</f>
        <v>100</v>
      </c>
      <c r="F171" s="82">
        <f t="shared" ref="F171" si="333">+SUM(F160:F170)</f>
        <v>100</v>
      </c>
      <c r="G171" s="82">
        <f t="shared" ref="G171" si="334">+SUM(G160:G170)</f>
        <v>100</v>
      </c>
      <c r="H171" s="82">
        <f t="shared" ref="H171" si="335">+SUM(H160:H170)</f>
        <v>100</v>
      </c>
      <c r="I171" s="82">
        <f t="shared" ref="I171" si="336">+SUM(I160:I170)</f>
        <v>100</v>
      </c>
      <c r="J171" s="82">
        <f t="shared" ref="J171" si="337">+SUM(J160:J170)</f>
        <v>100</v>
      </c>
      <c r="K171" s="82">
        <f t="shared" ref="K171" si="338">+SUM(K160:K170)</f>
        <v>100</v>
      </c>
      <c r="L171" s="82">
        <f t="shared" ref="L171" si="339">+SUM(L160:L170)</f>
        <v>100</v>
      </c>
      <c r="M171" s="82">
        <f t="shared" ref="M171" si="340">+SUM(M160:M170)</f>
        <v>100</v>
      </c>
      <c r="N171" s="82">
        <f t="shared" ref="N171" si="341">+SUM(N160:N170)</f>
        <v>100</v>
      </c>
      <c r="O171" s="82">
        <f t="shared" ref="O171" si="342">+SUM(O160:O170)</f>
        <v>100</v>
      </c>
      <c r="P171" s="82">
        <f t="shared" ref="P171" si="343">+SUM(P160:P170)</f>
        <v>100</v>
      </c>
      <c r="Q171" s="82">
        <f t="shared" ref="Q171" si="344">+SUM(Q160:Q170)</f>
        <v>100</v>
      </c>
      <c r="R171" s="82">
        <f t="shared" ref="R171" si="345">+SUM(R160:R170)</f>
        <v>100</v>
      </c>
      <c r="S171" s="82">
        <f t="shared" ref="S171" si="346">+SUM(S160:S170)</f>
        <v>100</v>
      </c>
      <c r="T171" s="82">
        <f t="shared" ref="T171" si="347">+SUM(T160:T170)</f>
        <v>100</v>
      </c>
      <c r="U171" s="82">
        <f t="shared" ref="U171" si="348">+SUM(U160:U170)</f>
        <v>100</v>
      </c>
      <c r="V171" s="82">
        <f t="shared" ref="V171" si="349">+SUM(V160:V170)</f>
        <v>100</v>
      </c>
      <c r="W171" s="82">
        <f t="shared" ref="W171" si="350">+SUM(W160:W170)</f>
        <v>100</v>
      </c>
      <c r="X171" s="82">
        <f t="shared" ref="X171" si="351">+SUM(X160:X170)</f>
        <v>100</v>
      </c>
      <c r="Y171" s="82">
        <f t="shared" ref="Y171" si="352">+SUM(Y160:Y170)</f>
        <v>100</v>
      </c>
      <c r="Z171" s="82">
        <f t="shared" ref="Z171" si="353">+SUM(Z160:Z170)</f>
        <v>100</v>
      </c>
      <c r="AA171" s="82">
        <f t="shared" ref="AA171" si="354">+SUM(AA160:AA170)</f>
        <v>100</v>
      </c>
      <c r="AB171" s="82">
        <f t="shared" ref="AB171" si="355">+SUM(AB160:AB170)</f>
        <v>100</v>
      </c>
      <c r="AC171" s="82">
        <f t="shared" ref="AC171" si="356">+SUM(AC160:AC170)</f>
        <v>100</v>
      </c>
      <c r="AD171" s="82">
        <f t="shared" ref="AD171" si="357">+SUM(AD160:AD170)</f>
        <v>100</v>
      </c>
      <c r="AE171" s="82">
        <f t="shared" ref="AE171" si="358">+SUM(AE160:AE170)</f>
        <v>100</v>
      </c>
      <c r="AF171" s="82">
        <f t="shared" ref="AF171" si="359">+SUM(AF160:AF170)</f>
        <v>100</v>
      </c>
      <c r="AG171" s="82">
        <f t="shared" ref="AG171" si="360">+SUM(AG160:AG170)</f>
        <v>100</v>
      </c>
      <c r="AH171" s="82">
        <f t="shared" ref="AH171" si="361">+SUM(AH160:AH170)</f>
        <v>100</v>
      </c>
      <c r="AI171" s="82">
        <f t="shared" ref="AI171" si="362">+SUM(AI160:AI170)</f>
        <v>100</v>
      </c>
      <c r="AJ171" s="82">
        <f t="shared" ref="AJ171" si="363">+SUM(AJ160:AJ170)</f>
        <v>100</v>
      </c>
    </row>
    <row r="172" spans="1:36" x14ac:dyDescent="0.25">
      <c r="A172" t="s">
        <v>663</v>
      </c>
      <c r="B172" t="s">
        <v>309</v>
      </c>
      <c r="C172" s="26">
        <v>25</v>
      </c>
      <c r="D172" s="26">
        <v>25</v>
      </c>
      <c r="E172" s="26">
        <v>25</v>
      </c>
      <c r="F172" s="26">
        <v>25</v>
      </c>
      <c r="G172" s="26">
        <v>25</v>
      </c>
      <c r="H172" s="26">
        <v>25</v>
      </c>
      <c r="I172" s="26">
        <v>25</v>
      </c>
      <c r="J172" s="26">
        <v>25</v>
      </c>
      <c r="K172" s="26">
        <v>25</v>
      </c>
      <c r="L172" s="26">
        <v>25</v>
      </c>
      <c r="M172" s="26">
        <v>25</v>
      </c>
      <c r="N172" s="26">
        <v>25</v>
      </c>
      <c r="O172" s="26">
        <v>25</v>
      </c>
      <c r="P172" s="26">
        <v>25</v>
      </c>
      <c r="Q172" s="26">
        <v>25</v>
      </c>
      <c r="R172" s="26">
        <v>25</v>
      </c>
      <c r="S172" s="26">
        <v>25</v>
      </c>
      <c r="T172" s="26">
        <v>25</v>
      </c>
      <c r="U172" s="26">
        <v>25</v>
      </c>
      <c r="V172" s="26">
        <v>25</v>
      </c>
      <c r="W172" s="26">
        <v>25</v>
      </c>
      <c r="X172" s="26">
        <v>25</v>
      </c>
      <c r="Y172" s="26">
        <v>25</v>
      </c>
      <c r="Z172" s="26">
        <v>25</v>
      </c>
      <c r="AA172" s="26">
        <v>25</v>
      </c>
      <c r="AB172" s="26">
        <v>25</v>
      </c>
      <c r="AC172" s="26">
        <v>25</v>
      </c>
      <c r="AD172" s="26">
        <v>25</v>
      </c>
      <c r="AE172" s="26">
        <v>25</v>
      </c>
      <c r="AF172" s="26">
        <v>25</v>
      </c>
      <c r="AG172" s="26">
        <v>25</v>
      </c>
      <c r="AH172" s="26">
        <v>25</v>
      </c>
      <c r="AI172" s="26">
        <v>25</v>
      </c>
      <c r="AJ172" s="26">
        <v>25</v>
      </c>
    </row>
    <row r="173" spans="1:36" x14ac:dyDescent="0.25">
      <c r="A173" t="s">
        <v>664</v>
      </c>
      <c r="B173" t="s">
        <v>309</v>
      </c>
      <c r="C173" s="26">
        <v>10</v>
      </c>
      <c r="D173" s="26">
        <v>10</v>
      </c>
      <c r="E173" s="26">
        <v>10</v>
      </c>
      <c r="F173" s="26">
        <v>10</v>
      </c>
      <c r="G173" s="26">
        <v>10</v>
      </c>
      <c r="H173" s="26">
        <v>10</v>
      </c>
      <c r="I173" s="26">
        <v>10</v>
      </c>
      <c r="J173" s="26">
        <v>10</v>
      </c>
      <c r="K173" s="26">
        <v>10</v>
      </c>
      <c r="L173" s="26">
        <v>10</v>
      </c>
      <c r="M173" s="26">
        <v>10</v>
      </c>
      <c r="N173" s="26">
        <v>10</v>
      </c>
      <c r="O173" s="26">
        <v>10</v>
      </c>
      <c r="P173" s="26">
        <v>10</v>
      </c>
      <c r="Q173" s="26">
        <v>10</v>
      </c>
      <c r="R173" s="26">
        <v>10</v>
      </c>
      <c r="S173" s="26">
        <v>10</v>
      </c>
      <c r="T173" s="26">
        <v>10</v>
      </c>
      <c r="U173" s="26">
        <v>10</v>
      </c>
      <c r="V173" s="26">
        <v>10</v>
      </c>
      <c r="W173" s="26">
        <v>10</v>
      </c>
      <c r="X173" s="26">
        <v>10</v>
      </c>
      <c r="Y173" s="26">
        <v>10</v>
      </c>
      <c r="Z173" s="26">
        <v>10</v>
      </c>
      <c r="AA173" s="26">
        <v>10</v>
      </c>
      <c r="AB173" s="26">
        <v>10</v>
      </c>
      <c r="AC173" s="26">
        <v>10</v>
      </c>
      <c r="AD173" s="26">
        <v>10</v>
      </c>
      <c r="AE173" s="26">
        <v>10</v>
      </c>
      <c r="AF173" s="26">
        <v>10</v>
      </c>
      <c r="AG173" s="26">
        <v>10</v>
      </c>
      <c r="AH173" s="26">
        <v>10</v>
      </c>
      <c r="AI173" s="26">
        <v>10</v>
      </c>
      <c r="AJ173" s="26">
        <v>10</v>
      </c>
    </row>
    <row r="174" spans="1:36" x14ac:dyDescent="0.25">
      <c r="A174" t="s">
        <v>665</v>
      </c>
      <c r="B174" t="s">
        <v>309</v>
      </c>
      <c r="C174" s="26">
        <v>35</v>
      </c>
      <c r="D174" s="26">
        <v>35</v>
      </c>
      <c r="E174" s="26">
        <v>35</v>
      </c>
      <c r="F174" s="26">
        <v>35</v>
      </c>
      <c r="G174" s="26">
        <v>35</v>
      </c>
      <c r="H174" s="26">
        <v>35</v>
      </c>
      <c r="I174" s="26">
        <v>35</v>
      </c>
      <c r="J174" s="26">
        <v>35</v>
      </c>
      <c r="K174" s="26">
        <v>35</v>
      </c>
      <c r="L174" s="26">
        <v>35</v>
      </c>
      <c r="M174" s="26">
        <v>35</v>
      </c>
      <c r="N174" s="26">
        <v>35</v>
      </c>
      <c r="O174" s="26">
        <v>35</v>
      </c>
      <c r="P174" s="26">
        <v>35</v>
      </c>
      <c r="Q174" s="26">
        <v>35</v>
      </c>
      <c r="R174" s="26">
        <v>35</v>
      </c>
      <c r="S174" s="26">
        <v>35</v>
      </c>
      <c r="T174" s="26">
        <v>35</v>
      </c>
      <c r="U174" s="26">
        <v>35</v>
      </c>
      <c r="V174" s="26">
        <v>35</v>
      </c>
      <c r="W174" s="26">
        <v>35</v>
      </c>
      <c r="X174" s="26">
        <v>35</v>
      </c>
      <c r="Y174" s="26">
        <v>35</v>
      </c>
      <c r="Z174" s="26">
        <v>35</v>
      </c>
      <c r="AA174" s="26">
        <v>35</v>
      </c>
      <c r="AB174" s="26">
        <v>35</v>
      </c>
      <c r="AC174" s="26">
        <v>35</v>
      </c>
      <c r="AD174" s="26">
        <v>35</v>
      </c>
      <c r="AE174" s="26">
        <v>35</v>
      </c>
      <c r="AF174" s="26">
        <v>35</v>
      </c>
      <c r="AG174" s="26">
        <v>35</v>
      </c>
      <c r="AH174" s="26">
        <v>35</v>
      </c>
      <c r="AI174" s="26">
        <v>35</v>
      </c>
      <c r="AJ174" s="26">
        <v>35</v>
      </c>
    </row>
    <row r="175" spans="1:36" x14ac:dyDescent="0.25">
      <c r="A175" t="s">
        <v>666</v>
      </c>
      <c r="B175" t="s">
        <v>309</v>
      </c>
      <c r="C175" s="26">
        <v>0</v>
      </c>
      <c r="D175" s="26">
        <v>0</v>
      </c>
      <c r="E175" s="26">
        <v>0</v>
      </c>
      <c r="F175" s="26">
        <v>0</v>
      </c>
      <c r="G175" s="26">
        <v>0</v>
      </c>
      <c r="H175" s="26">
        <v>0</v>
      </c>
      <c r="I175" s="26">
        <v>0</v>
      </c>
      <c r="J175" s="26">
        <v>0</v>
      </c>
      <c r="K175" s="26">
        <v>0</v>
      </c>
      <c r="L175" s="26">
        <v>0</v>
      </c>
      <c r="M175" s="26">
        <v>0</v>
      </c>
      <c r="N175" s="26">
        <v>0</v>
      </c>
      <c r="O175" s="26">
        <v>0</v>
      </c>
      <c r="P175" s="26">
        <v>0</v>
      </c>
      <c r="Q175" s="26">
        <v>0</v>
      </c>
      <c r="R175" s="26">
        <v>0</v>
      </c>
      <c r="S175" s="26">
        <v>0</v>
      </c>
      <c r="T175" s="26">
        <v>0</v>
      </c>
      <c r="U175" s="26">
        <v>0</v>
      </c>
      <c r="V175" s="26">
        <v>0</v>
      </c>
      <c r="W175" s="26">
        <v>0</v>
      </c>
      <c r="X175" s="26">
        <v>0</v>
      </c>
      <c r="Y175" s="26">
        <v>0</v>
      </c>
      <c r="Z175" s="26">
        <v>0</v>
      </c>
      <c r="AA175" s="26">
        <v>0</v>
      </c>
      <c r="AB175" s="26">
        <v>0</v>
      </c>
      <c r="AC175" s="26">
        <v>0</v>
      </c>
      <c r="AD175" s="26">
        <v>0</v>
      </c>
      <c r="AE175" s="26">
        <v>0</v>
      </c>
      <c r="AF175" s="26">
        <v>0</v>
      </c>
      <c r="AG175" s="26">
        <v>0</v>
      </c>
      <c r="AH175" s="26">
        <v>0</v>
      </c>
      <c r="AI175" s="26">
        <v>0</v>
      </c>
      <c r="AJ175" s="26">
        <v>0</v>
      </c>
    </row>
    <row r="176" spans="1:36" x14ac:dyDescent="0.25">
      <c r="A176" t="s">
        <v>667</v>
      </c>
      <c r="B176" t="s">
        <v>309</v>
      </c>
      <c r="C176" s="26">
        <v>28</v>
      </c>
      <c r="D176" s="26">
        <v>28</v>
      </c>
      <c r="E176" s="26">
        <v>28</v>
      </c>
      <c r="F176" s="26">
        <v>28</v>
      </c>
      <c r="G176" s="26">
        <v>28</v>
      </c>
      <c r="H176" s="26">
        <v>28</v>
      </c>
      <c r="I176" s="26">
        <v>28</v>
      </c>
      <c r="J176" s="26">
        <v>28</v>
      </c>
      <c r="K176" s="26">
        <v>28</v>
      </c>
      <c r="L176" s="26">
        <v>28</v>
      </c>
      <c r="M176" s="26">
        <v>28</v>
      </c>
      <c r="N176" s="26">
        <v>28</v>
      </c>
      <c r="O176" s="26">
        <v>28</v>
      </c>
      <c r="P176" s="26">
        <v>28</v>
      </c>
      <c r="Q176" s="26">
        <v>28</v>
      </c>
      <c r="R176" s="26">
        <v>28</v>
      </c>
      <c r="S176" s="26">
        <v>28</v>
      </c>
      <c r="T176" s="26">
        <v>28</v>
      </c>
      <c r="U176" s="26">
        <v>28</v>
      </c>
      <c r="V176" s="26">
        <v>28</v>
      </c>
      <c r="W176" s="26">
        <v>28</v>
      </c>
      <c r="X176" s="26">
        <v>28</v>
      </c>
      <c r="Y176" s="26">
        <v>28</v>
      </c>
      <c r="Z176" s="26">
        <v>28</v>
      </c>
      <c r="AA176" s="26">
        <v>28</v>
      </c>
      <c r="AB176" s="26">
        <v>28</v>
      </c>
      <c r="AC176" s="26">
        <v>28</v>
      </c>
      <c r="AD176" s="26">
        <v>28</v>
      </c>
      <c r="AE176" s="26">
        <v>28</v>
      </c>
      <c r="AF176" s="26">
        <v>28</v>
      </c>
      <c r="AG176" s="26">
        <v>28</v>
      </c>
      <c r="AH176" s="26">
        <v>28</v>
      </c>
      <c r="AI176" s="26">
        <v>28</v>
      </c>
      <c r="AJ176" s="26">
        <v>28</v>
      </c>
    </row>
    <row r="177" spans="1:36" x14ac:dyDescent="0.25">
      <c r="A177" t="s">
        <v>668</v>
      </c>
      <c r="B177" t="s">
        <v>309</v>
      </c>
      <c r="C177" s="26">
        <v>2</v>
      </c>
      <c r="D177" s="26">
        <v>2</v>
      </c>
      <c r="E177" s="26">
        <v>2</v>
      </c>
      <c r="F177" s="26">
        <v>2</v>
      </c>
      <c r="G177" s="26">
        <v>2</v>
      </c>
      <c r="H177" s="26">
        <v>2</v>
      </c>
      <c r="I177" s="26">
        <v>2</v>
      </c>
      <c r="J177" s="26">
        <v>2</v>
      </c>
      <c r="K177" s="26">
        <v>2</v>
      </c>
      <c r="L177" s="26">
        <v>2</v>
      </c>
      <c r="M177" s="26">
        <v>2</v>
      </c>
      <c r="N177" s="26">
        <v>2</v>
      </c>
      <c r="O177" s="26">
        <v>2</v>
      </c>
      <c r="P177" s="26">
        <v>2</v>
      </c>
      <c r="Q177" s="26">
        <v>2</v>
      </c>
      <c r="R177" s="26">
        <v>2</v>
      </c>
      <c r="S177" s="26">
        <v>2</v>
      </c>
      <c r="T177" s="26">
        <v>2</v>
      </c>
      <c r="U177" s="26">
        <v>2</v>
      </c>
      <c r="V177" s="26">
        <v>2</v>
      </c>
      <c r="W177" s="26">
        <v>2</v>
      </c>
      <c r="X177" s="26">
        <v>2</v>
      </c>
      <c r="Y177" s="26">
        <v>2</v>
      </c>
      <c r="Z177" s="26">
        <v>2</v>
      </c>
      <c r="AA177" s="26">
        <v>2</v>
      </c>
      <c r="AB177" s="26">
        <v>2</v>
      </c>
      <c r="AC177" s="26">
        <v>2</v>
      </c>
      <c r="AD177" s="26">
        <v>2</v>
      </c>
      <c r="AE177" s="26">
        <v>2</v>
      </c>
      <c r="AF177" s="26">
        <v>2</v>
      </c>
      <c r="AG177" s="26">
        <v>2</v>
      </c>
      <c r="AH177" s="26">
        <v>2</v>
      </c>
      <c r="AI177" s="26">
        <v>2</v>
      </c>
      <c r="AJ177" s="26">
        <v>2</v>
      </c>
    </row>
    <row r="178" spans="1:36" x14ac:dyDescent="0.25">
      <c r="A178" t="s">
        <v>669</v>
      </c>
      <c r="B178" t="s">
        <v>309</v>
      </c>
      <c r="C178" s="26">
        <v>0</v>
      </c>
      <c r="D178" s="26">
        <v>0</v>
      </c>
      <c r="E178" s="26">
        <v>0</v>
      </c>
      <c r="F178" s="26">
        <v>0</v>
      </c>
      <c r="G178" s="26">
        <v>0</v>
      </c>
      <c r="H178" s="26">
        <v>0</v>
      </c>
      <c r="I178" s="26">
        <v>0</v>
      </c>
      <c r="J178" s="26">
        <v>0</v>
      </c>
      <c r="K178" s="26">
        <v>0</v>
      </c>
      <c r="L178" s="26">
        <v>0</v>
      </c>
      <c r="M178" s="26">
        <v>0</v>
      </c>
      <c r="N178" s="26">
        <v>0</v>
      </c>
      <c r="O178" s="26">
        <v>0</v>
      </c>
      <c r="P178" s="26">
        <v>0</v>
      </c>
      <c r="Q178" s="26">
        <v>0</v>
      </c>
      <c r="R178" s="26">
        <v>0</v>
      </c>
      <c r="S178" s="26">
        <v>0</v>
      </c>
      <c r="T178" s="26">
        <v>0</v>
      </c>
      <c r="U178" s="26">
        <v>0</v>
      </c>
      <c r="V178" s="26">
        <v>0</v>
      </c>
      <c r="W178" s="26">
        <v>0</v>
      </c>
      <c r="X178" s="26">
        <v>0</v>
      </c>
      <c r="Y178" s="26">
        <v>0</v>
      </c>
      <c r="Z178" s="26">
        <v>0</v>
      </c>
      <c r="AA178" s="26">
        <v>0</v>
      </c>
      <c r="AB178" s="26">
        <v>0</v>
      </c>
      <c r="AC178" s="26">
        <v>0</v>
      </c>
      <c r="AD178" s="26">
        <v>0</v>
      </c>
      <c r="AE178" s="26">
        <v>0</v>
      </c>
      <c r="AF178" s="26">
        <v>0</v>
      </c>
      <c r="AG178" s="26">
        <v>0</v>
      </c>
      <c r="AH178" s="26">
        <v>0</v>
      </c>
      <c r="AI178" s="26">
        <v>0</v>
      </c>
      <c r="AJ178" s="26">
        <v>0</v>
      </c>
    </row>
    <row r="179" spans="1:36" x14ac:dyDescent="0.25">
      <c r="A179" t="s">
        <v>670</v>
      </c>
      <c r="B179" t="s">
        <v>309</v>
      </c>
      <c r="C179" s="26">
        <v>0</v>
      </c>
      <c r="D179" s="26">
        <v>0</v>
      </c>
      <c r="E179" s="26">
        <v>0</v>
      </c>
      <c r="F179" s="26">
        <v>0</v>
      </c>
      <c r="G179" s="26">
        <v>0</v>
      </c>
      <c r="H179" s="26">
        <v>0</v>
      </c>
      <c r="I179" s="26">
        <v>0</v>
      </c>
      <c r="J179" s="26">
        <v>0</v>
      </c>
      <c r="K179" s="26">
        <v>0</v>
      </c>
      <c r="L179" s="26">
        <v>0</v>
      </c>
      <c r="M179" s="26">
        <v>0</v>
      </c>
      <c r="N179" s="26">
        <v>0</v>
      </c>
      <c r="O179" s="26">
        <v>0</v>
      </c>
      <c r="P179" s="26">
        <v>0</v>
      </c>
      <c r="Q179" s="26">
        <v>0</v>
      </c>
      <c r="R179" s="26">
        <v>0</v>
      </c>
      <c r="S179" s="26">
        <v>0</v>
      </c>
      <c r="T179" s="26">
        <v>0</v>
      </c>
      <c r="U179" s="26">
        <v>0</v>
      </c>
      <c r="V179" s="26">
        <v>0</v>
      </c>
      <c r="W179" s="26">
        <v>0</v>
      </c>
      <c r="X179" s="26">
        <v>0</v>
      </c>
      <c r="Y179" s="26">
        <v>0</v>
      </c>
      <c r="Z179" s="26">
        <v>0</v>
      </c>
      <c r="AA179" s="26">
        <v>0</v>
      </c>
      <c r="AB179" s="26">
        <v>0</v>
      </c>
      <c r="AC179" s="26">
        <v>0</v>
      </c>
      <c r="AD179" s="26">
        <v>0</v>
      </c>
      <c r="AE179" s="26">
        <v>0</v>
      </c>
      <c r="AF179" s="26">
        <v>0</v>
      </c>
      <c r="AG179" s="26">
        <v>0</v>
      </c>
      <c r="AH179" s="26">
        <v>0</v>
      </c>
      <c r="AI179" s="26">
        <v>0</v>
      </c>
      <c r="AJ179" s="26">
        <v>0</v>
      </c>
    </row>
    <row r="180" spans="1:36" x14ac:dyDescent="0.25">
      <c r="A180" t="s">
        <v>671</v>
      </c>
      <c r="B180" t="s">
        <v>309</v>
      </c>
      <c r="C180" s="26">
        <v>0</v>
      </c>
      <c r="D180" s="26">
        <v>0</v>
      </c>
      <c r="E180" s="26">
        <v>0</v>
      </c>
      <c r="F180" s="26">
        <v>0</v>
      </c>
      <c r="G180" s="26">
        <v>0</v>
      </c>
      <c r="H180" s="26">
        <v>0</v>
      </c>
      <c r="I180" s="26">
        <v>0</v>
      </c>
      <c r="J180" s="26">
        <v>0</v>
      </c>
      <c r="K180" s="26">
        <v>0</v>
      </c>
      <c r="L180" s="26">
        <v>0</v>
      </c>
      <c r="M180" s="26">
        <v>0</v>
      </c>
      <c r="N180" s="26">
        <v>0</v>
      </c>
      <c r="O180" s="26">
        <v>0</v>
      </c>
      <c r="P180" s="26">
        <v>0</v>
      </c>
      <c r="Q180" s="26">
        <v>0</v>
      </c>
      <c r="R180" s="26">
        <v>0</v>
      </c>
      <c r="S180" s="26">
        <v>0</v>
      </c>
      <c r="T180" s="26">
        <v>0</v>
      </c>
      <c r="U180" s="26">
        <v>0</v>
      </c>
      <c r="V180" s="26">
        <v>0</v>
      </c>
      <c r="W180" s="26">
        <v>0</v>
      </c>
      <c r="X180" s="26">
        <v>0</v>
      </c>
      <c r="Y180" s="26">
        <v>0</v>
      </c>
      <c r="Z180" s="26">
        <v>0</v>
      </c>
      <c r="AA180" s="26">
        <v>0</v>
      </c>
      <c r="AB180" s="26">
        <v>0</v>
      </c>
      <c r="AC180" s="26">
        <v>0</v>
      </c>
      <c r="AD180" s="26">
        <v>0</v>
      </c>
      <c r="AE180" s="26">
        <v>0</v>
      </c>
      <c r="AF180" s="26">
        <v>0</v>
      </c>
      <c r="AG180" s="26">
        <v>0</v>
      </c>
      <c r="AH180" s="26">
        <v>0</v>
      </c>
      <c r="AI180" s="26">
        <v>0</v>
      </c>
      <c r="AJ180" s="26">
        <v>0</v>
      </c>
    </row>
    <row r="181" spans="1:36" x14ac:dyDescent="0.25">
      <c r="A181" t="s">
        <v>672</v>
      </c>
      <c r="B181" t="s">
        <v>309</v>
      </c>
      <c r="C181" s="26">
        <v>0</v>
      </c>
      <c r="D181" s="26">
        <v>0</v>
      </c>
      <c r="E181" s="26">
        <v>0</v>
      </c>
      <c r="F181" s="26">
        <v>0</v>
      </c>
      <c r="G181" s="26">
        <v>0</v>
      </c>
      <c r="H181" s="26">
        <v>0</v>
      </c>
      <c r="I181" s="26">
        <v>0</v>
      </c>
      <c r="J181" s="26">
        <v>0</v>
      </c>
      <c r="K181" s="26">
        <v>0</v>
      </c>
      <c r="L181" s="26">
        <v>0</v>
      </c>
      <c r="M181" s="26">
        <v>0</v>
      </c>
      <c r="N181" s="26">
        <v>0</v>
      </c>
      <c r="O181" s="26">
        <v>0</v>
      </c>
      <c r="P181" s="26">
        <v>0</v>
      </c>
      <c r="Q181" s="26">
        <v>0</v>
      </c>
      <c r="R181" s="26">
        <v>0</v>
      </c>
      <c r="S181" s="26">
        <v>0</v>
      </c>
      <c r="T181" s="26">
        <v>0</v>
      </c>
      <c r="U181" s="26">
        <v>0</v>
      </c>
      <c r="V181" s="26">
        <v>0</v>
      </c>
      <c r="W181" s="26">
        <v>0</v>
      </c>
      <c r="X181" s="26">
        <v>0</v>
      </c>
      <c r="Y181" s="26">
        <v>0</v>
      </c>
      <c r="Z181" s="26">
        <v>0</v>
      </c>
      <c r="AA181" s="26">
        <v>0</v>
      </c>
      <c r="AB181" s="26">
        <v>0</v>
      </c>
      <c r="AC181" s="26">
        <v>0</v>
      </c>
      <c r="AD181" s="26">
        <v>0</v>
      </c>
      <c r="AE181" s="26">
        <v>0</v>
      </c>
      <c r="AF181" s="26">
        <v>0</v>
      </c>
      <c r="AG181" s="26">
        <v>0</v>
      </c>
      <c r="AH181" s="26">
        <v>0</v>
      </c>
      <c r="AI181" s="26">
        <v>0</v>
      </c>
      <c r="AJ181" s="26">
        <v>0</v>
      </c>
    </row>
    <row r="182" spans="1:36" x14ac:dyDescent="0.25">
      <c r="A182" t="s">
        <v>866</v>
      </c>
      <c r="B182" t="s">
        <v>309</v>
      </c>
      <c r="C182" s="26">
        <v>0</v>
      </c>
      <c r="D182" s="26">
        <v>0</v>
      </c>
      <c r="E182" s="26">
        <v>0</v>
      </c>
      <c r="F182" s="26">
        <v>0</v>
      </c>
      <c r="G182" s="26">
        <v>0</v>
      </c>
      <c r="H182" s="26">
        <v>0</v>
      </c>
      <c r="I182" s="26">
        <v>0</v>
      </c>
      <c r="J182" s="26">
        <v>0</v>
      </c>
      <c r="K182" s="26">
        <v>0</v>
      </c>
      <c r="L182" s="26">
        <v>0</v>
      </c>
      <c r="M182" s="26">
        <v>0</v>
      </c>
      <c r="N182" s="26">
        <v>0</v>
      </c>
      <c r="O182" s="26">
        <v>0</v>
      </c>
      <c r="P182" s="26">
        <v>0</v>
      </c>
      <c r="Q182" s="26">
        <v>0</v>
      </c>
      <c r="R182" s="26">
        <v>0</v>
      </c>
      <c r="S182" s="26">
        <v>0</v>
      </c>
      <c r="T182" s="26">
        <v>0</v>
      </c>
      <c r="U182" s="26">
        <v>0</v>
      </c>
      <c r="V182" s="26">
        <v>0</v>
      </c>
      <c r="W182" s="26">
        <v>0</v>
      </c>
      <c r="X182" s="26">
        <v>0</v>
      </c>
      <c r="Y182" s="26">
        <v>0</v>
      </c>
      <c r="Z182" s="26">
        <v>0</v>
      </c>
      <c r="AA182" s="26">
        <v>0</v>
      </c>
      <c r="AB182" s="26">
        <v>0</v>
      </c>
      <c r="AC182" s="26">
        <v>0</v>
      </c>
      <c r="AD182" s="26">
        <v>0</v>
      </c>
      <c r="AE182" s="26">
        <v>0</v>
      </c>
      <c r="AF182" s="26">
        <v>0</v>
      </c>
      <c r="AG182" s="26">
        <v>0</v>
      </c>
      <c r="AH182" s="26">
        <v>0</v>
      </c>
      <c r="AI182" s="26">
        <v>0</v>
      </c>
      <c r="AJ182" s="26">
        <v>0</v>
      </c>
    </row>
    <row r="183" spans="1:36" s="81" customFormat="1" x14ac:dyDescent="0.25">
      <c r="A183" s="81" t="s">
        <v>882</v>
      </c>
      <c r="C183" s="82">
        <f>+SUM(C172:C182)</f>
        <v>100</v>
      </c>
      <c r="D183" s="82">
        <f t="shared" ref="D183" si="364">+SUM(D172:D182)</f>
        <v>100</v>
      </c>
      <c r="E183" s="82">
        <f t="shared" ref="E183" si="365">+SUM(E172:E182)</f>
        <v>100</v>
      </c>
      <c r="F183" s="82">
        <f t="shared" ref="F183" si="366">+SUM(F172:F182)</f>
        <v>100</v>
      </c>
      <c r="G183" s="82">
        <f t="shared" ref="G183" si="367">+SUM(G172:G182)</f>
        <v>100</v>
      </c>
      <c r="H183" s="82">
        <f t="shared" ref="H183" si="368">+SUM(H172:H182)</f>
        <v>100</v>
      </c>
      <c r="I183" s="82">
        <f t="shared" ref="I183" si="369">+SUM(I172:I182)</f>
        <v>100</v>
      </c>
      <c r="J183" s="82">
        <f t="shared" ref="J183" si="370">+SUM(J172:J182)</f>
        <v>100</v>
      </c>
      <c r="K183" s="82">
        <f t="shared" ref="K183" si="371">+SUM(K172:K182)</f>
        <v>100</v>
      </c>
      <c r="L183" s="82">
        <f t="shared" ref="L183" si="372">+SUM(L172:L182)</f>
        <v>100</v>
      </c>
      <c r="M183" s="82">
        <f t="shared" ref="M183" si="373">+SUM(M172:M182)</f>
        <v>100</v>
      </c>
      <c r="N183" s="82">
        <f t="shared" ref="N183" si="374">+SUM(N172:N182)</f>
        <v>100</v>
      </c>
      <c r="O183" s="82">
        <f t="shared" ref="O183" si="375">+SUM(O172:O182)</f>
        <v>100</v>
      </c>
      <c r="P183" s="82">
        <f t="shared" ref="P183" si="376">+SUM(P172:P182)</f>
        <v>100</v>
      </c>
      <c r="Q183" s="82">
        <f t="shared" ref="Q183" si="377">+SUM(Q172:Q182)</f>
        <v>100</v>
      </c>
      <c r="R183" s="82">
        <f t="shared" ref="R183" si="378">+SUM(R172:R182)</f>
        <v>100</v>
      </c>
      <c r="S183" s="82">
        <f t="shared" ref="S183" si="379">+SUM(S172:S182)</f>
        <v>100</v>
      </c>
      <c r="T183" s="82">
        <f t="shared" ref="T183" si="380">+SUM(T172:T182)</f>
        <v>100</v>
      </c>
      <c r="U183" s="82">
        <f t="shared" ref="U183" si="381">+SUM(U172:U182)</f>
        <v>100</v>
      </c>
      <c r="V183" s="82">
        <f t="shared" ref="V183" si="382">+SUM(V172:V182)</f>
        <v>100</v>
      </c>
      <c r="W183" s="82">
        <f t="shared" ref="W183" si="383">+SUM(W172:W182)</f>
        <v>100</v>
      </c>
      <c r="X183" s="82">
        <f t="shared" ref="X183" si="384">+SUM(X172:X182)</f>
        <v>100</v>
      </c>
      <c r="Y183" s="82">
        <f t="shared" ref="Y183" si="385">+SUM(Y172:Y182)</f>
        <v>100</v>
      </c>
      <c r="Z183" s="82">
        <f t="shared" ref="Z183" si="386">+SUM(Z172:Z182)</f>
        <v>100</v>
      </c>
      <c r="AA183" s="82">
        <f t="shared" ref="AA183" si="387">+SUM(AA172:AA182)</f>
        <v>100</v>
      </c>
      <c r="AB183" s="82">
        <f t="shared" ref="AB183" si="388">+SUM(AB172:AB182)</f>
        <v>100</v>
      </c>
      <c r="AC183" s="82">
        <f t="shared" ref="AC183" si="389">+SUM(AC172:AC182)</f>
        <v>100</v>
      </c>
      <c r="AD183" s="82">
        <f t="shared" ref="AD183" si="390">+SUM(AD172:AD182)</f>
        <v>100</v>
      </c>
      <c r="AE183" s="82">
        <f t="shared" ref="AE183" si="391">+SUM(AE172:AE182)</f>
        <v>100</v>
      </c>
      <c r="AF183" s="82">
        <f t="shared" ref="AF183" si="392">+SUM(AF172:AF182)</f>
        <v>100</v>
      </c>
      <c r="AG183" s="82">
        <f t="shared" ref="AG183" si="393">+SUM(AG172:AG182)</f>
        <v>100</v>
      </c>
      <c r="AH183" s="82">
        <f t="shared" ref="AH183" si="394">+SUM(AH172:AH182)</f>
        <v>100</v>
      </c>
      <c r="AI183" s="82">
        <f t="shared" ref="AI183" si="395">+SUM(AI172:AI182)</f>
        <v>100</v>
      </c>
      <c r="AJ183" s="82">
        <f t="shared" ref="AJ183" si="396">+SUM(AJ172:AJ182)</f>
        <v>100</v>
      </c>
    </row>
    <row r="184" spans="1:36" s="79" customFormat="1" ht="15.75" x14ac:dyDescent="0.25">
      <c r="A184" s="77" t="s">
        <v>879</v>
      </c>
      <c r="B184" s="78"/>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c r="AA184" s="77"/>
      <c r="AB184" s="77"/>
      <c r="AC184" s="77"/>
      <c r="AD184" s="77"/>
      <c r="AE184" s="77"/>
      <c r="AF184" s="77"/>
      <c r="AG184" s="77"/>
      <c r="AH184" s="77"/>
      <c r="AI184" s="77"/>
      <c r="AJ184" s="77"/>
    </row>
    <row r="185" spans="1:36" x14ac:dyDescent="0.25">
      <c r="A185" s="80" t="s">
        <v>673</v>
      </c>
      <c r="B185" t="s">
        <v>309</v>
      </c>
      <c r="C185" s="26">
        <v>0</v>
      </c>
      <c r="D185" s="26">
        <v>0</v>
      </c>
      <c r="E185" s="26">
        <v>0</v>
      </c>
      <c r="F185" s="26">
        <v>0</v>
      </c>
      <c r="G185" s="26">
        <v>0</v>
      </c>
      <c r="H185" s="26">
        <v>0</v>
      </c>
      <c r="I185" s="26">
        <v>0</v>
      </c>
      <c r="J185" s="26">
        <v>0</v>
      </c>
      <c r="K185" s="26">
        <v>0</v>
      </c>
      <c r="L185" s="26">
        <v>0</v>
      </c>
      <c r="M185" s="26">
        <v>0</v>
      </c>
      <c r="N185" s="26">
        <v>0</v>
      </c>
      <c r="O185" s="26">
        <v>0</v>
      </c>
      <c r="P185" s="26">
        <v>0</v>
      </c>
      <c r="Q185" s="26">
        <v>0</v>
      </c>
      <c r="R185" s="26">
        <v>0</v>
      </c>
      <c r="S185" s="26">
        <v>0</v>
      </c>
      <c r="T185" s="26">
        <v>0</v>
      </c>
      <c r="U185" s="26">
        <v>0</v>
      </c>
      <c r="V185" s="26">
        <v>0</v>
      </c>
      <c r="W185" s="26">
        <v>0</v>
      </c>
      <c r="X185" s="26">
        <v>0</v>
      </c>
      <c r="Y185" s="26">
        <v>0</v>
      </c>
      <c r="Z185" s="26">
        <v>0</v>
      </c>
      <c r="AA185" s="26">
        <v>0</v>
      </c>
      <c r="AB185" s="26">
        <v>0</v>
      </c>
      <c r="AC185" s="26">
        <v>0</v>
      </c>
      <c r="AD185" s="26">
        <v>0</v>
      </c>
      <c r="AE185" s="26">
        <v>0</v>
      </c>
      <c r="AF185" s="26">
        <v>0</v>
      </c>
      <c r="AG185" s="26">
        <v>0</v>
      </c>
      <c r="AH185" s="26">
        <v>0</v>
      </c>
      <c r="AI185" s="26">
        <v>0</v>
      </c>
      <c r="AJ185" s="26">
        <v>0</v>
      </c>
    </row>
    <row r="186" spans="1:36" x14ac:dyDescent="0.25">
      <c r="A186" s="80" t="s">
        <v>674</v>
      </c>
      <c r="B186" t="s">
        <v>309</v>
      </c>
      <c r="C186" s="26">
        <v>5</v>
      </c>
      <c r="D186" s="26">
        <v>5</v>
      </c>
      <c r="E186" s="26">
        <v>5</v>
      </c>
      <c r="F186" s="26">
        <v>5</v>
      </c>
      <c r="G186" s="26">
        <v>5</v>
      </c>
      <c r="H186" s="26">
        <v>5</v>
      </c>
      <c r="I186" s="26">
        <v>5</v>
      </c>
      <c r="J186" s="26">
        <v>5</v>
      </c>
      <c r="K186" s="26">
        <v>5</v>
      </c>
      <c r="L186" s="26">
        <v>5</v>
      </c>
      <c r="M186" s="26">
        <v>5</v>
      </c>
      <c r="N186" s="26">
        <v>5</v>
      </c>
      <c r="O186" s="26">
        <v>5</v>
      </c>
      <c r="P186" s="26">
        <v>5</v>
      </c>
      <c r="Q186" s="26">
        <v>5</v>
      </c>
      <c r="R186" s="26">
        <v>5</v>
      </c>
      <c r="S186" s="26">
        <v>5</v>
      </c>
      <c r="T186" s="26">
        <v>5</v>
      </c>
      <c r="U186" s="26">
        <v>5</v>
      </c>
      <c r="V186" s="26">
        <v>5</v>
      </c>
      <c r="W186" s="26">
        <v>5</v>
      </c>
      <c r="X186" s="26">
        <v>5</v>
      </c>
      <c r="Y186" s="26">
        <v>5</v>
      </c>
      <c r="Z186" s="26">
        <v>5</v>
      </c>
      <c r="AA186" s="26">
        <v>5</v>
      </c>
      <c r="AB186" s="26">
        <v>5</v>
      </c>
      <c r="AC186" s="26">
        <v>5</v>
      </c>
      <c r="AD186" s="26">
        <v>5</v>
      </c>
      <c r="AE186" s="26">
        <v>5</v>
      </c>
      <c r="AF186" s="26">
        <v>5</v>
      </c>
      <c r="AG186" s="26">
        <v>5</v>
      </c>
      <c r="AH186" s="26">
        <v>5</v>
      </c>
      <c r="AI186" s="26">
        <v>5</v>
      </c>
      <c r="AJ186" s="26">
        <v>5</v>
      </c>
    </row>
    <row r="187" spans="1:36" x14ac:dyDescent="0.25">
      <c r="A187" s="80" t="s">
        <v>675</v>
      </c>
      <c r="B187" t="s">
        <v>309</v>
      </c>
      <c r="C187" s="26">
        <v>70</v>
      </c>
      <c r="D187" s="26">
        <v>70</v>
      </c>
      <c r="E187" s="26">
        <v>70</v>
      </c>
      <c r="F187" s="26">
        <v>70</v>
      </c>
      <c r="G187" s="26">
        <v>70</v>
      </c>
      <c r="H187" s="26">
        <v>70</v>
      </c>
      <c r="I187" s="26">
        <v>70</v>
      </c>
      <c r="J187" s="26">
        <v>70</v>
      </c>
      <c r="K187" s="26">
        <v>70</v>
      </c>
      <c r="L187" s="26">
        <v>70</v>
      </c>
      <c r="M187" s="26">
        <v>70</v>
      </c>
      <c r="N187" s="26">
        <v>70</v>
      </c>
      <c r="O187" s="26">
        <v>70</v>
      </c>
      <c r="P187" s="26">
        <v>70</v>
      </c>
      <c r="Q187" s="26">
        <v>70</v>
      </c>
      <c r="R187" s="26">
        <v>70</v>
      </c>
      <c r="S187" s="26">
        <v>70</v>
      </c>
      <c r="T187" s="26">
        <v>70</v>
      </c>
      <c r="U187" s="26">
        <v>70</v>
      </c>
      <c r="V187" s="26">
        <v>70</v>
      </c>
      <c r="W187" s="26">
        <v>70</v>
      </c>
      <c r="X187" s="26">
        <v>70</v>
      </c>
      <c r="Y187" s="26">
        <v>70</v>
      </c>
      <c r="Z187" s="26">
        <v>70</v>
      </c>
      <c r="AA187" s="26">
        <v>70</v>
      </c>
      <c r="AB187" s="26">
        <v>70</v>
      </c>
      <c r="AC187" s="26">
        <v>70</v>
      </c>
      <c r="AD187" s="26">
        <v>70</v>
      </c>
      <c r="AE187" s="26">
        <v>70</v>
      </c>
      <c r="AF187" s="26">
        <v>70</v>
      </c>
      <c r="AG187" s="26">
        <v>70</v>
      </c>
      <c r="AH187" s="26">
        <v>70</v>
      </c>
      <c r="AI187" s="26">
        <v>70</v>
      </c>
      <c r="AJ187" s="26">
        <v>70</v>
      </c>
    </row>
    <row r="188" spans="1:36" x14ac:dyDescent="0.25">
      <c r="A188" s="80" t="s">
        <v>676</v>
      </c>
      <c r="B188" t="s">
        <v>309</v>
      </c>
      <c r="C188" s="26">
        <v>0</v>
      </c>
      <c r="D188" s="26">
        <v>0</v>
      </c>
      <c r="E188" s="26">
        <v>0</v>
      </c>
      <c r="F188" s="26">
        <v>0</v>
      </c>
      <c r="G188" s="26">
        <v>0</v>
      </c>
      <c r="H188" s="26">
        <v>0</v>
      </c>
      <c r="I188" s="26">
        <v>0</v>
      </c>
      <c r="J188" s="26">
        <v>0</v>
      </c>
      <c r="K188" s="26">
        <v>0</v>
      </c>
      <c r="L188" s="26">
        <v>0</v>
      </c>
      <c r="M188" s="26">
        <v>0</v>
      </c>
      <c r="N188" s="26">
        <v>0</v>
      </c>
      <c r="O188" s="26">
        <v>0</v>
      </c>
      <c r="P188" s="26">
        <v>0</v>
      </c>
      <c r="Q188" s="26">
        <v>0</v>
      </c>
      <c r="R188" s="26">
        <v>0</v>
      </c>
      <c r="S188" s="26">
        <v>0</v>
      </c>
      <c r="T188" s="26">
        <v>0</v>
      </c>
      <c r="U188" s="26">
        <v>0</v>
      </c>
      <c r="V188" s="26">
        <v>0</v>
      </c>
      <c r="W188" s="26">
        <v>0</v>
      </c>
      <c r="X188" s="26">
        <v>0</v>
      </c>
      <c r="Y188" s="26">
        <v>0</v>
      </c>
      <c r="Z188" s="26">
        <v>0</v>
      </c>
      <c r="AA188" s="26">
        <v>0</v>
      </c>
      <c r="AB188" s="26">
        <v>0</v>
      </c>
      <c r="AC188" s="26">
        <v>0</v>
      </c>
      <c r="AD188" s="26">
        <v>0</v>
      </c>
      <c r="AE188" s="26">
        <v>0</v>
      </c>
      <c r="AF188" s="26">
        <v>0</v>
      </c>
      <c r="AG188" s="26">
        <v>0</v>
      </c>
      <c r="AH188" s="26">
        <v>0</v>
      </c>
      <c r="AI188" s="26">
        <v>0</v>
      </c>
      <c r="AJ188" s="26">
        <v>0</v>
      </c>
    </row>
    <row r="189" spans="1:36" x14ac:dyDescent="0.25">
      <c r="A189" s="80" t="s">
        <v>677</v>
      </c>
      <c r="B189" t="s">
        <v>309</v>
      </c>
      <c r="C189" s="26">
        <v>5</v>
      </c>
      <c r="D189" s="26">
        <v>5</v>
      </c>
      <c r="E189" s="26">
        <v>5</v>
      </c>
      <c r="F189" s="26">
        <v>5</v>
      </c>
      <c r="G189" s="26">
        <v>5</v>
      </c>
      <c r="H189" s="26">
        <v>5</v>
      </c>
      <c r="I189" s="26">
        <v>5</v>
      </c>
      <c r="J189" s="26">
        <v>5</v>
      </c>
      <c r="K189" s="26">
        <v>5</v>
      </c>
      <c r="L189" s="26">
        <v>5</v>
      </c>
      <c r="M189" s="26">
        <v>5</v>
      </c>
      <c r="N189" s="26">
        <v>5</v>
      </c>
      <c r="O189" s="26">
        <v>5</v>
      </c>
      <c r="P189" s="26">
        <v>5</v>
      </c>
      <c r="Q189" s="26">
        <v>5</v>
      </c>
      <c r="R189" s="26">
        <v>5</v>
      </c>
      <c r="S189" s="26">
        <v>5</v>
      </c>
      <c r="T189" s="26">
        <v>5</v>
      </c>
      <c r="U189" s="26">
        <v>5</v>
      </c>
      <c r="V189" s="26">
        <v>5</v>
      </c>
      <c r="W189" s="26">
        <v>5</v>
      </c>
      <c r="X189" s="26">
        <v>5</v>
      </c>
      <c r="Y189" s="26">
        <v>5</v>
      </c>
      <c r="Z189" s="26">
        <v>5</v>
      </c>
      <c r="AA189" s="26">
        <v>5</v>
      </c>
      <c r="AB189" s="26">
        <v>5</v>
      </c>
      <c r="AC189" s="26">
        <v>5</v>
      </c>
      <c r="AD189" s="26">
        <v>5</v>
      </c>
      <c r="AE189" s="26">
        <v>5</v>
      </c>
      <c r="AF189" s="26">
        <v>5</v>
      </c>
      <c r="AG189" s="26">
        <v>5</v>
      </c>
      <c r="AH189" s="26">
        <v>5</v>
      </c>
      <c r="AI189" s="26">
        <v>5</v>
      </c>
      <c r="AJ189" s="26">
        <v>5</v>
      </c>
    </row>
    <row r="190" spans="1:36" x14ac:dyDescent="0.25">
      <c r="A190" s="80" t="s">
        <v>678</v>
      </c>
      <c r="B190" t="s">
        <v>309</v>
      </c>
      <c r="C190" s="26">
        <v>10</v>
      </c>
      <c r="D190" s="26">
        <v>10</v>
      </c>
      <c r="E190" s="26">
        <v>10</v>
      </c>
      <c r="F190" s="26">
        <v>10</v>
      </c>
      <c r="G190" s="26">
        <v>10</v>
      </c>
      <c r="H190" s="26">
        <v>10</v>
      </c>
      <c r="I190" s="26">
        <v>10</v>
      </c>
      <c r="J190" s="26">
        <v>10</v>
      </c>
      <c r="K190" s="26">
        <v>10</v>
      </c>
      <c r="L190" s="26">
        <v>10</v>
      </c>
      <c r="M190" s="26">
        <v>10</v>
      </c>
      <c r="N190" s="26">
        <v>10</v>
      </c>
      <c r="O190" s="26">
        <v>10</v>
      </c>
      <c r="P190" s="26">
        <v>10</v>
      </c>
      <c r="Q190" s="26">
        <v>10</v>
      </c>
      <c r="R190" s="26">
        <v>10</v>
      </c>
      <c r="S190" s="26">
        <v>10</v>
      </c>
      <c r="T190" s="26">
        <v>10</v>
      </c>
      <c r="U190" s="26">
        <v>10</v>
      </c>
      <c r="V190" s="26">
        <v>10</v>
      </c>
      <c r="W190" s="26">
        <v>10</v>
      </c>
      <c r="X190" s="26">
        <v>10</v>
      </c>
      <c r="Y190" s="26">
        <v>10</v>
      </c>
      <c r="Z190" s="26">
        <v>10</v>
      </c>
      <c r="AA190" s="26">
        <v>10</v>
      </c>
      <c r="AB190" s="26">
        <v>10</v>
      </c>
      <c r="AC190" s="26">
        <v>10</v>
      </c>
      <c r="AD190" s="26">
        <v>10</v>
      </c>
      <c r="AE190" s="26">
        <v>10</v>
      </c>
      <c r="AF190" s="26">
        <v>10</v>
      </c>
      <c r="AG190" s="26">
        <v>10</v>
      </c>
      <c r="AH190" s="26">
        <v>10</v>
      </c>
      <c r="AI190" s="26">
        <v>10</v>
      </c>
      <c r="AJ190" s="26">
        <v>10</v>
      </c>
    </row>
    <row r="191" spans="1:36" x14ac:dyDescent="0.25">
      <c r="A191" s="80" t="s">
        <v>679</v>
      </c>
      <c r="B191" t="s">
        <v>309</v>
      </c>
      <c r="C191" s="26">
        <v>0</v>
      </c>
      <c r="D191" s="26">
        <v>0</v>
      </c>
      <c r="E191" s="26">
        <v>0</v>
      </c>
      <c r="F191" s="26">
        <v>0</v>
      </c>
      <c r="G191" s="26">
        <v>0</v>
      </c>
      <c r="H191" s="26">
        <v>0</v>
      </c>
      <c r="I191" s="26">
        <v>0</v>
      </c>
      <c r="J191" s="26">
        <v>0</v>
      </c>
      <c r="K191" s="26">
        <v>0</v>
      </c>
      <c r="L191" s="26">
        <v>0</v>
      </c>
      <c r="M191" s="26">
        <v>0</v>
      </c>
      <c r="N191" s="26">
        <v>0</v>
      </c>
      <c r="O191" s="26">
        <v>0</v>
      </c>
      <c r="P191" s="26">
        <v>0</v>
      </c>
      <c r="Q191" s="26">
        <v>0</v>
      </c>
      <c r="R191" s="26">
        <v>0</v>
      </c>
      <c r="S191" s="26">
        <v>0</v>
      </c>
      <c r="T191" s="26">
        <v>0</v>
      </c>
      <c r="U191" s="26">
        <v>0</v>
      </c>
      <c r="V191" s="26">
        <v>0</v>
      </c>
      <c r="W191" s="26">
        <v>0</v>
      </c>
      <c r="X191" s="26">
        <v>0</v>
      </c>
      <c r="Y191" s="26">
        <v>0</v>
      </c>
      <c r="Z191" s="26">
        <v>0</v>
      </c>
      <c r="AA191" s="26">
        <v>0</v>
      </c>
      <c r="AB191" s="26">
        <v>0</v>
      </c>
      <c r="AC191" s="26">
        <v>0</v>
      </c>
      <c r="AD191" s="26">
        <v>0</v>
      </c>
      <c r="AE191" s="26">
        <v>0</v>
      </c>
      <c r="AF191" s="26">
        <v>0</v>
      </c>
      <c r="AG191" s="26">
        <v>0</v>
      </c>
      <c r="AH191" s="26">
        <v>0</v>
      </c>
      <c r="AI191" s="26">
        <v>0</v>
      </c>
      <c r="AJ191" s="26">
        <v>0</v>
      </c>
    </row>
    <row r="192" spans="1:36" x14ac:dyDescent="0.25">
      <c r="A192" s="80" t="s">
        <v>680</v>
      </c>
      <c r="B192" t="s">
        <v>309</v>
      </c>
      <c r="C192" s="26">
        <v>10</v>
      </c>
      <c r="D192" s="26">
        <v>10</v>
      </c>
      <c r="E192" s="26">
        <v>10</v>
      </c>
      <c r="F192" s="26">
        <v>10</v>
      </c>
      <c r="G192" s="26">
        <v>10</v>
      </c>
      <c r="H192" s="26">
        <v>10</v>
      </c>
      <c r="I192" s="26">
        <v>10</v>
      </c>
      <c r="J192" s="26">
        <v>10</v>
      </c>
      <c r="K192" s="26">
        <v>10</v>
      </c>
      <c r="L192" s="26">
        <v>10</v>
      </c>
      <c r="M192" s="26">
        <v>10</v>
      </c>
      <c r="N192" s="26">
        <v>10</v>
      </c>
      <c r="O192" s="26">
        <v>10</v>
      </c>
      <c r="P192" s="26">
        <v>10</v>
      </c>
      <c r="Q192" s="26">
        <v>10</v>
      </c>
      <c r="R192" s="26">
        <v>10</v>
      </c>
      <c r="S192" s="26">
        <v>10</v>
      </c>
      <c r="T192" s="26">
        <v>10</v>
      </c>
      <c r="U192" s="26">
        <v>10</v>
      </c>
      <c r="V192" s="26">
        <v>10</v>
      </c>
      <c r="W192" s="26">
        <v>10</v>
      </c>
      <c r="X192" s="26">
        <v>10</v>
      </c>
      <c r="Y192" s="26">
        <v>10</v>
      </c>
      <c r="Z192" s="26">
        <v>10</v>
      </c>
      <c r="AA192" s="26">
        <v>10</v>
      </c>
      <c r="AB192" s="26">
        <v>10</v>
      </c>
      <c r="AC192" s="26">
        <v>10</v>
      </c>
      <c r="AD192" s="26">
        <v>10</v>
      </c>
      <c r="AE192" s="26">
        <v>10</v>
      </c>
      <c r="AF192" s="26">
        <v>10</v>
      </c>
      <c r="AG192" s="26">
        <v>10</v>
      </c>
      <c r="AH192" s="26">
        <v>10</v>
      </c>
      <c r="AI192" s="26">
        <v>10</v>
      </c>
      <c r="AJ192" s="26">
        <v>10</v>
      </c>
    </row>
    <row r="193" spans="1:36" x14ac:dyDescent="0.25">
      <c r="A193" s="80" t="s">
        <v>681</v>
      </c>
      <c r="B193" t="s">
        <v>309</v>
      </c>
      <c r="C193" s="26">
        <v>0</v>
      </c>
      <c r="D193" s="26">
        <v>0</v>
      </c>
      <c r="E193" s="26">
        <v>0</v>
      </c>
      <c r="F193" s="26">
        <v>0</v>
      </c>
      <c r="G193" s="26">
        <v>0</v>
      </c>
      <c r="H193" s="26">
        <v>0</v>
      </c>
      <c r="I193" s="26">
        <v>0</v>
      </c>
      <c r="J193" s="26">
        <v>0</v>
      </c>
      <c r="K193" s="26">
        <v>0</v>
      </c>
      <c r="L193" s="26">
        <v>0</v>
      </c>
      <c r="M193" s="26">
        <v>0</v>
      </c>
      <c r="N193" s="26">
        <v>0</v>
      </c>
      <c r="O193" s="26">
        <v>0</v>
      </c>
      <c r="P193" s="26">
        <v>0</v>
      </c>
      <c r="Q193" s="26">
        <v>0</v>
      </c>
      <c r="R193" s="26">
        <v>0</v>
      </c>
      <c r="S193" s="26">
        <v>0</v>
      </c>
      <c r="T193" s="26">
        <v>0</v>
      </c>
      <c r="U193" s="26">
        <v>0</v>
      </c>
      <c r="V193" s="26">
        <v>0</v>
      </c>
      <c r="W193" s="26">
        <v>0</v>
      </c>
      <c r="X193" s="26">
        <v>0</v>
      </c>
      <c r="Y193" s="26">
        <v>0</v>
      </c>
      <c r="Z193" s="26">
        <v>0</v>
      </c>
      <c r="AA193" s="26">
        <v>0</v>
      </c>
      <c r="AB193" s="26">
        <v>0</v>
      </c>
      <c r="AC193" s="26">
        <v>0</v>
      </c>
      <c r="AD193" s="26">
        <v>0</v>
      </c>
      <c r="AE193" s="26">
        <v>0</v>
      </c>
      <c r="AF193" s="26">
        <v>0</v>
      </c>
      <c r="AG193" s="26">
        <v>0</v>
      </c>
      <c r="AH193" s="26">
        <v>0</v>
      </c>
      <c r="AI193" s="26">
        <v>0</v>
      </c>
      <c r="AJ193" s="26">
        <v>0</v>
      </c>
    </row>
    <row r="194" spans="1:36" x14ac:dyDescent="0.25">
      <c r="A194" s="80" t="s">
        <v>682</v>
      </c>
      <c r="B194" t="s">
        <v>309</v>
      </c>
      <c r="C194" s="26">
        <v>0</v>
      </c>
      <c r="D194" s="26">
        <v>0</v>
      </c>
      <c r="E194" s="26">
        <v>0</v>
      </c>
      <c r="F194" s="26">
        <v>0</v>
      </c>
      <c r="G194" s="26">
        <v>0</v>
      </c>
      <c r="H194" s="26">
        <v>0</v>
      </c>
      <c r="I194" s="26">
        <v>0</v>
      </c>
      <c r="J194" s="26">
        <v>0</v>
      </c>
      <c r="K194" s="26">
        <v>0</v>
      </c>
      <c r="L194" s="26">
        <v>0</v>
      </c>
      <c r="M194" s="26">
        <v>0</v>
      </c>
      <c r="N194" s="26">
        <v>0</v>
      </c>
      <c r="O194" s="26">
        <v>0</v>
      </c>
      <c r="P194" s="26">
        <v>0</v>
      </c>
      <c r="Q194" s="26">
        <v>0</v>
      </c>
      <c r="R194" s="26">
        <v>0</v>
      </c>
      <c r="S194" s="26">
        <v>0</v>
      </c>
      <c r="T194" s="26">
        <v>0</v>
      </c>
      <c r="U194" s="26">
        <v>0</v>
      </c>
      <c r="V194" s="26">
        <v>0</v>
      </c>
      <c r="W194" s="26">
        <v>0</v>
      </c>
      <c r="X194" s="26">
        <v>0</v>
      </c>
      <c r="Y194" s="26">
        <v>0</v>
      </c>
      <c r="Z194" s="26">
        <v>0</v>
      </c>
      <c r="AA194" s="26">
        <v>0</v>
      </c>
      <c r="AB194" s="26">
        <v>0</v>
      </c>
      <c r="AC194" s="26">
        <v>0</v>
      </c>
      <c r="AD194" s="26">
        <v>0</v>
      </c>
      <c r="AE194" s="26">
        <v>0</v>
      </c>
      <c r="AF194" s="26">
        <v>0</v>
      </c>
      <c r="AG194" s="26">
        <v>0</v>
      </c>
      <c r="AH194" s="26">
        <v>0</v>
      </c>
      <c r="AI194" s="26">
        <v>0</v>
      </c>
      <c r="AJ194" s="26">
        <v>0</v>
      </c>
    </row>
    <row r="195" spans="1:36" x14ac:dyDescent="0.25">
      <c r="A195" s="80" t="s">
        <v>867</v>
      </c>
      <c r="B195" t="s">
        <v>309</v>
      </c>
      <c r="C195" s="26">
        <v>0</v>
      </c>
      <c r="D195" s="26">
        <v>0</v>
      </c>
      <c r="E195" s="26">
        <v>0</v>
      </c>
      <c r="F195" s="26">
        <v>0</v>
      </c>
      <c r="G195" s="26">
        <v>0</v>
      </c>
      <c r="H195" s="26">
        <v>0</v>
      </c>
      <c r="I195" s="26">
        <v>0</v>
      </c>
      <c r="J195" s="26">
        <v>0</v>
      </c>
      <c r="K195" s="26">
        <v>0</v>
      </c>
      <c r="L195" s="26">
        <v>0</v>
      </c>
      <c r="M195" s="26">
        <v>0</v>
      </c>
      <c r="N195" s="26">
        <v>0</v>
      </c>
      <c r="O195" s="26">
        <v>0</v>
      </c>
      <c r="P195" s="26">
        <v>0</v>
      </c>
      <c r="Q195" s="26">
        <v>0</v>
      </c>
      <c r="R195" s="26">
        <v>0</v>
      </c>
      <c r="S195" s="26">
        <v>0</v>
      </c>
      <c r="T195" s="26">
        <v>0</v>
      </c>
      <c r="U195" s="26">
        <v>0</v>
      </c>
      <c r="V195" s="26">
        <v>0</v>
      </c>
      <c r="W195" s="26">
        <v>0</v>
      </c>
      <c r="X195" s="26">
        <v>0</v>
      </c>
      <c r="Y195" s="26">
        <v>0</v>
      </c>
      <c r="Z195" s="26">
        <v>0</v>
      </c>
      <c r="AA195" s="26">
        <v>0</v>
      </c>
      <c r="AB195" s="26">
        <v>0</v>
      </c>
      <c r="AC195" s="26">
        <v>0</v>
      </c>
      <c r="AD195" s="26">
        <v>0</v>
      </c>
      <c r="AE195" s="26">
        <v>0</v>
      </c>
      <c r="AF195" s="26">
        <v>0</v>
      </c>
      <c r="AG195" s="26">
        <v>0</v>
      </c>
      <c r="AH195" s="26">
        <v>0</v>
      </c>
      <c r="AI195" s="26">
        <v>0</v>
      </c>
      <c r="AJ195" s="26">
        <v>0</v>
      </c>
    </row>
    <row r="196" spans="1:36" s="81" customFormat="1" x14ac:dyDescent="0.25">
      <c r="A196" s="81" t="s">
        <v>882</v>
      </c>
      <c r="C196" s="82">
        <f>+SUM(C185:C195)</f>
        <v>100</v>
      </c>
      <c r="D196" s="82">
        <f t="shared" ref="D196" si="397">+SUM(D185:D195)</f>
        <v>100</v>
      </c>
      <c r="E196" s="82">
        <f t="shared" ref="E196" si="398">+SUM(E185:E195)</f>
        <v>100</v>
      </c>
      <c r="F196" s="82">
        <f t="shared" ref="F196" si="399">+SUM(F185:F195)</f>
        <v>100</v>
      </c>
      <c r="G196" s="82">
        <f t="shared" ref="G196" si="400">+SUM(G185:G195)</f>
        <v>100</v>
      </c>
      <c r="H196" s="82">
        <f t="shared" ref="H196" si="401">+SUM(H185:H195)</f>
        <v>100</v>
      </c>
      <c r="I196" s="82">
        <f t="shared" ref="I196" si="402">+SUM(I185:I195)</f>
        <v>100</v>
      </c>
      <c r="J196" s="82">
        <f t="shared" ref="J196" si="403">+SUM(J185:J195)</f>
        <v>100</v>
      </c>
      <c r="K196" s="82">
        <f t="shared" ref="K196" si="404">+SUM(K185:K195)</f>
        <v>100</v>
      </c>
      <c r="L196" s="82">
        <f t="shared" ref="L196" si="405">+SUM(L185:L195)</f>
        <v>100</v>
      </c>
      <c r="M196" s="82">
        <f t="shared" ref="M196" si="406">+SUM(M185:M195)</f>
        <v>100</v>
      </c>
      <c r="N196" s="82">
        <f t="shared" ref="N196" si="407">+SUM(N185:N195)</f>
        <v>100</v>
      </c>
      <c r="O196" s="82">
        <f t="shared" ref="O196" si="408">+SUM(O185:O195)</f>
        <v>100</v>
      </c>
      <c r="P196" s="82">
        <f t="shared" ref="P196" si="409">+SUM(P185:P195)</f>
        <v>100</v>
      </c>
      <c r="Q196" s="82">
        <f t="shared" ref="Q196" si="410">+SUM(Q185:Q195)</f>
        <v>100</v>
      </c>
      <c r="R196" s="82">
        <f t="shared" ref="R196" si="411">+SUM(R185:R195)</f>
        <v>100</v>
      </c>
      <c r="S196" s="82">
        <f t="shared" ref="S196" si="412">+SUM(S185:S195)</f>
        <v>100</v>
      </c>
      <c r="T196" s="82">
        <f t="shared" ref="T196" si="413">+SUM(T185:T195)</f>
        <v>100</v>
      </c>
      <c r="U196" s="82">
        <f t="shared" ref="U196" si="414">+SUM(U185:U195)</f>
        <v>100</v>
      </c>
      <c r="V196" s="82">
        <f t="shared" ref="V196" si="415">+SUM(V185:V195)</f>
        <v>100</v>
      </c>
      <c r="W196" s="82">
        <f t="shared" ref="W196" si="416">+SUM(W185:W195)</f>
        <v>100</v>
      </c>
      <c r="X196" s="82">
        <f t="shared" ref="X196" si="417">+SUM(X185:X195)</f>
        <v>100</v>
      </c>
      <c r="Y196" s="82">
        <f t="shared" ref="Y196" si="418">+SUM(Y185:Y195)</f>
        <v>100</v>
      </c>
      <c r="Z196" s="82">
        <f t="shared" ref="Z196" si="419">+SUM(Z185:Z195)</f>
        <v>100</v>
      </c>
      <c r="AA196" s="82">
        <f t="shared" ref="AA196" si="420">+SUM(AA185:AA195)</f>
        <v>100</v>
      </c>
      <c r="AB196" s="82">
        <f t="shared" ref="AB196" si="421">+SUM(AB185:AB195)</f>
        <v>100</v>
      </c>
      <c r="AC196" s="82">
        <f t="shared" ref="AC196" si="422">+SUM(AC185:AC195)</f>
        <v>100</v>
      </c>
      <c r="AD196" s="82">
        <f t="shared" ref="AD196" si="423">+SUM(AD185:AD195)</f>
        <v>100</v>
      </c>
      <c r="AE196" s="82">
        <f t="shared" ref="AE196" si="424">+SUM(AE185:AE195)</f>
        <v>100</v>
      </c>
      <c r="AF196" s="82">
        <f t="shared" ref="AF196" si="425">+SUM(AF185:AF195)</f>
        <v>100</v>
      </c>
      <c r="AG196" s="82">
        <f t="shared" ref="AG196" si="426">+SUM(AG185:AG195)</f>
        <v>100</v>
      </c>
      <c r="AH196" s="82">
        <f t="shared" ref="AH196" si="427">+SUM(AH185:AH195)</f>
        <v>100</v>
      </c>
      <c r="AI196" s="82">
        <f t="shared" ref="AI196" si="428">+SUM(AI185:AI195)</f>
        <v>100</v>
      </c>
      <c r="AJ196" s="82">
        <f t="shared" ref="AJ196" si="429">+SUM(AJ185:AJ195)</f>
        <v>100</v>
      </c>
    </row>
    <row r="197" spans="1:36" x14ac:dyDescent="0.25">
      <c r="A197" s="80" t="s">
        <v>683</v>
      </c>
      <c r="B197" t="s">
        <v>309</v>
      </c>
      <c r="C197" s="26">
        <v>0</v>
      </c>
      <c r="D197" s="26">
        <v>0</v>
      </c>
      <c r="E197" s="26">
        <v>0</v>
      </c>
      <c r="F197" s="26">
        <v>0</v>
      </c>
      <c r="G197" s="26">
        <v>0</v>
      </c>
      <c r="H197" s="26">
        <v>0</v>
      </c>
      <c r="I197" s="26">
        <v>0</v>
      </c>
      <c r="J197" s="26">
        <v>0</v>
      </c>
      <c r="K197" s="26">
        <v>0</v>
      </c>
      <c r="L197" s="26">
        <v>0</v>
      </c>
      <c r="M197" s="26">
        <v>0</v>
      </c>
      <c r="N197" s="26">
        <v>0</v>
      </c>
      <c r="O197" s="26">
        <v>0</v>
      </c>
      <c r="P197" s="26">
        <v>0</v>
      </c>
      <c r="Q197" s="26">
        <v>0</v>
      </c>
      <c r="R197" s="26">
        <v>0</v>
      </c>
      <c r="S197" s="26">
        <v>0</v>
      </c>
      <c r="T197" s="26">
        <v>0</v>
      </c>
      <c r="U197" s="26">
        <v>0</v>
      </c>
      <c r="V197" s="26">
        <v>0</v>
      </c>
      <c r="W197" s="26">
        <v>0</v>
      </c>
      <c r="X197" s="26">
        <v>0</v>
      </c>
      <c r="Y197" s="26">
        <v>0</v>
      </c>
      <c r="Z197" s="26">
        <v>0</v>
      </c>
      <c r="AA197" s="26">
        <v>0</v>
      </c>
      <c r="AB197" s="26">
        <v>0</v>
      </c>
      <c r="AC197" s="26">
        <v>0</v>
      </c>
      <c r="AD197" s="26">
        <v>0</v>
      </c>
      <c r="AE197" s="26">
        <v>0</v>
      </c>
      <c r="AF197" s="26">
        <v>0</v>
      </c>
      <c r="AG197" s="26">
        <v>0</v>
      </c>
      <c r="AH197" s="26">
        <v>0</v>
      </c>
      <c r="AI197" s="26">
        <v>0</v>
      </c>
      <c r="AJ197" s="26">
        <v>0</v>
      </c>
    </row>
    <row r="198" spans="1:36" x14ac:dyDescent="0.25">
      <c r="A198" s="80" t="s">
        <v>684</v>
      </c>
      <c r="B198" t="s">
        <v>309</v>
      </c>
      <c r="C198" s="26">
        <v>0</v>
      </c>
      <c r="D198" s="26">
        <v>0</v>
      </c>
      <c r="E198" s="26">
        <v>0</v>
      </c>
      <c r="F198" s="26">
        <v>0</v>
      </c>
      <c r="G198" s="26">
        <v>0</v>
      </c>
      <c r="H198" s="26">
        <v>0</v>
      </c>
      <c r="I198" s="26">
        <v>0</v>
      </c>
      <c r="J198" s="26">
        <v>0</v>
      </c>
      <c r="K198" s="26">
        <v>0</v>
      </c>
      <c r="L198" s="26">
        <v>0</v>
      </c>
      <c r="M198" s="26">
        <v>0</v>
      </c>
      <c r="N198" s="26">
        <v>0</v>
      </c>
      <c r="O198" s="26">
        <v>0</v>
      </c>
      <c r="P198" s="26">
        <v>0</v>
      </c>
      <c r="Q198" s="26">
        <v>0</v>
      </c>
      <c r="R198" s="26">
        <v>0</v>
      </c>
      <c r="S198" s="26">
        <v>0</v>
      </c>
      <c r="T198" s="26">
        <v>0</v>
      </c>
      <c r="U198" s="26">
        <v>0</v>
      </c>
      <c r="V198" s="26">
        <v>0</v>
      </c>
      <c r="W198" s="26">
        <v>0</v>
      </c>
      <c r="X198" s="26">
        <v>0</v>
      </c>
      <c r="Y198" s="26">
        <v>0</v>
      </c>
      <c r="Z198" s="26">
        <v>0</v>
      </c>
      <c r="AA198" s="26">
        <v>0</v>
      </c>
      <c r="AB198" s="26">
        <v>0</v>
      </c>
      <c r="AC198" s="26">
        <v>0</v>
      </c>
      <c r="AD198" s="26">
        <v>0</v>
      </c>
      <c r="AE198" s="26">
        <v>0</v>
      </c>
      <c r="AF198" s="26">
        <v>0</v>
      </c>
      <c r="AG198" s="26">
        <v>0</v>
      </c>
      <c r="AH198" s="26">
        <v>0</v>
      </c>
      <c r="AI198" s="26">
        <v>0</v>
      </c>
      <c r="AJ198" s="26">
        <v>0</v>
      </c>
    </row>
    <row r="199" spans="1:36" x14ac:dyDescent="0.25">
      <c r="A199" s="80" t="s">
        <v>685</v>
      </c>
      <c r="B199" t="s">
        <v>309</v>
      </c>
      <c r="C199" s="26">
        <v>80</v>
      </c>
      <c r="D199" s="26">
        <v>80</v>
      </c>
      <c r="E199" s="26">
        <v>80</v>
      </c>
      <c r="F199" s="26">
        <v>80</v>
      </c>
      <c r="G199" s="26">
        <v>80</v>
      </c>
      <c r="H199" s="26">
        <v>80</v>
      </c>
      <c r="I199" s="26">
        <v>80</v>
      </c>
      <c r="J199" s="26">
        <v>80</v>
      </c>
      <c r="K199" s="26">
        <v>80</v>
      </c>
      <c r="L199" s="26">
        <v>80</v>
      </c>
      <c r="M199" s="26">
        <v>80</v>
      </c>
      <c r="N199" s="26">
        <v>80</v>
      </c>
      <c r="O199" s="26">
        <v>80</v>
      </c>
      <c r="P199" s="26">
        <v>80</v>
      </c>
      <c r="Q199" s="26">
        <v>80</v>
      </c>
      <c r="R199" s="26">
        <v>80</v>
      </c>
      <c r="S199" s="26">
        <v>80</v>
      </c>
      <c r="T199" s="26">
        <v>80</v>
      </c>
      <c r="U199" s="26">
        <v>80</v>
      </c>
      <c r="V199" s="26">
        <v>80</v>
      </c>
      <c r="W199" s="26">
        <v>80</v>
      </c>
      <c r="X199" s="26">
        <v>80</v>
      </c>
      <c r="Y199" s="26">
        <v>80</v>
      </c>
      <c r="Z199" s="26">
        <v>80</v>
      </c>
      <c r="AA199" s="26">
        <v>80</v>
      </c>
      <c r="AB199" s="26">
        <v>80</v>
      </c>
      <c r="AC199" s="26">
        <v>80</v>
      </c>
      <c r="AD199" s="26">
        <v>80</v>
      </c>
      <c r="AE199" s="26">
        <v>80</v>
      </c>
      <c r="AF199" s="26">
        <v>80</v>
      </c>
      <c r="AG199" s="26">
        <v>80</v>
      </c>
      <c r="AH199" s="26">
        <v>80</v>
      </c>
      <c r="AI199" s="26">
        <v>80</v>
      </c>
      <c r="AJ199" s="26">
        <v>80</v>
      </c>
    </row>
    <row r="200" spans="1:36" x14ac:dyDescent="0.25">
      <c r="A200" s="80" t="s">
        <v>686</v>
      </c>
      <c r="B200" t="s">
        <v>309</v>
      </c>
      <c r="C200" s="26">
        <v>0</v>
      </c>
      <c r="D200" s="26">
        <v>0</v>
      </c>
      <c r="E200" s="26">
        <v>0</v>
      </c>
      <c r="F200" s="26">
        <v>0</v>
      </c>
      <c r="G200" s="26">
        <v>0</v>
      </c>
      <c r="H200" s="26">
        <v>0</v>
      </c>
      <c r="I200" s="26">
        <v>0</v>
      </c>
      <c r="J200" s="26">
        <v>0</v>
      </c>
      <c r="K200" s="26">
        <v>0</v>
      </c>
      <c r="L200" s="26">
        <v>0</v>
      </c>
      <c r="M200" s="26">
        <v>0</v>
      </c>
      <c r="N200" s="26">
        <v>0</v>
      </c>
      <c r="O200" s="26">
        <v>0</v>
      </c>
      <c r="P200" s="26">
        <v>0</v>
      </c>
      <c r="Q200" s="26">
        <v>0</v>
      </c>
      <c r="R200" s="26">
        <v>0</v>
      </c>
      <c r="S200" s="26">
        <v>0</v>
      </c>
      <c r="T200" s="26">
        <v>0</v>
      </c>
      <c r="U200" s="26">
        <v>0</v>
      </c>
      <c r="V200" s="26">
        <v>0</v>
      </c>
      <c r="W200" s="26">
        <v>0</v>
      </c>
      <c r="X200" s="26">
        <v>0</v>
      </c>
      <c r="Y200" s="26">
        <v>0</v>
      </c>
      <c r="Z200" s="26">
        <v>0</v>
      </c>
      <c r="AA200" s="26">
        <v>0</v>
      </c>
      <c r="AB200" s="26">
        <v>0</v>
      </c>
      <c r="AC200" s="26">
        <v>0</v>
      </c>
      <c r="AD200" s="26">
        <v>0</v>
      </c>
      <c r="AE200" s="26">
        <v>0</v>
      </c>
      <c r="AF200" s="26">
        <v>0</v>
      </c>
      <c r="AG200" s="26">
        <v>0</v>
      </c>
      <c r="AH200" s="26">
        <v>0</v>
      </c>
      <c r="AI200" s="26">
        <v>0</v>
      </c>
      <c r="AJ200" s="26">
        <v>0</v>
      </c>
    </row>
    <row r="201" spans="1:36" x14ac:dyDescent="0.25">
      <c r="A201" s="80" t="s">
        <v>687</v>
      </c>
      <c r="B201" t="s">
        <v>309</v>
      </c>
      <c r="C201" s="26">
        <v>0</v>
      </c>
      <c r="D201" s="26">
        <v>0</v>
      </c>
      <c r="E201" s="26">
        <v>0</v>
      </c>
      <c r="F201" s="26">
        <v>0</v>
      </c>
      <c r="G201" s="26">
        <v>0</v>
      </c>
      <c r="H201" s="26">
        <v>0</v>
      </c>
      <c r="I201" s="26">
        <v>0</v>
      </c>
      <c r="J201" s="26">
        <v>0</v>
      </c>
      <c r="K201" s="26">
        <v>0</v>
      </c>
      <c r="L201" s="26">
        <v>0</v>
      </c>
      <c r="M201" s="26">
        <v>0</v>
      </c>
      <c r="N201" s="26">
        <v>0</v>
      </c>
      <c r="O201" s="26">
        <v>0</v>
      </c>
      <c r="P201" s="26">
        <v>0</v>
      </c>
      <c r="Q201" s="26">
        <v>0</v>
      </c>
      <c r="R201" s="26">
        <v>0</v>
      </c>
      <c r="S201" s="26">
        <v>0</v>
      </c>
      <c r="T201" s="26">
        <v>0</v>
      </c>
      <c r="U201" s="26">
        <v>0</v>
      </c>
      <c r="V201" s="26">
        <v>0</v>
      </c>
      <c r="W201" s="26">
        <v>0</v>
      </c>
      <c r="X201" s="26">
        <v>0</v>
      </c>
      <c r="Y201" s="26">
        <v>0</v>
      </c>
      <c r="Z201" s="26">
        <v>0</v>
      </c>
      <c r="AA201" s="26">
        <v>0</v>
      </c>
      <c r="AB201" s="26">
        <v>0</v>
      </c>
      <c r="AC201" s="26">
        <v>0</v>
      </c>
      <c r="AD201" s="26">
        <v>0</v>
      </c>
      <c r="AE201" s="26">
        <v>0</v>
      </c>
      <c r="AF201" s="26">
        <v>0</v>
      </c>
      <c r="AG201" s="26">
        <v>0</v>
      </c>
      <c r="AH201" s="26">
        <v>0</v>
      </c>
      <c r="AI201" s="26">
        <v>0</v>
      </c>
      <c r="AJ201" s="26">
        <v>0</v>
      </c>
    </row>
    <row r="202" spans="1:36" x14ac:dyDescent="0.25">
      <c r="A202" s="80" t="s">
        <v>688</v>
      </c>
      <c r="B202" t="s">
        <v>309</v>
      </c>
      <c r="C202" s="26">
        <v>5</v>
      </c>
      <c r="D202" s="26">
        <v>5</v>
      </c>
      <c r="E202" s="26">
        <v>5</v>
      </c>
      <c r="F202" s="26">
        <v>5</v>
      </c>
      <c r="G202" s="26">
        <v>5</v>
      </c>
      <c r="H202" s="26">
        <v>5</v>
      </c>
      <c r="I202" s="26">
        <v>5</v>
      </c>
      <c r="J202" s="26">
        <v>5</v>
      </c>
      <c r="K202" s="26">
        <v>5</v>
      </c>
      <c r="L202" s="26">
        <v>5</v>
      </c>
      <c r="M202" s="26">
        <v>5</v>
      </c>
      <c r="N202" s="26">
        <v>5</v>
      </c>
      <c r="O202" s="26">
        <v>5</v>
      </c>
      <c r="P202" s="26">
        <v>5</v>
      </c>
      <c r="Q202" s="26">
        <v>5</v>
      </c>
      <c r="R202" s="26">
        <v>5</v>
      </c>
      <c r="S202" s="26">
        <v>5</v>
      </c>
      <c r="T202" s="26">
        <v>5</v>
      </c>
      <c r="U202" s="26">
        <v>5</v>
      </c>
      <c r="V202" s="26">
        <v>5</v>
      </c>
      <c r="W202" s="26">
        <v>5</v>
      </c>
      <c r="X202" s="26">
        <v>5</v>
      </c>
      <c r="Y202" s="26">
        <v>5</v>
      </c>
      <c r="Z202" s="26">
        <v>5</v>
      </c>
      <c r="AA202" s="26">
        <v>5</v>
      </c>
      <c r="AB202" s="26">
        <v>5</v>
      </c>
      <c r="AC202" s="26">
        <v>5</v>
      </c>
      <c r="AD202" s="26">
        <v>5</v>
      </c>
      <c r="AE202" s="26">
        <v>5</v>
      </c>
      <c r="AF202" s="26">
        <v>5</v>
      </c>
      <c r="AG202" s="26">
        <v>5</v>
      </c>
      <c r="AH202" s="26">
        <v>5</v>
      </c>
      <c r="AI202" s="26">
        <v>5</v>
      </c>
      <c r="AJ202" s="26">
        <v>5</v>
      </c>
    </row>
    <row r="203" spans="1:36" x14ac:dyDescent="0.25">
      <c r="A203" s="80" t="s">
        <v>689</v>
      </c>
      <c r="B203" t="s">
        <v>309</v>
      </c>
      <c r="C203" s="26">
        <v>0</v>
      </c>
      <c r="D203" s="26">
        <v>0</v>
      </c>
      <c r="E203" s="26">
        <v>0</v>
      </c>
      <c r="F203" s="26">
        <v>0</v>
      </c>
      <c r="G203" s="26">
        <v>0</v>
      </c>
      <c r="H203" s="26">
        <v>0</v>
      </c>
      <c r="I203" s="26">
        <v>0</v>
      </c>
      <c r="J203" s="26">
        <v>0</v>
      </c>
      <c r="K203" s="26">
        <v>0</v>
      </c>
      <c r="L203" s="26">
        <v>0</v>
      </c>
      <c r="M203" s="26">
        <v>0</v>
      </c>
      <c r="N203" s="26">
        <v>0</v>
      </c>
      <c r="O203" s="26">
        <v>0</v>
      </c>
      <c r="P203" s="26">
        <v>0</v>
      </c>
      <c r="Q203" s="26">
        <v>0</v>
      </c>
      <c r="R203" s="26">
        <v>0</v>
      </c>
      <c r="S203" s="26">
        <v>0</v>
      </c>
      <c r="T203" s="26">
        <v>0</v>
      </c>
      <c r="U203" s="26">
        <v>0</v>
      </c>
      <c r="V203" s="26">
        <v>0</v>
      </c>
      <c r="W203" s="26">
        <v>0</v>
      </c>
      <c r="X203" s="26">
        <v>0</v>
      </c>
      <c r="Y203" s="26">
        <v>0</v>
      </c>
      <c r="Z203" s="26">
        <v>0</v>
      </c>
      <c r="AA203" s="26">
        <v>0</v>
      </c>
      <c r="AB203" s="26">
        <v>0</v>
      </c>
      <c r="AC203" s="26">
        <v>0</v>
      </c>
      <c r="AD203" s="26">
        <v>0</v>
      </c>
      <c r="AE203" s="26">
        <v>0</v>
      </c>
      <c r="AF203" s="26">
        <v>0</v>
      </c>
      <c r="AG203" s="26">
        <v>0</v>
      </c>
      <c r="AH203" s="26">
        <v>0</v>
      </c>
      <c r="AI203" s="26">
        <v>0</v>
      </c>
      <c r="AJ203" s="26">
        <v>0</v>
      </c>
    </row>
    <row r="204" spans="1:36" x14ac:dyDescent="0.25">
      <c r="A204" s="80" t="s">
        <v>690</v>
      </c>
      <c r="B204" t="s">
        <v>309</v>
      </c>
      <c r="C204" s="26">
        <v>0</v>
      </c>
      <c r="D204" s="26">
        <v>0</v>
      </c>
      <c r="E204" s="26">
        <v>0</v>
      </c>
      <c r="F204" s="26">
        <v>0</v>
      </c>
      <c r="G204" s="26">
        <v>0</v>
      </c>
      <c r="H204" s="26">
        <v>0</v>
      </c>
      <c r="I204" s="26">
        <v>0</v>
      </c>
      <c r="J204" s="26">
        <v>0</v>
      </c>
      <c r="K204" s="26">
        <v>0</v>
      </c>
      <c r="L204" s="26">
        <v>0</v>
      </c>
      <c r="M204" s="26">
        <v>0</v>
      </c>
      <c r="N204" s="26">
        <v>0</v>
      </c>
      <c r="O204" s="26">
        <v>0</v>
      </c>
      <c r="P204" s="26">
        <v>0</v>
      </c>
      <c r="Q204" s="26">
        <v>0</v>
      </c>
      <c r="R204" s="26">
        <v>0</v>
      </c>
      <c r="S204" s="26">
        <v>0</v>
      </c>
      <c r="T204" s="26">
        <v>0</v>
      </c>
      <c r="U204" s="26">
        <v>0</v>
      </c>
      <c r="V204" s="26">
        <v>0</v>
      </c>
      <c r="W204" s="26">
        <v>0</v>
      </c>
      <c r="X204" s="26">
        <v>0</v>
      </c>
      <c r="Y204" s="26">
        <v>0</v>
      </c>
      <c r="Z204" s="26">
        <v>0</v>
      </c>
      <c r="AA204" s="26">
        <v>0</v>
      </c>
      <c r="AB204" s="26">
        <v>0</v>
      </c>
      <c r="AC204" s="26">
        <v>0</v>
      </c>
      <c r="AD204" s="26">
        <v>0</v>
      </c>
      <c r="AE204" s="26">
        <v>0</v>
      </c>
      <c r="AF204" s="26">
        <v>0</v>
      </c>
      <c r="AG204" s="26">
        <v>0</v>
      </c>
      <c r="AH204" s="26">
        <v>0</v>
      </c>
      <c r="AI204" s="26">
        <v>0</v>
      </c>
      <c r="AJ204" s="26">
        <v>0</v>
      </c>
    </row>
    <row r="205" spans="1:36" x14ac:dyDescent="0.25">
      <c r="A205" s="80" t="s">
        <v>691</v>
      </c>
      <c r="B205" t="s">
        <v>309</v>
      </c>
      <c r="C205" s="26">
        <v>15</v>
      </c>
      <c r="D205" s="26">
        <v>15</v>
      </c>
      <c r="E205" s="26">
        <v>15</v>
      </c>
      <c r="F205" s="26">
        <v>15</v>
      </c>
      <c r="G205" s="26">
        <v>15</v>
      </c>
      <c r="H205" s="26">
        <v>15</v>
      </c>
      <c r="I205" s="26">
        <v>15</v>
      </c>
      <c r="J205" s="26">
        <v>15</v>
      </c>
      <c r="K205" s="26">
        <v>15</v>
      </c>
      <c r="L205" s="26">
        <v>15</v>
      </c>
      <c r="M205" s="26">
        <v>15</v>
      </c>
      <c r="N205" s="26">
        <v>15</v>
      </c>
      <c r="O205" s="26">
        <v>15</v>
      </c>
      <c r="P205" s="26">
        <v>15</v>
      </c>
      <c r="Q205" s="26">
        <v>15</v>
      </c>
      <c r="R205" s="26">
        <v>15</v>
      </c>
      <c r="S205" s="26">
        <v>15</v>
      </c>
      <c r="T205" s="26">
        <v>15</v>
      </c>
      <c r="U205" s="26">
        <v>15</v>
      </c>
      <c r="V205" s="26">
        <v>15</v>
      </c>
      <c r="W205" s="26">
        <v>15</v>
      </c>
      <c r="X205" s="26">
        <v>15</v>
      </c>
      <c r="Y205" s="26">
        <v>15</v>
      </c>
      <c r="Z205" s="26">
        <v>15</v>
      </c>
      <c r="AA205" s="26">
        <v>15</v>
      </c>
      <c r="AB205" s="26">
        <v>15</v>
      </c>
      <c r="AC205" s="26">
        <v>15</v>
      </c>
      <c r="AD205" s="26">
        <v>15</v>
      </c>
      <c r="AE205" s="26">
        <v>15</v>
      </c>
      <c r="AF205" s="26">
        <v>15</v>
      </c>
      <c r="AG205" s="26">
        <v>15</v>
      </c>
      <c r="AH205" s="26">
        <v>15</v>
      </c>
      <c r="AI205" s="26">
        <v>15</v>
      </c>
      <c r="AJ205" s="26">
        <v>15</v>
      </c>
    </row>
    <row r="206" spans="1:36" x14ac:dyDescent="0.25">
      <c r="A206" s="80" t="s">
        <v>692</v>
      </c>
      <c r="B206" t="s">
        <v>309</v>
      </c>
      <c r="C206" s="26">
        <v>0</v>
      </c>
      <c r="D206" s="26">
        <v>0</v>
      </c>
      <c r="E206" s="26">
        <v>0</v>
      </c>
      <c r="F206" s="26">
        <v>0</v>
      </c>
      <c r="G206" s="26">
        <v>0</v>
      </c>
      <c r="H206" s="26">
        <v>0</v>
      </c>
      <c r="I206" s="26">
        <v>0</v>
      </c>
      <c r="J206" s="26">
        <v>0</v>
      </c>
      <c r="K206" s="26">
        <v>0</v>
      </c>
      <c r="L206" s="26">
        <v>0</v>
      </c>
      <c r="M206" s="26">
        <v>0</v>
      </c>
      <c r="N206" s="26">
        <v>0</v>
      </c>
      <c r="O206" s="26">
        <v>0</v>
      </c>
      <c r="P206" s="26">
        <v>0</v>
      </c>
      <c r="Q206" s="26">
        <v>0</v>
      </c>
      <c r="R206" s="26">
        <v>0</v>
      </c>
      <c r="S206" s="26">
        <v>0</v>
      </c>
      <c r="T206" s="26">
        <v>0</v>
      </c>
      <c r="U206" s="26">
        <v>0</v>
      </c>
      <c r="V206" s="26">
        <v>0</v>
      </c>
      <c r="W206" s="26">
        <v>0</v>
      </c>
      <c r="X206" s="26">
        <v>0</v>
      </c>
      <c r="Y206" s="26">
        <v>0</v>
      </c>
      <c r="Z206" s="26">
        <v>0</v>
      </c>
      <c r="AA206" s="26">
        <v>0</v>
      </c>
      <c r="AB206" s="26">
        <v>0</v>
      </c>
      <c r="AC206" s="26">
        <v>0</v>
      </c>
      <c r="AD206" s="26">
        <v>0</v>
      </c>
      <c r="AE206" s="26">
        <v>0</v>
      </c>
      <c r="AF206" s="26">
        <v>0</v>
      </c>
      <c r="AG206" s="26">
        <v>0</v>
      </c>
      <c r="AH206" s="26">
        <v>0</v>
      </c>
      <c r="AI206" s="26">
        <v>0</v>
      </c>
      <c r="AJ206" s="26">
        <v>0</v>
      </c>
    </row>
    <row r="207" spans="1:36" x14ac:dyDescent="0.25">
      <c r="A207" s="80" t="s">
        <v>868</v>
      </c>
      <c r="B207" t="s">
        <v>309</v>
      </c>
      <c r="C207" s="26">
        <v>0</v>
      </c>
      <c r="D207" s="26">
        <v>0</v>
      </c>
      <c r="E207" s="26">
        <v>0</v>
      </c>
      <c r="F207" s="26">
        <v>0</v>
      </c>
      <c r="G207" s="26">
        <v>0</v>
      </c>
      <c r="H207" s="26">
        <v>0</v>
      </c>
      <c r="I207" s="26">
        <v>0</v>
      </c>
      <c r="J207" s="26">
        <v>0</v>
      </c>
      <c r="K207" s="26">
        <v>0</v>
      </c>
      <c r="L207" s="26">
        <v>0</v>
      </c>
      <c r="M207" s="26">
        <v>0</v>
      </c>
      <c r="N207" s="26">
        <v>0</v>
      </c>
      <c r="O207" s="26">
        <v>0</v>
      </c>
      <c r="P207" s="26">
        <v>0</v>
      </c>
      <c r="Q207" s="26">
        <v>0</v>
      </c>
      <c r="R207" s="26">
        <v>0</v>
      </c>
      <c r="S207" s="26">
        <v>0</v>
      </c>
      <c r="T207" s="26">
        <v>0</v>
      </c>
      <c r="U207" s="26">
        <v>0</v>
      </c>
      <c r="V207" s="26">
        <v>0</v>
      </c>
      <c r="W207" s="26">
        <v>0</v>
      </c>
      <c r="X207" s="26">
        <v>0</v>
      </c>
      <c r="Y207" s="26">
        <v>0</v>
      </c>
      <c r="Z207" s="26">
        <v>0</v>
      </c>
      <c r="AA207" s="26">
        <v>0</v>
      </c>
      <c r="AB207" s="26">
        <v>0</v>
      </c>
      <c r="AC207" s="26">
        <v>0</v>
      </c>
      <c r="AD207" s="26">
        <v>0</v>
      </c>
      <c r="AE207" s="26">
        <v>0</v>
      </c>
      <c r="AF207" s="26">
        <v>0</v>
      </c>
      <c r="AG207" s="26">
        <v>0</v>
      </c>
      <c r="AH207" s="26">
        <v>0</v>
      </c>
      <c r="AI207" s="26">
        <v>0</v>
      </c>
      <c r="AJ207" s="26">
        <v>0</v>
      </c>
    </row>
    <row r="208" spans="1:36" s="81" customFormat="1" x14ac:dyDescent="0.25">
      <c r="A208" s="81" t="s">
        <v>882</v>
      </c>
      <c r="C208" s="82">
        <f>+SUM(C197:C207)</f>
        <v>100</v>
      </c>
      <c r="D208" s="82">
        <f t="shared" ref="D208" si="430">+SUM(D197:D207)</f>
        <v>100</v>
      </c>
      <c r="E208" s="82">
        <f t="shared" ref="E208" si="431">+SUM(E197:E207)</f>
        <v>100</v>
      </c>
      <c r="F208" s="82">
        <f t="shared" ref="F208" si="432">+SUM(F197:F207)</f>
        <v>100</v>
      </c>
      <c r="G208" s="82">
        <f t="shared" ref="G208" si="433">+SUM(G197:G207)</f>
        <v>100</v>
      </c>
      <c r="H208" s="82">
        <f t="shared" ref="H208" si="434">+SUM(H197:H207)</f>
        <v>100</v>
      </c>
      <c r="I208" s="82">
        <f t="shared" ref="I208" si="435">+SUM(I197:I207)</f>
        <v>100</v>
      </c>
      <c r="J208" s="82">
        <f t="shared" ref="J208" si="436">+SUM(J197:J207)</f>
        <v>100</v>
      </c>
      <c r="K208" s="82">
        <f t="shared" ref="K208" si="437">+SUM(K197:K207)</f>
        <v>100</v>
      </c>
      <c r="L208" s="82">
        <f t="shared" ref="L208" si="438">+SUM(L197:L207)</f>
        <v>100</v>
      </c>
      <c r="M208" s="82">
        <f t="shared" ref="M208" si="439">+SUM(M197:M207)</f>
        <v>100</v>
      </c>
      <c r="N208" s="82">
        <f t="shared" ref="N208" si="440">+SUM(N197:N207)</f>
        <v>100</v>
      </c>
      <c r="O208" s="82">
        <f t="shared" ref="O208" si="441">+SUM(O197:O207)</f>
        <v>100</v>
      </c>
      <c r="P208" s="82">
        <f t="shared" ref="P208" si="442">+SUM(P197:P207)</f>
        <v>100</v>
      </c>
      <c r="Q208" s="82">
        <f t="shared" ref="Q208" si="443">+SUM(Q197:Q207)</f>
        <v>100</v>
      </c>
      <c r="R208" s="82">
        <f t="shared" ref="R208" si="444">+SUM(R197:R207)</f>
        <v>100</v>
      </c>
      <c r="S208" s="82">
        <f t="shared" ref="S208" si="445">+SUM(S197:S207)</f>
        <v>100</v>
      </c>
      <c r="T208" s="82">
        <f t="shared" ref="T208" si="446">+SUM(T197:T207)</f>
        <v>100</v>
      </c>
      <c r="U208" s="82">
        <f t="shared" ref="U208" si="447">+SUM(U197:U207)</f>
        <v>100</v>
      </c>
      <c r="V208" s="82">
        <f t="shared" ref="V208" si="448">+SUM(V197:V207)</f>
        <v>100</v>
      </c>
      <c r="W208" s="82">
        <f t="shared" ref="W208" si="449">+SUM(W197:W207)</f>
        <v>100</v>
      </c>
      <c r="X208" s="82">
        <f t="shared" ref="X208" si="450">+SUM(X197:X207)</f>
        <v>100</v>
      </c>
      <c r="Y208" s="82">
        <f t="shared" ref="Y208" si="451">+SUM(Y197:Y207)</f>
        <v>100</v>
      </c>
      <c r="Z208" s="82">
        <f t="shared" ref="Z208" si="452">+SUM(Z197:Z207)</f>
        <v>100</v>
      </c>
      <c r="AA208" s="82">
        <f t="shared" ref="AA208" si="453">+SUM(AA197:AA207)</f>
        <v>100</v>
      </c>
      <c r="AB208" s="82">
        <f t="shared" ref="AB208" si="454">+SUM(AB197:AB207)</f>
        <v>100</v>
      </c>
      <c r="AC208" s="82">
        <f t="shared" ref="AC208" si="455">+SUM(AC197:AC207)</f>
        <v>100</v>
      </c>
      <c r="AD208" s="82">
        <f t="shared" ref="AD208" si="456">+SUM(AD197:AD207)</f>
        <v>100</v>
      </c>
      <c r="AE208" s="82">
        <f t="shared" ref="AE208" si="457">+SUM(AE197:AE207)</f>
        <v>100</v>
      </c>
      <c r="AF208" s="82">
        <f t="shared" ref="AF208" si="458">+SUM(AF197:AF207)</f>
        <v>100</v>
      </c>
      <c r="AG208" s="82">
        <f t="shared" ref="AG208" si="459">+SUM(AG197:AG207)</f>
        <v>100</v>
      </c>
      <c r="AH208" s="82">
        <f t="shared" ref="AH208" si="460">+SUM(AH197:AH207)</f>
        <v>100</v>
      </c>
      <c r="AI208" s="82">
        <f t="shared" ref="AI208" si="461">+SUM(AI197:AI207)</f>
        <v>100</v>
      </c>
      <c r="AJ208" s="82">
        <f t="shared" ref="AJ208" si="462">+SUM(AJ197:AJ207)</f>
        <v>100</v>
      </c>
    </row>
    <row r="209" spans="1:36" x14ac:dyDescent="0.25">
      <c r="A209" t="s">
        <v>693</v>
      </c>
      <c r="B209" t="s">
        <v>309</v>
      </c>
      <c r="C209" s="26">
        <v>0</v>
      </c>
      <c r="D209" s="26">
        <v>0</v>
      </c>
      <c r="E209" s="26">
        <v>0</v>
      </c>
      <c r="F209" s="26">
        <v>0</v>
      </c>
      <c r="G209" s="26">
        <v>0</v>
      </c>
      <c r="H209" s="26">
        <v>0</v>
      </c>
      <c r="I209" s="26">
        <v>0</v>
      </c>
      <c r="J209" s="26">
        <v>0</v>
      </c>
      <c r="K209" s="26">
        <v>0</v>
      </c>
      <c r="L209" s="26">
        <v>0</v>
      </c>
      <c r="M209" s="26">
        <v>0</v>
      </c>
      <c r="N209" s="26">
        <v>0</v>
      </c>
      <c r="O209" s="26">
        <v>0</v>
      </c>
      <c r="P209" s="26">
        <v>0</v>
      </c>
      <c r="Q209" s="26">
        <v>0</v>
      </c>
      <c r="R209" s="26">
        <v>0</v>
      </c>
      <c r="S209" s="26">
        <v>0</v>
      </c>
      <c r="T209" s="26">
        <v>0</v>
      </c>
      <c r="U209" s="26">
        <v>0</v>
      </c>
      <c r="V209" s="26">
        <v>0</v>
      </c>
      <c r="W209" s="26">
        <v>0</v>
      </c>
      <c r="X209" s="26">
        <v>0</v>
      </c>
      <c r="Y209" s="26">
        <v>0</v>
      </c>
      <c r="Z209" s="26">
        <v>0</v>
      </c>
      <c r="AA209" s="26">
        <v>0</v>
      </c>
      <c r="AB209" s="26">
        <v>0</v>
      </c>
      <c r="AC209" s="26">
        <v>0</v>
      </c>
      <c r="AD209" s="26">
        <v>0</v>
      </c>
      <c r="AE209" s="26">
        <v>0</v>
      </c>
      <c r="AF209" s="26">
        <v>0</v>
      </c>
      <c r="AG209" s="26">
        <v>0</v>
      </c>
      <c r="AH209" s="26">
        <v>0</v>
      </c>
      <c r="AI209" s="26">
        <v>0</v>
      </c>
      <c r="AJ209" s="26">
        <v>0</v>
      </c>
    </row>
    <row r="210" spans="1:36" x14ac:dyDescent="0.25">
      <c r="A210" t="s">
        <v>694</v>
      </c>
      <c r="B210" t="s">
        <v>309</v>
      </c>
      <c r="C210" s="26">
        <v>5</v>
      </c>
      <c r="D210" s="26">
        <v>5</v>
      </c>
      <c r="E210" s="26">
        <v>5</v>
      </c>
      <c r="F210" s="26">
        <v>5</v>
      </c>
      <c r="G210" s="26">
        <v>5</v>
      </c>
      <c r="H210" s="26">
        <v>5</v>
      </c>
      <c r="I210" s="26">
        <v>5</v>
      </c>
      <c r="J210" s="26">
        <v>5</v>
      </c>
      <c r="K210" s="26">
        <v>5</v>
      </c>
      <c r="L210" s="26">
        <v>5</v>
      </c>
      <c r="M210" s="26">
        <v>5</v>
      </c>
      <c r="N210" s="26">
        <v>5</v>
      </c>
      <c r="O210" s="26">
        <v>5</v>
      </c>
      <c r="P210" s="26">
        <v>5</v>
      </c>
      <c r="Q210" s="26">
        <v>5</v>
      </c>
      <c r="R210" s="26">
        <v>5</v>
      </c>
      <c r="S210" s="26">
        <v>5</v>
      </c>
      <c r="T210" s="26">
        <v>5</v>
      </c>
      <c r="U210" s="26">
        <v>5</v>
      </c>
      <c r="V210" s="26">
        <v>5</v>
      </c>
      <c r="W210" s="26">
        <v>5</v>
      </c>
      <c r="X210" s="26">
        <v>5</v>
      </c>
      <c r="Y210" s="26">
        <v>5</v>
      </c>
      <c r="Z210" s="26">
        <v>5</v>
      </c>
      <c r="AA210" s="26">
        <v>5</v>
      </c>
      <c r="AB210" s="26">
        <v>5</v>
      </c>
      <c r="AC210" s="26">
        <v>5</v>
      </c>
      <c r="AD210" s="26">
        <v>5</v>
      </c>
      <c r="AE210" s="26">
        <v>5</v>
      </c>
      <c r="AF210" s="26">
        <v>5</v>
      </c>
      <c r="AG210" s="26">
        <v>5</v>
      </c>
      <c r="AH210" s="26">
        <v>5</v>
      </c>
      <c r="AI210" s="26">
        <v>5</v>
      </c>
      <c r="AJ210" s="26">
        <v>5</v>
      </c>
    </row>
    <row r="211" spans="1:36" x14ac:dyDescent="0.25">
      <c r="A211" t="s">
        <v>695</v>
      </c>
      <c r="B211" t="s">
        <v>309</v>
      </c>
      <c r="C211" s="26">
        <v>70</v>
      </c>
      <c r="D211" s="26">
        <v>70</v>
      </c>
      <c r="E211" s="26">
        <v>70</v>
      </c>
      <c r="F211" s="26">
        <v>70</v>
      </c>
      <c r="G211" s="26">
        <v>70</v>
      </c>
      <c r="H211" s="26">
        <v>70</v>
      </c>
      <c r="I211" s="26">
        <v>70</v>
      </c>
      <c r="J211" s="26">
        <v>70</v>
      </c>
      <c r="K211" s="26">
        <v>70</v>
      </c>
      <c r="L211" s="26">
        <v>70</v>
      </c>
      <c r="M211" s="26">
        <v>70</v>
      </c>
      <c r="N211" s="26">
        <v>70</v>
      </c>
      <c r="O211" s="26">
        <v>70</v>
      </c>
      <c r="P211" s="26">
        <v>70</v>
      </c>
      <c r="Q211" s="26">
        <v>70</v>
      </c>
      <c r="R211" s="26">
        <v>70</v>
      </c>
      <c r="S211" s="26">
        <v>70</v>
      </c>
      <c r="T211" s="26">
        <v>70</v>
      </c>
      <c r="U211" s="26">
        <v>70</v>
      </c>
      <c r="V211" s="26">
        <v>70</v>
      </c>
      <c r="W211" s="26">
        <v>70</v>
      </c>
      <c r="X211" s="26">
        <v>70</v>
      </c>
      <c r="Y211" s="26">
        <v>70</v>
      </c>
      <c r="Z211" s="26">
        <v>70</v>
      </c>
      <c r="AA211" s="26">
        <v>70</v>
      </c>
      <c r="AB211" s="26">
        <v>70</v>
      </c>
      <c r="AC211" s="26">
        <v>70</v>
      </c>
      <c r="AD211" s="26">
        <v>70</v>
      </c>
      <c r="AE211" s="26">
        <v>70</v>
      </c>
      <c r="AF211" s="26">
        <v>70</v>
      </c>
      <c r="AG211" s="26">
        <v>70</v>
      </c>
      <c r="AH211" s="26">
        <v>70</v>
      </c>
      <c r="AI211" s="26">
        <v>70</v>
      </c>
      <c r="AJ211" s="26">
        <v>70</v>
      </c>
    </row>
    <row r="212" spans="1:36" x14ac:dyDescent="0.25">
      <c r="A212" t="s">
        <v>696</v>
      </c>
      <c r="B212" t="s">
        <v>309</v>
      </c>
      <c r="C212" s="26">
        <v>0</v>
      </c>
      <c r="D212" s="26">
        <v>0</v>
      </c>
      <c r="E212" s="26">
        <v>0</v>
      </c>
      <c r="F212" s="26">
        <v>0</v>
      </c>
      <c r="G212" s="26">
        <v>0</v>
      </c>
      <c r="H212" s="26">
        <v>0</v>
      </c>
      <c r="I212" s="26">
        <v>0</v>
      </c>
      <c r="J212" s="26">
        <v>0</v>
      </c>
      <c r="K212" s="26">
        <v>0</v>
      </c>
      <c r="L212" s="26">
        <v>0</v>
      </c>
      <c r="M212" s="26">
        <v>0</v>
      </c>
      <c r="N212" s="26">
        <v>0</v>
      </c>
      <c r="O212" s="26">
        <v>0</v>
      </c>
      <c r="P212" s="26">
        <v>0</v>
      </c>
      <c r="Q212" s="26">
        <v>0</v>
      </c>
      <c r="R212" s="26">
        <v>0</v>
      </c>
      <c r="S212" s="26">
        <v>0</v>
      </c>
      <c r="T212" s="26">
        <v>0</v>
      </c>
      <c r="U212" s="26">
        <v>0</v>
      </c>
      <c r="V212" s="26">
        <v>0</v>
      </c>
      <c r="W212" s="26">
        <v>0</v>
      </c>
      <c r="X212" s="26">
        <v>0</v>
      </c>
      <c r="Y212" s="26">
        <v>0</v>
      </c>
      <c r="Z212" s="26">
        <v>0</v>
      </c>
      <c r="AA212" s="26">
        <v>0</v>
      </c>
      <c r="AB212" s="26">
        <v>0</v>
      </c>
      <c r="AC212" s="26">
        <v>0</v>
      </c>
      <c r="AD212" s="26">
        <v>0</v>
      </c>
      <c r="AE212" s="26">
        <v>0</v>
      </c>
      <c r="AF212" s="26">
        <v>0</v>
      </c>
      <c r="AG212" s="26">
        <v>0</v>
      </c>
      <c r="AH212" s="26">
        <v>0</v>
      </c>
      <c r="AI212" s="26">
        <v>0</v>
      </c>
      <c r="AJ212" s="26">
        <v>0</v>
      </c>
    </row>
    <row r="213" spans="1:36" x14ac:dyDescent="0.25">
      <c r="A213" t="s">
        <v>697</v>
      </c>
      <c r="B213" t="s">
        <v>309</v>
      </c>
      <c r="C213" s="26">
        <v>5</v>
      </c>
      <c r="D213" s="26">
        <v>5</v>
      </c>
      <c r="E213" s="26">
        <v>5</v>
      </c>
      <c r="F213" s="26">
        <v>5</v>
      </c>
      <c r="G213" s="26">
        <v>5</v>
      </c>
      <c r="H213" s="26">
        <v>5</v>
      </c>
      <c r="I213" s="26">
        <v>5</v>
      </c>
      <c r="J213" s="26">
        <v>5</v>
      </c>
      <c r="K213" s="26">
        <v>5</v>
      </c>
      <c r="L213" s="26">
        <v>5</v>
      </c>
      <c r="M213" s="26">
        <v>5</v>
      </c>
      <c r="N213" s="26">
        <v>5</v>
      </c>
      <c r="O213" s="26">
        <v>5</v>
      </c>
      <c r="P213" s="26">
        <v>5</v>
      </c>
      <c r="Q213" s="26">
        <v>5</v>
      </c>
      <c r="R213" s="26">
        <v>5</v>
      </c>
      <c r="S213" s="26">
        <v>5</v>
      </c>
      <c r="T213" s="26">
        <v>5</v>
      </c>
      <c r="U213" s="26">
        <v>5</v>
      </c>
      <c r="V213" s="26">
        <v>5</v>
      </c>
      <c r="W213" s="26">
        <v>5</v>
      </c>
      <c r="X213" s="26">
        <v>5</v>
      </c>
      <c r="Y213" s="26">
        <v>5</v>
      </c>
      <c r="Z213" s="26">
        <v>5</v>
      </c>
      <c r="AA213" s="26">
        <v>5</v>
      </c>
      <c r="AB213" s="26">
        <v>5</v>
      </c>
      <c r="AC213" s="26">
        <v>5</v>
      </c>
      <c r="AD213" s="26">
        <v>5</v>
      </c>
      <c r="AE213" s="26">
        <v>5</v>
      </c>
      <c r="AF213" s="26">
        <v>5</v>
      </c>
      <c r="AG213" s="26">
        <v>5</v>
      </c>
      <c r="AH213" s="26">
        <v>5</v>
      </c>
      <c r="AI213" s="26">
        <v>5</v>
      </c>
      <c r="AJ213" s="26">
        <v>5</v>
      </c>
    </row>
    <row r="214" spans="1:36" x14ac:dyDescent="0.25">
      <c r="A214" t="s">
        <v>698</v>
      </c>
      <c r="B214" t="s">
        <v>309</v>
      </c>
      <c r="C214" s="26">
        <v>10</v>
      </c>
      <c r="D214" s="26">
        <v>10</v>
      </c>
      <c r="E214" s="26">
        <v>10</v>
      </c>
      <c r="F214" s="26">
        <v>10</v>
      </c>
      <c r="G214" s="26">
        <v>10</v>
      </c>
      <c r="H214" s="26">
        <v>10</v>
      </c>
      <c r="I214" s="26">
        <v>10</v>
      </c>
      <c r="J214" s="26">
        <v>10</v>
      </c>
      <c r="K214" s="26">
        <v>10</v>
      </c>
      <c r="L214" s="26">
        <v>10</v>
      </c>
      <c r="M214" s="26">
        <v>10</v>
      </c>
      <c r="N214" s="26">
        <v>10</v>
      </c>
      <c r="O214" s="26">
        <v>10</v>
      </c>
      <c r="P214" s="26">
        <v>10</v>
      </c>
      <c r="Q214" s="26">
        <v>10</v>
      </c>
      <c r="R214" s="26">
        <v>10</v>
      </c>
      <c r="S214" s="26">
        <v>10</v>
      </c>
      <c r="T214" s="26">
        <v>10</v>
      </c>
      <c r="U214" s="26">
        <v>10</v>
      </c>
      <c r="V214" s="26">
        <v>10</v>
      </c>
      <c r="W214" s="26">
        <v>10</v>
      </c>
      <c r="X214" s="26">
        <v>10</v>
      </c>
      <c r="Y214" s="26">
        <v>10</v>
      </c>
      <c r="Z214" s="26">
        <v>10</v>
      </c>
      <c r="AA214" s="26">
        <v>10</v>
      </c>
      <c r="AB214" s="26">
        <v>10</v>
      </c>
      <c r="AC214" s="26">
        <v>10</v>
      </c>
      <c r="AD214" s="26">
        <v>10</v>
      </c>
      <c r="AE214" s="26">
        <v>10</v>
      </c>
      <c r="AF214" s="26">
        <v>10</v>
      </c>
      <c r="AG214" s="26">
        <v>10</v>
      </c>
      <c r="AH214" s="26">
        <v>10</v>
      </c>
      <c r="AI214" s="26">
        <v>10</v>
      </c>
      <c r="AJ214" s="26">
        <v>10</v>
      </c>
    </row>
    <row r="215" spans="1:36" x14ac:dyDescent="0.25">
      <c r="A215" t="s">
        <v>699</v>
      </c>
      <c r="B215" t="s">
        <v>309</v>
      </c>
      <c r="C215" s="26">
        <v>0</v>
      </c>
      <c r="D215" s="26">
        <v>0</v>
      </c>
      <c r="E215" s="26">
        <v>0</v>
      </c>
      <c r="F215" s="26">
        <v>0</v>
      </c>
      <c r="G215" s="26">
        <v>0</v>
      </c>
      <c r="H215" s="26">
        <v>0</v>
      </c>
      <c r="I215" s="26">
        <v>0</v>
      </c>
      <c r="J215" s="26">
        <v>0</v>
      </c>
      <c r="K215" s="26">
        <v>0</v>
      </c>
      <c r="L215" s="26">
        <v>0</v>
      </c>
      <c r="M215" s="26">
        <v>0</v>
      </c>
      <c r="N215" s="26">
        <v>0</v>
      </c>
      <c r="O215" s="26">
        <v>0</v>
      </c>
      <c r="P215" s="26">
        <v>0</v>
      </c>
      <c r="Q215" s="26">
        <v>0</v>
      </c>
      <c r="R215" s="26">
        <v>0</v>
      </c>
      <c r="S215" s="26">
        <v>0</v>
      </c>
      <c r="T215" s="26">
        <v>0</v>
      </c>
      <c r="U215" s="26">
        <v>0</v>
      </c>
      <c r="V215" s="26">
        <v>0</v>
      </c>
      <c r="W215" s="26">
        <v>0</v>
      </c>
      <c r="X215" s="26">
        <v>0</v>
      </c>
      <c r="Y215" s="26">
        <v>0</v>
      </c>
      <c r="Z215" s="26">
        <v>0</v>
      </c>
      <c r="AA215" s="26">
        <v>0</v>
      </c>
      <c r="AB215" s="26">
        <v>0</v>
      </c>
      <c r="AC215" s="26">
        <v>0</v>
      </c>
      <c r="AD215" s="26">
        <v>0</v>
      </c>
      <c r="AE215" s="26">
        <v>0</v>
      </c>
      <c r="AF215" s="26">
        <v>0</v>
      </c>
      <c r="AG215" s="26">
        <v>0</v>
      </c>
      <c r="AH215" s="26">
        <v>0</v>
      </c>
      <c r="AI215" s="26">
        <v>0</v>
      </c>
      <c r="AJ215" s="26">
        <v>0</v>
      </c>
    </row>
    <row r="216" spans="1:36" x14ac:dyDescent="0.25">
      <c r="A216" t="s">
        <v>700</v>
      </c>
      <c r="B216" t="s">
        <v>309</v>
      </c>
      <c r="C216" s="26">
        <v>10</v>
      </c>
      <c r="D216" s="26">
        <v>10</v>
      </c>
      <c r="E216" s="26">
        <v>10</v>
      </c>
      <c r="F216" s="26">
        <v>10</v>
      </c>
      <c r="G216" s="26">
        <v>10</v>
      </c>
      <c r="H216" s="26">
        <v>10</v>
      </c>
      <c r="I216" s="26">
        <v>10</v>
      </c>
      <c r="J216" s="26">
        <v>10</v>
      </c>
      <c r="K216" s="26">
        <v>10</v>
      </c>
      <c r="L216" s="26">
        <v>10</v>
      </c>
      <c r="M216" s="26">
        <v>10</v>
      </c>
      <c r="N216" s="26">
        <v>10</v>
      </c>
      <c r="O216" s="26">
        <v>10</v>
      </c>
      <c r="P216" s="26">
        <v>10</v>
      </c>
      <c r="Q216" s="26">
        <v>10</v>
      </c>
      <c r="R216" s="26">
        <v>10</v>
      </c>
      <c r="S216" s="26">
        <v>10</v>
      </c>
      <c r="T216" s="26">
        <v>10</v>
      </c>
      <c r="U216" s="26">
        <v>10</v>
      </c>
      <c r="V216" s="26">
        <v>10</v>
      </c>
      <c r="W216" s="26">
        <v>10</v>
      </c>
      <c r="X216" s="26">
        <v>10</v>
      </c>
      <c r="Y216" s="26">
        <v>10</v>
      </c>
      <c r="Z216" s="26">
        <v>10</v>
      </c>
      <c r="AA216" s="26">
        <v>10</v>
      </c>
      <c r="AB216" s="26">
        <v>10</v>
      </c>
      <c r="AC216" s="26">
        <v>10</v>
      </c>
      <c r="AD216" s="26">
        <v>10</v>
      </c>
      <c r="AE216" s="26">
        <v>10</v>
      </c>
      <c r="AF216" s="26">
        <v>10</v>
      </c>
      <c r="AG216" s="26">
        <v>10</v>
      </c>
      <c r="AH216" s="26">
        <v>10</v>
      </c>
      <c r="AI216" s="26">
        <v>10</v>
      </c>
      <c r="AJ216" s="26">
        <v>10</v>
      </c>
    </row>
    <row r="217" spans="1:36" x14ac:dyDescent="0.25">
      <c r="A217" t="s">
        <v>701</v>
      </c>
      <c r="B217" t="s">
        <v>309</v>
      </c>
      <c r="C217" s="26">
        <v>0</v>
      </c>
      <c r="D217" s="26">
        <v>0</v>
      </c>
      <c r="E217" s="26">
        <v>0</v>
      </c>
      <c r="F217" s="26">
        <v>0</v>
      </c>
      <c r="G217" s="26">
        <v>0</v>
      </c>
      <c r="H217" s="26">
        <v>0</v>
      </c>
      <c r="I217" s="26">
        <v>0</v>
      </c>
      <c r="J217" s="26">
        <v>0</v>
      </c>
      <c r="K217" s="26">
        <v>0</v>
      </c>
      <c r="L217" s="26">
        <v>0</v>
      </c>
      <c r="M217" s="26">
        <v>0</v>
      </c>
      <c r="N217" s="26">
        <v>0</v>
      </c>
      <c r="O217" s="26">
        <v>0</v>
      </c>
      <c r="P217" s="26">
        <v>0</v>
      </c>
      <c r="Q217" s="26">
        <v>0</v>
      </c>
      <c r="R217" s="26">
        <v>0</v>
      </c>
      <c r="S217" s="26">
        <v>0</v>
      </c>
      <c r="T217" s="26">
        <v>0</v>
      </c>
      <c r="U217" s="26">
        <v>0</v>
      </c>
      <c r="V217" s="26">
        <v>0</v>
      </c>
      <c r="W217" s="26">
        <v>0</v>
      </c>
      <c r="X217" s="26">
        <v>0</v>
      </c>
      <c r="Y217" s="26">
        <v>0</v>
      </c>
      <c r="Z217" s="26">
        <v>0</v>
      </c>
      <c r="AA217" s="26">
        <v>0</v>
      </c>
      <c r="AB217" s="26">
        <v>0</v>
      </c>
      <c r="AC217" s="26">
        <v>0</v>
      </c>
      <c r="AD217" s="26">
        <v>0</v>
      </c>
      <c r="AE217" s="26">
        <v>0</v>
      </c>
      <c r="AF217" s="26">
        <v>0</v>
      </c>
      <c r="AG217" s="26">
        <v>0</v>
      </c>
      <c r="AH217" s="26">
        <v>0</v>
      </c>
      <c r="AI217" s="26">
        <v>0</v>
      </c>
      <c r="AJ217" s="26">
        <v>0</v>
      </c>
    </row>
    <row r="218" spans="1:36" x14ac:dyDescent="0.25">
      <c r="A218" t="s">
        <v>702</v>
      </c>
      <c r="B218" t="s">
        <v>309</v>
      </c>
      <c r="C218" s="26">
        <v>0</v>
      </c>
      <c r="D218" s="26">
        <v>0</v>
      </c>
      <c r="E218" s="26">
        <v>0</v>
      </c>
      <c r="F218" s="26">
        <v>0</v>
      </c>
      <c r="G218" s="26">
        <v>0</v>
      </c>
      <c r="H218" s="26">
        <v>0</v>
      </c>
      <c r="I218" s="26">
        <v>0</v>
      </c>
      <c r="J218" s="26">
        <v>0</v>
      </c>
      <c r="K218" s="26">
        <v>0</v>
      </c>
      <c r="L218" s="26">
        <v>0</v>
      </c>
      <c r="M218" s="26">
        <v>0</v>
      </c>
      <c r="N218" s="26">
        <v>0</v>
      </c>
      <c r="O218" s="26">
        <v>0</v>
      </c>
      <c r="P218" s="26">
        <v>0</v>
      </c>
      <c r="Q218" s="26">
        <v>0</v>
      </c>
      <c r="R218" s="26">
        <v>0</v>
      </c>
      <c r="S218" s="26">
        <v>0</v>
      </c>
      <c r="T218" s="26">
        <v>0</v>
      </c>
      <c r="U218" s="26">
        <v>0</v>
      </c>
      <c r="V218" s="26">
        <v>0</v>
      </c>
      <c r="W218" s="26">
        <v>0</v>
      </c>
      <c r="X218" s="26">
        <v>0</v>
      </c>
      <c r="Y218" s="26">
        <v>0</v>
      </c>
      <c r="Z218" s="26">
        <v>0</v>
      </c>
      <c r="AA218" s="26">
        <v>0</v>
      </c>
      <c r="AB218" s="26">
        <v>0</v>
      </c>
      <c r="AC218" s="26">
        <v>0</v>
      </c>
      <c r="AD218" s="26">
        <v>0</v>
      </c>
      <c r="AE218" s="26">
        <v>0</v>
      </c>
      <c r="AF218" s="26">
        <v>0</v>
      </c>
      <c r="AG218" s="26">
        <v>0</v>
      </c>
      <c r="AH218" s="26">
        <v>0</v>
      </c>
      <c r="AI218" s="26">
        <v>0</v>
      </c>
      <c r="AJ218" s="26">
        <v>0</v>
      </c>
    </row>
    <row r="219" spans="1:36" x14ac:dyDescent="0.25">
      <c r="A219" t="s">
        <v>869</v>
      </c>
      <c r="B219" t="s">
        <v>309</v>
      </c>
      <c r="C219" s="26">
        <v>0</v>
      </c>
      <c r="D219" s="26">
        <v>0</v>
      </c>
      <c r="E219" s="26">
        <v>0</v>
      </c>
      <c r="F219" s="26">
        <v>0</v>
      </c>
      <c r="G219" s="26">
        <v>0</v>
      </c>
      <c r="H219" s="26">
        <v>0</v>
      </c>
      <c r="I219" s="26">
        <v>0</v>
      </c>
      <c r="J219" s="26">
        <v>0</v>
      </c>
      <c r="K219" s="26">
        <v>0</v>
      </c>
      <c r="L219" s="26">
        <v>0</v>
      </c>
      <c r="M219" s="26">
        <v>0</v>
      </c>
      <c r="N219" s="26">
        <v>0</v>
      </c>
      <c r="O219" s="26">
        <v>0</v>
      </c>
      <c r="P219" s="26">
        <v>0</v>
      </c>
      <c r="Q219" s="26">
        <v>0</v>
      </c>
      <c r="R219" s="26">
        <v>0</v>
      </c>
      <c r="S219" s="26">
        <v>0</v>
      </c>
      <c r="T219" s="26">
        <v>0</v>
      </c>
      <c r="U219" s="26">
        <v>0</v>
      </c>
      <c r="V219" s="26">
        <v>0</v>
      </c>
      <c r="W219" s="26">
        <v>0</v>
      </c>
      <c r="X219" s="26">
        <v>0</v>
      </c>
      <c r="Y219" s="26">
        <v>0</v>
      </c>
      <c r="Z219" s="26">
        <v>0</v>
      </c>
      <c r="AA219" s="26">
        <v>0</v>
      </c>
      <c r="AB219" s="26">
        <v>0</v>
      </c>
      <c r="AC219" s="26">
        <v>0</v>
      </c>
      <c r="AD219" s="26">
        <v>0</v>
      </c>
      <c r="AE219" s="26">
        <v>0</v>
      </c>
      <c r="AF219" s="26">
        <v>0</v>
      </c>
      <c r="AG219" s="26">
        <v>0</v>
      </c>
      <c r="AH219" s="26">
        <v>0</v>
      </c>
      <c r="AI219" s="26">
        <v>0</v>
      </c>
      <c r="AJ219" s="26">
        <v>0</v>
      </c>
    </row>
    <row r="220" spans="1:36" s="81" customFormat="1" x14ac:dyDescent="0.25">
      <c r="A220" s="81" t="s">
        <v>882</v>
      </c>
      <c r="C220" s="82">
        <f>+SUM(C209:C219)</f>
        <v>100</v>
      </c>
      <c r="D220" s="82">
        <f t="shared" ref="D220" si="463">+SUM(D209:D219)</f>
        <v>100</v>
      </c>
      <c r="E220" s="82">
        <f t="shared" ref="E220" si="464">+SUM(E209:E219)</f>
        <v>100</v>
      </c>
      <c r="F220" s="82">
        <f t="shared" ref="F220" si="465">+SUM(F209:F219)</f>
        <v>100</v>
      </c>
      <c r="G220" s="82">
        <f t="shared" ref="G220" si="466">+SUM(G209:G219)</f>
        <v>100</v>
      </c>
      <c r="H220" s="82">
        <f t="shared" ref="H220" si="467">+SUM(H209:H219)</f>
        <v>100</v>
      </c>
      <c r="I220" s="82">
        <f t="shared" ref="I220" si="468">+SUM(I209:I219)</f>
        <v>100</v>
      </c>
      <c r="J220" s="82">
        <f t="shared" ref="J220" si="469">+SUM(J209:J219)</f>
        <v>100</v>
      </c>
      <c r="K220" s="82">
        <f t="shared" ref="K220" si="470">+SUM(K209:K219)</f>
        <v>100</v>
      </c>
      <c r="L220" s="82">
        <f t="shared" ref="L220" si="471">+SUM(L209:L219)</f>
        <v>100</v>
      </c>
      <c r="M220" s="82">
        <f t="shared" ref="M220" si="472">+SUM(M209:M219)</f>
        <v>100</v>
      </c>
      <c r="N220" s="82">
        <f t="shared" ref="N220" si="473">+SUM(N209:N219)</f>
        <v>100</v>
      </c>
      <c r="O220" s="82">
        <f t="shared" ref="O220" si="474">+SUM(O209:O219)</f>
        <v>100</v>
      </c>
      <c r="P220" s="82">
        <f t="shared" ref="P220" si="475">+SUM(P209:P219)</f>
        <v>100</v>
      </c>
      <c r="Q220" s="82">
        <f t="shared" ref="Q220" si="476">+SUM(Q209:Q219)</f>
        <v>100</v>
      </c>
      <c r="R220" s="82">
        <f t="shared" ref="R220" si="477">+SUM(R209:R219)</f>
        <v>100</v>
      </c>
      <c r="S220" s="82">
        <f t="shared" ref="S220" si="478">+SUM(S209:S219)</f>
        <v>100</v>
      </c>
      <c r="T220" s="82">
        <f t="shared" ref="T220" si="479">+SUM(T209:T219)</f>
        <v>100</v>
      </c>
      <c r="U220" s="82">
        <f t="shared" ref="U220" si="480">+SUM(U209:U219)</f>
        <v>100</v>
      </c>
      <c r="V220" s="82">
        <f t="shared" ref="V220" si="481">+SUM(V209:V219)</f>
        <v>100</v>
      </c>
      <c r="W220" s="82">
        <f t="shared" ref="W220" si="482">+SUM(W209:W219)</f>
        <v>100</v>
      </c>
      <c r="X220" s="82">
        <f t="shared" ref="X220" si="483">+SUM(X209:X219)</f>
        <v>100</v>
      </c>
      <c r="Y220" s="82">
        <f t="shared" ref="Y220" si="484">+SUM(Y209:Y219)</f>
        <v>100</v>
      </c>
      <c r="Z220" s="82">
        <f t="shared" ref="Z220" si="485">+SUM(Z209:Z219)</f>
        <v>100</v>
      </c>
      <c r="AA220" s="82">
        <f t="shared" ref="AA220" si="486">+SUM(AA209:AA219)</f>
        <v>100</v>
      </c>
      <c r="AB220" s="82">
        <f t="shared" ref="AB220" si="487">+SUM(AB209:AB219)</f>
        <v>100</v>
      </c>
      <c r="AC220" s="82">
        <f t="shared" ref="AC220" si="488">+SUM(AC209:AC219)</f>
        <v>100</v>
      </c>
      <c r="AD220" s="82">
        <f t="shared" ref="AD220" si="489">+SUM(AD209:AD219)</f>
        <v>100</v>
      </c>
      <c r="AE220" s="82">
        <f t="shared" ref="AE220" si="490">+SUM(AE209:AE219)</f>
        <v>100</v>
      </c>
      <c r="AF220" s="82">
        <f t="shared" ref="AF220" si="491">+SUM(AF209:AF219)</f>
        <v>100</v>
      </c>
      <c r="AG220" s="82">
        <f t="shared" ref="AG220" si="492">+SUM(AG209:AG219)</f>
        <v>100</v>
      </c>
      <c r="AH220" s="82">
        <f t="shared" ref="AH220" si="493">+SUM(AH209:AH219)</f>
        <v>100</v>
      </c>
      <c r="AI220" s="82">
        <f t="shared" ref="AI220" si="494">+SUM(AI209:AI219)</f>
        <v>100</v>
      </c>
      <c r="AJ220" s="82">
        <f t="shared" ref="AJ220" si="495">+SUM(AJ209:AJ219)</f>
        <v>100</v>
      </c>
    </row>
    <row r="221" spans="1:36" x14ac:dyDescent="0.25">
      <c r="A221" t="s">
        <v>703</v>
      </c>
      <c r="B221" t="s">
        <v>309</v>
      </c>
      <c r="C221" s="26">
        <v>0</v>
      </c>
      <c r="D221" s="26">
        <v>0</v>
      </c>
      <c r="E221" s="26">
        <v>0</v>
      </c>
      <c r="F221" s="26">
        <v>0</v>
      </c>
      <c r="G221" s="26">
        <v>0</v>
      </c>
      <c r="H221" s="26">
        <v>0</v>
      </c>
      <c r="I221" s="26">
        <v>0</v>
      </c>
      <c r="J221" s="26">
        <v>0</v>
      </c>
      <c r="K221" s="26">
        <v>0</v>
      </c>
      <c r="L221" s="26">
        <v>0</v>
      </c>
      <c r="M221" s="26">
        <v>0</v>
      </c>
      <c r="N221" s="26">
        <v>0</v>
      </c>
      <c r="O221" s="26">
        <v>0</v>
      </c>
      <c r="P221" s="26">
        <v>0</v>
      </c>
      <c r="Q221" s="26">
        <v>0</v>
      </c>
      <c r="R221" s="26">
        <v>0</v>
      </c>
      <c r="S221" s="26">
        <v>0</v>
      </c>
      <c r="T221" s="26">
        <v>0</v>
      </c>
      <c r="U221" s="26">
        <v>0</v>
      </c>
      <c r="V221" s="26">
        <v>0</v>
      </c>
      <c r="W221" s="26">
        <v>0</v>
      </c>
      <c r="X221" s="26">
        <v>0</v>
      </c>
      <c r="Y221" s="26">
        <v>0</v>
      </c>
      <c r="Z221" s="26">
        <v>0</v>
      </c>
      <c r="AA221" s="26">
        <v>0</v>
      </c>
      <c r="AB221" s="26">
        <v>0</v>
      </c>
      <c r="AC221" s="26">
        <v>0</v>
      </c>
      <c r="AD221" s="26">
        <v>0</v>
      </c>
      <c r="AE221" s="26">
        <v>0</v>
      </c>
      <c r="AF221" s="26">
        <v>0</v>
      </c>
      <c r="AG221" s="26">
        <v>0</v>
      </c>
      <c r="AH221" s="26">
        <v>0</v>
      </c>
      <c r="AI221" s="26">
        <v>0</v>
      </c>
      <c r="AJ221" s="26">
        <v>0</v>
      </c>
    </row>
    <row r="222" spans="1:36" x14ac:dyDescent="0.25">
      <c r="A222" t="s">
        <v>704</v>
      </c>
      <c r="B222" t="s">
        <v>309</v>
      </c>
      <c r="C222" s="26">
        <v>0</v>
      </c>
      <c r="D222" s="26">
        <v>0</v>
      </c>
      <c r="E222" s="26">
        <v>0</v>
      </c>
      <c r="F222" s="26">
        <v>0</v>
      </c>
      <c r="G222" s="26">
        <v>0</v>
      </c>
      <c r="H222" s="26">
        <v>0</v>
      </c>
      <c r="I222" s="26">
        <v>0</v>
      </c>
      <c r="J222" s="26">
        <v>0</v>
      </c>
      <c r="K222" s="26">
        <v>0</v>
      </c>
      <c r="L222" s="26">
        <v>0</v>
      </c>
      <c r="M222" s="26">
        <v>0</v>
      </c>
      <c r="N222" s="26">
        <v>0</v>
      </c>
      <c r="O222" s="26">
        <v>0</v>
      </c>
      <c r="P222" s="26">
        <v>0</v>
      </c>
      <c r="Q222" s="26">
        <v>0</v>
      </c>
      <c r="R222" s="26">
        <v>0</v>
      </c>
      <c r="S222" s="26">
        <v>0</v>
      </c>
      <c r="T222" s="26">
        <v>0</v>
      </c>
      <c r="U222" s="26">
        <v>0</v>
      </c>
      <c r="V222" s="26">
        <v>0</v>
      </c>
      <c r="W222" s="26">
        <v>0</v>
      </c>
      <c r="X222" s="26">
        <v>0</v>
      </c>
      <c r="Y222" s="26">
        <v>0</v>
      </c>
      <c r="Z222" s="26">
        <v>0</v>
      </c>
      <c r="AA222" s="26">
        <v>0</v>
      </c>
      <c r="AB222" s="26">
        <v>0</v>
      </c>
      <c r="AC222" s="26">
        <v>0</v>
      </c>
      <c r="AD222" s="26">
        <v>0</v>
      </c>
      <c r="AE222" s="26">
        <v>0</v>
      </c>
      <c r="AF222" s="26">
        <v>0</v>
      </c>
      <c r="AG222" s="26">
        <v>0</v>
      </c>
      <c r="AH222" s="26">
        <v>0</v>
      </c>
      <c r="AI222" s="26">
        <v>0</v>
      </c>
      <c r="AJ222" s="26">
        <v>0</v>
      </c>
    </row>
    <row r="223" spans="1:36" x14ac:dyDescent="0.25">
      <c r="A223" t="s">
        <v>705</v>
      </c>
      <c r="B223" t="s">
        <v>309</v>
      </c>
      <c r="C223" s="26">
        <v>80</v>
      </c>
      <c r="D223" s="26">
        <v>80</v>
      </c>
      <c r="E223" s="26">
        <v>80</v>
      </c>
      <c r="F223" s="26">
        <v>80</v>
      </c>
      <c r="G223" s="26">
        <v>80</v>
      </c>
      <c r="H223" s="26">
        <v>80</v>
      </c>
      <c r="I223" s="26">
        <v>80</v>
      </c>
      <c r="J223" s="26">
        <v>80</v>
      </c>
      <c r="K223" s="26">
        <v>80</v>
      </c>
      <c r="L223" s="26">
        <v>80</v>
      </c>
      <c r="M223" s="26">
        <v>80</v>
      </c>
      <c r="N223" s="26">
        <v>80</v>
      </c>
      <c r="O223" s="26">
        <v>80</v>
      </c>
      <c r="P223" s="26">
        <v>80</v>
      </c>
      <c r="Q223" s="26">
        <v>80</v>
      </c>
      <c r="R223" s="26">
        <v>80</v>
      </c>
      <c r="S223" s="26">
        <v>80</v>
      </c>
      <c r="T223" s="26">
        <v>80</v>
      </c>
      <c r="U223" s="26">
        <v>80</v>
      </c>
      <c r="V223" s="26">
        <v>80</v>
      </c>
      <c r="W223" s="26">
        <v>80</v>
      </c>
      <c r="X223" s="26">
        <v>80</v>
      </c>
      <c r="Y223" s="26">
        <v>80</v>
      </c>
      <c r="Z223" s="26">
        <v>80</v>
      </c>
      <c r="AA223" s="26">
        <v>80</v>
      </c>
      <c r="AB223" s="26">
        <v>80</v>
      </c>
      <c r="AC223" s="26">
        <v>80</v>
      </c>
      <c r="AD223" s="26">
        <v>80</v>
      </c>
      <c r="AE223" s="26">
        <v>80</v>
      </c>
      <c r="AF223" s="26">
        <v>80</v>
      </c>
      <c r="AG223" s="26">
        <v>80</v>
      </c>
      <c r="AH223" s="26">
        <v>80</v>
      </c>
      <c r="AI223" s="26">
        <v>80</v>
      </c>
      <c r="AJ223" s="26">
        <v>80</v>
      </c>
    </row>
    <row r="224" spans="1:36" x14ac:dyDescent="0.25">
      <c r="A224" t="s">
        <v>706</v>
      </c>
      <c r="B224" t="s">
        <v>309</v>
      </c>
      <c r="C224" s="26">
        <v>0</v>
      </c>
      <c r="D224" s="26">
        <v>0</v>
      </c>
      <c r="E224" s="26">
        <v>0</v>
      </c>
      <c r="F224" s="26">
        <v>0</v>
      </c>
      <c r="G224" s="26">
        <v>0</v>
      </c>
      <c r="H224" s="26">
        <v>0</v>
      </c>
      <c r="I224" s="26">
        <v>0</v>
      </c>
      <c r="J224" s="26">
        <v>0</v>
      </c>
      <c r="K224" s="26">
        <v>0</v>
      </c>
      <c r="L224" s="26">
        <v>0</v>
      </c>
      <c r="M224" s="26">
        <v>0</v>
      </c>
      <c r="N224" s="26">
        <v>0</v>
      </c>
      <c r="O224" s="26">
        <v>0</v>
      </c>
      <c r="P224" s="26">
        <v>0</v>
      </c>
      <c r="Q224" s="26">
        <v>0</v>
      </c>
      <c r="R224" s="26">
        <v>0</v>
      </c>
      <c r="S224" s="26">
        <v>0</v>
      </c>
      <c r="T224" s="26">
        <v>0</v>
      </c>
      <c r="U224" s="26">
        <v>0</v>
      </c>
      <c r="V224" s="26">
        <v>0</v>
      </c>
      <c r="W224" s="26">
        <v>0</v>
      </c>
      <c r="X224" s="26">
        <v>0</v>
      </c>
      <c r="Y224" s="26">
        <v>0</v>
      </c>
      <c r="Z224" s="26">
        <v>0</v>
      </c>
      <c r="AA224" s="26">
        <v>0</v>
      </c>
      <c r="AB224" s="26">
        <v>0</v>
      </c>
      <c r="AC224" s="26">
        <v>0</v>
      </c>
      <c r="AD224" s="26">
        <v>0</v>
      </c>
      <c r="AE224" s="26">
        <v>0</v>
      </c>
      <c r="AF224" s="26">
        <v>0</v>
      </c>
      <c r="AG224" s="26">
        <v>0</v>
      </c>
      <c r="AH224" s="26">
        <v>0</v>
      </c>
      <c r="AI224" s="26">
        <v>0</v>
      </c>
      <c r="AJ224" s="26">
        <v>0</v>
      </c>
    </row>
    <row r="225" spans="1:36" x14ac:dyDescent="0.25">
      <c r="A225" t="s">
        <v>707</v>
      </c>
      <c r="B225" t="s">
        <v>309</v>
      </c>
      <c r="C225" s="26">
        <v>0</v>
      </c>
      <c r="D225" s="26">
        <v>0</v>
      </c>
      <c r="E225" s="26">
        <v>0</v>
      </c>
      <c r="F225" s="26">
        <v>0</v>
      </c>
      <c r="G225" s="26">
        <v>0</v>
      </c>
      <c r="H225" s="26">
        <v>0</v>
      </c>
      <c r="I225" s="26">
        <v>0</v>
      </c>
      <c r="J225" s="26">
        <v>0</v>
      </c>
      <c r="K225" s="26">
        <v>0</v>
      </c>
      <c r="L225" s="26">
        <v>0</v>
      </c>
      <c r="M225" s="26">
        <v>0</v>
      </c>
      <c r="N225" s="26">
        <v>0</v>
      </c>
      <c r="O225" s="26">
        <v>0</v>
      </c>
      <c r="P225" s="26">
        <v>0</v>
      </c>
      <c r="Q225" s="26">
        <v>0</v>
      </c>
      <c r="R225" s="26">
        <v>0</v>
      </c>
      <c r="S225" s="26">
        <v>0</v>
      </c>
      <c r="T225" s="26">
        <v>0</v>
      </c>
      <c r="U225" s="26">
        <v>0</v>
      </c>
      <c r="V225" s="26">
        <v>0</v>
      </c>
      <c r="W225" s="26">
        <v>0</v>
      </c>
      <c r="X225" s="26">
        <v>0</v>
      </c>
      <c r="Y225" s="26">
        <v>0</v>
      </c>
      <c r="Z225" s="26">
        <v>0</v>
      </c>
      <c r="AA225" s="26">
        <v>0</v>
      </c>
      <c r="AB225" s="26">
        <v>0</v>
      </c>
      <c r="AC225" s="26">
        <v>0</v>
      </c>
      <c r="AD225" s="26">
        <v>0</v>
      </c>
      <c r="AE225" s="26">
        <v>0</v>
      </c>
      <c r="AF225" s="26">
        <v>0</v>
      </c>
      <c r="AG225" s="26">
        <v>0</v>
      </c>
      <c r="AH225" s="26">
        <v>0</v>
      </c>
      <c r="AI225" s="26">
        <v>0</v>
      </c>
      <c r="AJ225" s="26">
        <v>0</v>
      </c>
    </row>
    <row r="226" spans="1:36" x14ac:dyDescent="0.25">
      <c r="A226" t="s">
        <v>708</v>
      </c>
      <c r="B226" t="s">
        <v>309</v>
      </c>
      <c r="C226" s="26">
        <v>5</v>
      </c>
      <c r="D226" s="26">
        <v>5</v>
      </c>
      <c r="E226" s="26">
        <v>5</v>
      </c>
      <c r="F226" s="26">
        <v>5</v>
      </c>
      <c r="G226" s="26">
        <v>5</v>
      </c>
      <c r="H226" s="26">
        <v>5</v>
      </c>
      <c r="I226" s="26">
        <v>5</v>
      </c>
      <c r="J226" s="26">
        <v>5</v>
      </c>
      <c r="K226" s="26">
        <v>5</v>
      </c>
      <c r="L226" s="26">
        <v>5</v>
      </c>
      <c r="M226" s="26">
        <v>5</v>
      </c>
      <c r="N226" s="26">
        <v>5</v>
      </c>
      <c r="O226" s="26">
        <v>5</v>
      </c>
      <c r="P226" s="26">
        <v>5</v>
      </c>
      <c r="Q226" s="26">
        <v>5</v>
      </c>
      <c r="R226" s="26">
        <v>5</v>
      </c>
      <c r="S226" s="26">
        <v>5</v>
      </c>
      <c r="T226" s="26">
        <v>5</v>
      </c>
      <c r="U226" s="26">
        <v>5</v>
      </c>
      <c r="V226" s="26">
        <v>5</v>
      </c>
      <c r="W226" s="26">
        <v>5</v>
      </c>
      <c r="X226" s="26">
        <v>5</v>
      </c>
      <c r="Y226" s="26">
        <v>5</v>
      </c>
      <c r="Z226" s="26">
        <v>5</v>
      </c>
      <c r="AA226" s="26">
        <v>5</v>
      </c>
      <c r="AB226" s="26">
        <v>5</v>
      </c>
      <c r="AC226" s="26">
        <v>5</v>
      </c>
      <c r="AD226" s="26">
        <v>5</v>
      </c>
      <c r="AE226" s="26">
        <v>5</v>
      </c>
      <c r="AF226" s="26">
        <v>5</v>
      </c>
      <c r="AG226" s="26">
        <v>5</v>
      </c>
      <c r="AH226" s="26">
        <v>5</v>
      </c>
      <c r="AI226" s="26">
        <v>5</v>
      </c>
      <c r="AJ226" s="26">
        <v>5</v>
      </c>
    </row>
    <row r="227" spans="1:36" x14ac:dyDescent="0.25">
      <c r="A227" t="s">
        <v>709</v>
      </c>
      <c r="B227" t="s">
        <v>309</v>
      </c>
      <c r="C227" s="26">
        <v>0</v>
      </c>
      <c r="D227" s="26">
        <v>0</v>
      </c>
      <c r="E227" s="26">
        <v>0</v>
      </c>
      <c r="F227" s="26">
        <v>0</v>
      </c>
      <c r="G227" s="26">
        <v>0</v>
      </c>
      <c r="H227" s="26">
        <v>0</v>
      </c>
      <c r="I227" s="26">
        <v>0</v>
      </c>
      <c r="J227" s="26">
        <v>0</v>
      </c>
      <c r="K227" s="26">
        <v>0</v>
      </c>
      <c r="L227" s="26">
        <v>0</v>
      </c>
      <c r="M227" s="26">
        <v>0</v>
      </c>
      <c r="N227" s="26">
        <v>0</v>
      </c>
      <c r="O227" s="26">
        <v>0</v>
      </c>
      <c r="P227" s="26">
        <v>0</v>
      </c>
      <c r="Q227" s="26">
        <v>0</v>
      </c>
      <c r="R227" s="26">
        <v>0</v>
      </c>
      <c r="S227" s="26">
        <v>0</v>
      </c>
      <c r="T227" s="26">
        <v>0</v>
      </c>
      <c r="U227" s="26">
        <v>0</v>
      </c>
      <c r="V227" s="26">
        <v>0</v>
      </c>
      <c r="W227" s="26">
        <v>0</v>
      </c>
      <c r="X227" s="26">
        <v>0</v>
      </c>
      <c r="Y227" s="26">
        <v>0</v>
      </c>
      <c r="Z227" s="26">
        <v>0</v>
      </c>
      <c r="AA227" s="26">
        <v>0</v>
      </c>
      <c r="AB227" s="26">
        <v>0</v>
      </c>
      <c r="AC227" s="26">
        <v>0</v>
      </c>
      <c r="AD227" s="26">
        <v>0</v>
      </c>
      <c r="AE227" s="26">
        <v>0</v>
      </c>
      <c r="AF227" s="26">
        <v>0</v>
      </c>
      <c r="AG227" s="26">
        <v>0</v>
      </c>
      <c r="AH227" s="26">
        <v>0</v>
      </c>
      <c r="AI227" s="26">
        <v>0</v>
      </c>
      <c r="AJ227" s="26">
        <v>0</v>
      </c>
    </row>
    <row r="228" spans="1:36" x14ac:dyDescent="0.25">
      <c r="A228" t="s">
        <v>710</v>
      </c>
      <c r="B228" t="s">
        <v>309</v>
      </c>
      <c r="C228" s="26">
        <v>0</v>
      </c>
      <c r="D228" s="26">
        <v>0</v>
      </c>
      <c r="E228" s="26">
        <v>0</v>
      </c>
      <c r="F228" s="26">
        <v>0</v>
      </c>
      <c r="G228" s="26">
        <v>0</v>
      </c>
      <c r="H228" s="26">
        <v>0</v>
      </c>
      <c r="I228" s="26">
        <v>0</v>
      </c>
      <c r="J228" s="26">
        <v>0</v>
      </c>
      <c r="K228" s="26">
        <v>0</v>
      </c>
      <c r="L228" s="26">
        <v>0</v>
      </c>
      <c r="M228" s="26">
        <v>0</v>
      </c>
      <c r="N228" s="26">
        <v>0</v>
      </c>
      <c r="O228" s="26">
        <v>0</v>
      </c>
      <c r="P228" s="26">
        <v>0</v>
      </c>
      <c r="Q228" s="26">
        <v>0</v>
      </c>
      <c r="R228" s="26">
        <v>0</v>
      </c>
      <c r="S228" s="26">
        <v>0</v>
      </c>
      <c r="T228" s="26">
        <v>0</v>
      </c>
      <c r="U228" s="26">
        <v>0</v>
      </c>
      <c r="V228" s="26">
        <v>0</v>
      </c>
      <c r="W228" s="26">
        <v>0</v>
      </c>
      <c r="X228" s="26">
        <v>0</v>
      </c>
      <c r="Y228" s="26">
        <v>0</v>
      </c>
      <c r="Z228" s="26">
        <v>0</v>
      </c>
      <c r="AA228" s="26">
        <v>0</v>
      </c>
      <c r="AB228" s="26">
        <v>0</v>
      </c>
      <c r="AC228" s="26">
        <v>0</v>
      </c>
      <c r="AD228" s="26">
        <v>0</v>
      </c>
      <c r="AE228" s="26">
        <v>0</v>
      </c>
      <c r="AF228" s="26">
        <v>0</v>
      </c>
      <c r="AG228" s="26">
        <v>0</v>
      </c>
      <c r="AH228" s="26">
        <v>0</v>
      </c>
      <c r="AI228" s="26">
        <v>0</v>
      </c>
      <c r="AJ228" s="26">
        <v>0</v>
      </c>
    </row>
    <row r="229" spans="1:36" x14ac:dyDescent="0.25">
      <c r="A229" t="s">
        <v>711</v>
      </c>
      <c r="B229" t="s">
        <v>309</v>
      </c>
      <c r="C229" s="26">
        <v>15</v>
      </c>
      <c r="D229" s="26">
        <v>15</v>
      </c>
      <c r="E229" s="26">
        <v>15</v>
      </c>
      <c r="F229" s="26">
        <v>15</v>
      </c>
      <c r="G229" s="26">
        <v>15</v>
      </c>
      <c r="H229" s="26">
        <v>15</v>
      </c>
      <c r="I229" s="26">
        <v>15</v>
      </c>
      <c r="J229" s="26">
        <v>15</v>
      </c>
      <c r="K229" s="26">
        <v>15</v>
      </c>
      <c r="L229" s="26">
        <v>15</v>
      </c>
      <c r="M229" s="26">
        <v>15</v>
      </c>
      <c r="N229" s="26">
        <v>15</v>
      </c>
      <c r="O229" s="26">
        <v>15</v>
      </c>
      <c r="P229" s="26">
        <v>15</v>
      </c>
      <c r="Q229" s="26">
        <v>15</v>
      </c>
      <c r="R229" s="26">
        <v>15</v>
      </c>
      <c r="S229" s="26">
        <v>15</v>
      </c>
      <c r="T229" s="26">
        <v>15</v>
      </c>
      <c r="U229" s="26">
        <v>15</v>
      </c>
      <c r="V229" s="26">
        <v>15</v>
      </c>
      <c r="W229" s="26">
        <v>15</v>
      </c>
      <c r="X229" s="26">
        <v>15</v>
      </c>
      <c r="Y229" s="26">
        <v>15</v>
      </c>
      <c r="Z229" s="26">
        <v>15</v>
      </c>
      <c r="AA229" s="26">
        <v>15</v>
      </c>
      <c r="AB229" s="26">
        <v>15</v>
      </c>
      <c r="AC229" s="26">
        <v>15</v>
      </c>
      <c r="AD229" s="26">
        <v>15</v>
      </c>
      <c r="AE229" s="26">
        <v>15</v>
      </c>
      <c r="AF229" s="26">
        <v>15</v>
      </c>
      <c r="AG229" s="26">
        <v>15</v>
      </c>
      <c r="AH229" s="26">
        <v>15</v>
      </c>
      <c r="AI229" s="26">
        <v>15</v>
      </c>
      <c r="AJ229" s="26">
        <v>15</v>
      </c>
    </row>
    <row r="230" spans="1:36" x14ac:dyDescent="0.25">
      <c r="A230" t="s">
        <v>712</v>
      </c>
      <c r="B230" t="s">
        <v>309</v>
      </c>
      <c r="C230" s="26">
        <v>0</v>
      </c>
      <c r="D230" s="26">
        <v>0</v>
      </c>
      <c r="E230" s="26">
        <v>0</v>
      </c>
      <c r="F230" s="26">
        <v>0</v>
      </c>
      <c r="G230" s="26">
        <v>0</v>
      </c>
      <c r="H230" s="26">
        <v>0</v>
      </c>
      <c r="I230" s="26">
        <v>0</v>
      </c>
      <c r="J230" s="26">
        <v>0</v>
      </c>
      <c r="K230" s="26">
        <v>0</v>
      </c>
      <c r="L230" s="26">
        <v>0</v>
      </c>
      <c r="M230" s="26">
        <v>0</v>
      </c>
      <c r="N230" s="26">
        <v>0</v>
      </c>
      <c r="O230" s="26">
        <v>0</v>
      </c>
      <c r="P230" s="26">
        <v>0</v>
      </c>
      <c r="Q230" s="26">
        <v>0</v>
      </c>
      <c r="R230" s="26">
        <v>0</v>
      </c>
      <c r="S230" s="26">
        <v>0</v>
      </c>
      <c r="T230" s="26">
        <v>0</v>
      </c>
      <c r="U230" s="26">
        <v>0</v>
      </c>
      <c r="V230" s="26">
        <v>0</v>
      </c>
      <c r="W230" s="26">
        <v>0</v>
      </c>
      <c r="X230" s="26">
        <v>0</v>
      </c>
      <c r="Y230" s="26">
        <v>0</v>
      </c>
      <c r="Z230" s="26">
        <v>0</v>
      </c>
      <c r="AA230" s="26">
        <v>0</v>
      </c>
      <c r="AB230" s="26">
        <v>0</v>
      </c>
      <c r="AC230" s="26">
        <v>0</v>
      </c>
      <c r="AD230" s="26">
        <v>0</v>
      </c>
      <c r="AE230" s="26">
        <v>0</v>
      </c>
      <c r="AF230" s="26">
        <v>0</v>
      </c>
      <c r="AG230" s="26">
        <v>0</v>
      </c>
      <c r="AH230" s="26">
        <v>0</v>
      </c>
      <c r="AI230" s="26">
        <v>0</v>
      </c>
      <c r="AJ230" s="26">
        <v>0</v>
      </c>
    </row>
    <row r="231" spans="1:36" x14ac:dyDescent="0.25">
      <c r="A231" t="s">
        <v>870</v>
      </c>
      <c r="B231" t="s">
        <v>309</v>
      </c>
      <c r="C231" s="26">
        <v>0</v>
      </c>
      <c r="D231" s="26">
        <v>0</v>
      </c>
      <c r="E231" s="26">
        <v>0</v>
      </c>
      <c r="F231" s="26">
        <v>0</v>
      </c>
      <c r="G231" s="26">
        <v>0</v>
      </c>
      <c r="H231" s="26">
        <v>0</v>
      </c>
      <c r="I231" s="26">
        <v>0</v>
      </c>
      <c r="J231" s="26">
        <v>0</v>
      </c>
      <c r="K231" s="26">
        <v>0</v>
      </c>
      <c r="L231" s="26">
        <v>0</v>
      </c>
      <c r="M231" s="26">
        <v>0</v>
      </c>
      <c r="N231" s="26">
        <v>0</v>
      </c>
      <c r="O231" s="26">
        <v>0</v>
      </c>
      <c r="P231" s="26">
        <v>0</v>
      </c>
      <c r="Q231" s="26">
        <v>0</v>
      </c>
      <c r="R231" s="26">
        <v>0</v>
      </c>
      <c r="S231" s="26">
        <v>0</v>
      </c>
      <c r="T231" s="26">
        <v>0</v>
      </c>
      <c r="U231" s="26">
        <v>0</v>
      </c>
      <c r="V231" s="26">
        <v>0</v>
      </c>
      <c r="W231" s="26">
        <v>0</v>
      </c>
      <c r="X231" s="26">
        <v>0</v>
      </c>
      <c r="Y231" s="26">
        <v>0</v>
      </c>
      <c r="Z231" s="26">
        <v>0</v>
      </c>
      <c r="AA231" s="26">
        <v>0</v>
      </c>
      <c r="AB231" s="26">
        <v>0</v>
      </c>
      <c r="AC231" s="26">
        <v>0</v>
      </c>
      <c r="AD231" s="26">
        <v>0</v>
      </c>
      <c r="AE231" s="26">
        <v>0</v>
      </c>
      <c r="AF231" s="26">
        <v>0</v>
      </c>
      <c r="AG231" s="26">
        <v>0</v>
      </c>
      <c r="AH231" s="26">
        <v>0</v>
      </c>
      <c r="AI231" s="26">
        <v>0</v>
      </c>
      <c r="AJ231" s="26">
        <v>0</v>
      </c>
    </row>
    <row r="232" spans="1:36" s="81" customFormat="1" x14ac:dyDescent="0.25">
      <c r="A232" s="81" t="s">
        <v>882</v>
      </c>
      <c r="C232" s="82">
        <f>+SUM(C221:C231)</f>
        <v>100</v>
      </c>
      <c r="D232" s="82">
        <f t="shared" ref="D232" si="496">+SUM(D221:D231)</f>
        <v>100</v>
      </c>
      <c r="E232" s="82">
        <f t="shared" ref="E232" si="497">+SUM(E221:E231)</f>
        <v>100</v>
      </c>
      <c r="F232" s="82">
        <f t="shared" ref="F232" si="498">+SUM(F221:F231)</f>
        <v>100</v>
      </c>
      <c r="G232" s="82">
        <f t="shared" ref="G232" si="499">+SUM(G221:G231)</f>
        <v>100</v>
      </c>
      <c r="H232" s="82">
        <f t="shared" ref="H232" si="500">+SUM(H221:H231)</f>
        <v>100</v>
      </c>
      <c r="I232" s="82">
        <f t="shared" ref="I232" si="501">+SUM(I221:I231)</f>
        <v>100</v>
      </c>
      <c r="J232" s="82">
        <f t="shared" ref="J232" si="502">+SUM(J221:J231)</f>
        <v>100</v>
      </c>
      <c r="K232" s="82">
        <f t="shared" ref="K232" si="503">+SUM(K221:K231)</f>
        <v>100</v>
      </c>
      <c r="L232" s="82">
        <f t="shared" ref="L232" si="504">+SUM(L221:L231)</f>
        <v>100</v>
      </c>
      <c r="M232" s="82">
        <f t="shared" ref="M232" si="505">+SUM(M221:M231)</f>
        <v>100</v>
      </c>
      <c r="N232" s="82">
        <f t="shared" ref="N232" si="506">+SUM(N221:N231)</f>
        <v>100</v>
      </c>
      <c r="O232" s="82">
        <f t="shared" ref="O232" si="507">+SUM(O221:O231)</f>
        <v>100</v>
      </c>
      <c r="P232" s="82">
        <f t="shared" ref="P232" si="508">+SUM(P221:P231)</f>
        <v>100</v>
      </c>
      <c r="Q232" s="82">
        <f t="shared" ref="Q232" si="509">+SUM(Q221:Q231)</f>
        <v>100</v>
      </c>
      <c r="R232" s="82">
        <f t="shared" ref="R232" si="510">+SUM(R221:R231)</f>
        <v>100</v>
      </c>
      <c r="S232" s="82">
        <f t="shared" ref="S232" si="511">+SUM(S221:S231)</f>
        <v>100</v>
      </c>
      <c r="T232" s="82">
        <f t="shared" ref="T232" si="512">+SUM(T221:T231)</f>
        <v>100</v>
      </c>
      <c r="U232" s="82">
        <f t="shared" ref="U232" si="513">+SUM(U221:U231)</f>
        <v>100</v>
      </c>
      <c r="V232" s="82">
        <f t="shared" ref="V232" si="514">+SUM(V221:V231)</f>
        <v>100</v>
      </c>
      <c r="W232" s="82">
        <f t="shared" ref="W232" si="515">+SUM(W221:W231)</f>
        <v>100</v>
      </c>
      <c r="X232" s="82">
        <f t="shared" ref="X232" si="516">+SUM(X221:X231)</f>
        <v>100</v>
      </c>
      <c r="Y232" s="82">
        <f t="shared" ref="Y232" si="517">+SUM(Y221:Y231)</f>
        <v>100</v>
      </c>
      <c r="Z232" s="82">
        <f t="shared" ref="Z232" si="518">+SUM(Z221:Z231)</f>
        <v>100</v>
      </c>
      <c r="AA232" s="82">
        <f t="shared" ref="AA232" si="519">+SUM(AA221:AA231)</f>
        <v>100</v>
      </c>
      <c r="AB232" s="82">
        <f t="shared" ref="AB232" si="520">+SUM(AB221:AB231)</f>
        <v>100</v>
      </c>
      <c r="AC232" s="82">
        <f t="shared" ref="AC232" si="521">+SUM(AC221:AC231)</f>
        <v>100</v>
      </c>
      <c r="AD232" s="82">
        <f t="shared" ref="AD232" si="522">+SUM(AD221:AD231)</f>
        <v>100</v>
      </c>
      <c r="AE232" s="82">
        <f t="shared" ref="AE232" si="523">+SUM(AE221:AE231)</f>
        <v>100</v>
      </c>
      <c r="AF232" s="82">
        <f t="shared" ref="AF232" si="524">+SUM(AF221:AF231)</f>
        <v>100</v>
      </c>
      <c r="AG232" s="82">
        <f t="shared" ref="AG232" si="525">+SUM(AG221:AG231)</f>
        <v>100</v>
      </c>
      <c r="AH232" s="82">
        <f t="shared" ref="AH232" si="526">+SUM(AH221:AH231)</f>
        <v>100</v>
      </c>
      <c r="AI232" s="82">
        <f t="shared" ref="AI232" si="527">+SUM(AI221:AI231)</f>
        <v>100</v>
      </c>
      <c r="AJ232" s="82">
        <f t="shared" ref="AJ232" si="528">+SUM(AJ221:AJ231)</f>
        <v>100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T98"/>
  <sheetViews>
    <sheetView tabSelected="1" topLeftCell="C1" workbookViewId="0">
      <pane xSplit="2" ySplit="4" topLeftCell="AG82" activePane="bottomRight" state="frozen"/>
      <selection activeCell="C1" sqref="C1"/>
      <selection pane="topRight" activeCell="E1" sqref="E1"/>
      <selection pane="bottomLeft" activeCell="C5" sqref="C5"/>
      <selection pane="bottomRight" activeCell="I98" sqref="I98"/>
    </sheetView>
  </sheetViews>
  <sheetFormatPr defaultRowHeight="15" outlineLevelCol="1" x14ac:dyDescent="0.25"/>
  <cols>
    <col min="1" max="1" width="23.7109375" customWidth="1"/>
    <col min="2" max="2" width="37.140625" customWidth="1"/>
    <col min="3" max="3" width="27.7109375" customWidth="1"/>
    <col min="4" max="4" width="27.5703125" customWidth="1"/>
    <col min="5" max="5" width="48" customWidth="1"/>
    <col min="6" max="6" width="11.5703125" customWidth="1"/>
    <col min="7" max="7" width="13.28515625" customWidth="1"/>
    <col min="8" max="27" width="10.7109375" customWidth="1" outlineLevel="1"/>
    <col min="28" max="68" width="10.7109375" customWidth="1"/>
    <col min="71" max="71" width="14.140625" customWidth="1"/>
    <col min="72" max="72" width="27.7109375" customWidth="1"/>
  </cols>
  <sheetData>
    <row r="1" spans="1:72" ht="18.75" x14ac:dyDescent="0.3">
      <c r="A1" s="1" t="s">
        <v>146</v>
      </c>
      <c r="AI1" s="11"/>
      <c r="AJ1" s="11"/>
    </row>
    <row r="2" spans="1:72" x14ac:dyDescent="0.25">
      <c r="AI2" s="11"/>
      <c r="AJ2" s="11"/>
      <c r="AK2" s="11"/>
    </row>
    <row r="3" spans="1:72" s="19" customFormat="1" ht="29.25" customHeight="1" x14ac:dyDescent="0.25">
      <c r="A3" s="17" t="s">
        <v>8</v>
      </c>
      <c r="B3" s="17" t="s">
        <v>318</v>
      </c>
      <c r="C3" s="17" t="s">
        <v>320</v>
      </c>
      <c r="D3" s="17" t="s">
        <v>153</v>
      </c>
      <c r="E3" s="17" t="s">
        <v>154</v>
      </c>
      <c r="F3" s="17" t="s">
        <v>0</v>
      </c>
      <c r="G3" s="17" t="s">
        <v>287</v>
      </c>
      <c r="H3" s="17">
        <v>1990</v>
      </c>
      <c r="I3" s="17">
        <v>1991</v>
      </c>
      <c r="J3" s="17">
        <v>1992</v>
      </c>
      <c r="K3" s="17">
        <v>1993</v>
      </c>
      <c r="L3" s="17">
        <v>1994</v>
      </c>
      <c r="M3" s="17">
        <v>1995</v>
      </c>
      <c r="N3" s="17">
        <v>1996</v>
      </c>
      <c r="O3" s="17">
        <v>1997</v>
      </c>
      <c r="P3" s="17">
        <v>1998</v>
      </c>
      <c r="Q3" s="17">
        <v>1999</v>
      </c>
      <c r="R3" s="17">
        <v>2000</v>
      </c>
      <c r="S3" s="17">
        <v>2001</v>
      </c>
      <c r="T3" s="17">
        <v>2002</v>
      </c>
      <c r="U3" s="17">
        <v>2003</v>
      </c>
      <c r="V3" s="17">
        <v>2004</v>
      </c>
      <c r="W3" s="17">
        <v>2005</v>
      </c>
      <c r="X3" s="17">
        <v>2006</v>
      </c>
      <c r="Y3" s="17">
        <v>2007</v>
      </c>
      <c r="Z3" s="17">
        <v>2008</v>
      </c>
      <c r="AA3" s="17">
        <v>2009</v>
      </c>
      <c r="AB3" s="17">
        <v>2010</v>
      </c>
      <c r="AC3" s="17">
        <v>2011</v>
      </c>
      <c r="AD3" s="17">
        <v>2012</v>
      </c>
      <c r="AE3" s="17">
        <v>2013</v>
      </c>
      <c r="AF3" s="17">
        <v>2014</v>
      </c>
      <c r="AG3" s="17">
        <v>2015</v>
      </c>
      <c r="AH3" s="17">
        <v>2016</v>
      </c>
      <c r="AI3" s="17">
        <v>2017</v>
      </c>
      <c r="AJ3" s="17">
        <v>2018</v>
      </c>
      <c r="AK3" s="17">
        <v>2019</v>
      </c>
      <c r="AL3" s="17">
        <v>2020</v>
      </c>
      <c r="AM3" s="17">
        <v>2021</v>
      </c>
      <c r="AN3" s="17">
        <v>2022</v>
      </c>
      <c r="AO3" s="17">
        <v>2023</v>
      </c>
      <c r="AP3" s="17">
        <v>2024</v>
      </c>
      <c r="AQ3" s="17">
        <v>2025</v>
      </c>
      <c r="AR3" s="17">
        <v>2026</v>
      </c>
      <c r="AS3" s="17">
        <v>2027</v>
      </c>
      <c r="AT3" s="17">
        <v>2028</v>
      </c>
      <c r="AU3" s="17">
        <v>2029</v>
      </c>
      <c r="AV3" s="17">
        <v>2030</v>
      </c>
      <c r="AW3" s="17">
        <v>2031</v>
      </c>
      <c r="AX3" s="17">
        <v>2032</v>
      </c>
      <c r="AY3" s="17">
        <v>2033</v>
      </c>
      <c r="AZ3" s="17">
        <v>2034</v>
      </c>
      <c r="BA3" s="17">
        <v>2035</v>
      </c>
      <c r="BB3" s="17">
        <v>2036</v>
      </c>
      <c r="BC3" s="17">
        <v>2037</v>
      </c>
      <c r="BD3" s="17">
        <v>2038</v>
      </c>
      <c r="BE3" s="17">
        <v>2039</v>
      </c>
      <c r="BF3" s="17">
        <v>2040</v>
      </c>
      <c r="BG3" s="17">
        <v>2041</v>
      </c>
      <c r="BH3" s="17">
        <v>2042</v>
      </c>
      <c r="BI3" s="17">
        <v>2043</v>
      </c>
      <c r="BJ3" s="17">
        <v>2044</v>
      </c>
      <c r="BK3" s="17">
        <v>2045</v>
      </c>
      <c r="BL3" s="17">
        <v>2046</v>
      </c>
      <c r="BM3" s="17">
        <v>2047</v>
      </c>
      <c r="BN3" s="17">
        <v>2048</v>
      </c>
      <c r="BO3" s="17">
        <v>2049</v>
      </c>
      <c r="BP3" s="17">
        <v>2050</v>
      </c>
      <c r="BS3" s="18" t="s">
        <v>312</v>
      </c>
      <c r="BT3" s="17" t="s">
        <v>286</v>
      </c>
    </row>
    <row r="4" spans="1:72" ht="18.75" customHeight="1" x14ac:dyDescent="0.25">
      <c r="A4" s="20" t="s">
        <v>314</v>
      </c>
      <c r="B4" s="20"/>
      <c r="C4" s="20"/>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S4" s="16"/>
      <c r="BT4" s="15"/>
    </row>
    <row r="5" spans="1:72" s="24" customFormat="1" x14ac:dyDescent="0.25">
      <c r="A5" s="24" t="str">
        <f>'IPCC Categories'!A5</f>
        <v>3A Livestock</v>
      </c>
      <c r="C5" s="24" t="str">
        <f>'IPCC Categories'!$D$5</f>
        <v>3A1ai Dairy cattle</v>
      </c>
      <c r="D5" t="str">
        <f>'IPCC Categories'!$F$39</f>
        <v>TMR</v>
      </c>
      <c r="E5" s="24" t="str">
        <f>'IPCC Categories'!$F$31</f>
        <v>Population</v>
      </c>
      <c r="F5" s="24" t="s">
        <v>142</v>
      </c>
      <c r="H5" s="44">
        <v>487746.14676082286</v>
      </c>
      <c r="I5" s="44">
        <v>561522.50537304278</v>
      </c>
      <c r="J5" s="44">
        <v>485789.62235185754</v>
      </c>
      <c r="K5" s="44">
        <v>515225.4221676389</v>
      </c>
      <c r="L5" s="44">
        <v>477963.52471599629</v>
      </c>
      <c r="M5" s="44">
        <v>511312.37334970833</v>
      </c>
      <c r="N5" s="44">
        <v>513268.89775867364</v>
      </c>
      <c r="O5" s="44">
        <v>494824.80810561875</v>
      </c>
      <c r="P5" s="44">
        <v>488955.23487872281</v>
      </c>
      <c r="Q5" s="44">
        <v>480293.76727049437</v>
      </c>
      <c r="R5" s="44">
        <v>618437.58059564023</v>
      </c>
      <c r="S5" s="44">
        <v>616481.05618667486</v>
      </c>
      <c r="T5" s="44">
        <v>537582.56063862459</v>
      </c>
      <c r="U5" s="44">
        <v>488955.23487872281</v>
      </c>
      <c r="V5" s="44">
        <v>472093.95148910041</v>
      </c>
      <c r="W5" s="44">
        <v>505442.80012281239</v>
      </c>
      <c r="X5" s="44">
        <v>494451.08996008604</v>
      </c>
      <c r="Y5" s="44">
        <v>490911.75928768812</v>
      </c>
      <c r="Z5" s="44">
        <v>601202.57906048512</v>
      </c>
      <c r="AA5" s="44">
        <v>616107.33804114221</v>
      </c>
      <c r="AB5" s="44">
        <v>616107.33804114221</v>
      </c>
      <c r="AC5" s="44">
        <v>593750.19957015652</v>
      </c>
      <c r="AD5" s="44">
        <v>571766.77924470371</v>
      </c>
      <c r="AE5" s="44">
        <v>616481.05618667486</v>
      </c>
      <c r="AF5" s="44">
        <v>582758.48940743017</v>
      </c>
      <c r="AG5" s="44">
        <v>589837.15075222601</v>
      </c>
      <c r="AH5" s="44">
        <v>611820.57107767893</v>
      </c>
      <c r="AI5" s="44">
        <v>658117.65428308269</v>
      </c>
      <c r="AJ5" s="25">
        <f>'Intermediate calcs'!AE13*Constants!$H$18</f>
        <v>600727.20398316369</v>
      </c>
      <c r="AK5" s="25">
        <f>'Intermediate calcs'!AF13*Constants!$H$18</f>
        <v>602855.66693676298</v>
      </c>
      <c r="AL5" s="25">
        <f>'Intermediate calcs'!AG13*Constants!$H$18</f>
        <v>601663.33938666957</v>
      </c>
      <c r="AM5" s="25">
        <f>'Intermediate calcs'!AH13*Constants!$H$18</f>
        <v>604311.09832633485</v>
      </c>
      <c r="AN5" s="25">
        <f>'Intermediate calcs'!AI13*Constants!$H$18</f>
        <v>606925.10057559505</v>
      </c>
      <c r="AO5" s="25">
        <f>'Intermediate calcs'!AJ13*Constants!$H$18</f>
        <v>609546.68027073913</v>
      </c>
      <c r="AP5" s="25">
        <f>'Intermediate calcs'!AK13*Constants!$H$18</f>
        <v>612139.20019001875</v>
      </c>
      <c r="AQ5" s="25">
        <f>'Intermediate calcs'!AL13*Constants!$H$18</f>
        <v>614765.42648979719</v>
      </c>
      <c r="AR5" s="25">
        <f>'Intermediate calcs'!AM13*Constants!$H$18</f>
        <v>617696.19190398348</v>
      </c>
      <c r="AS5" s="25">
        <f>'Intermediate calcs'!AN13*Constants!$H$18</f>
        <v>620618.02021481865</v>
      </c>
      <c r="AT5" s="25">
        <f>'Intermediate calcs'!AO13*Constants!$H$18</f>
        <v>623585.47316065966</v>
      </c>
      <c r="AU5" s="25">
        <f>'Intermediate calcs'!AP13*Constants!$H$18</f>
        <v>626586.80402338924</v>
      </c>
      <c r="AV5" s="25">
        <f>'Intermediate calcs'!AQ13*Constants!$H$18</f>
        <v>629625.10492724751</v>
      </c>
      <c r="AW5" s="25">
        <f>'Intermediate calcs'!AR13*Constants!$H$18</f>
        <v>632814.17437066941</v>
      </c>
      <c r="AX5" s="25">
        <f>'Intermediate calcs'!AS13*Constants!$H$18</f>
        <v>635942.46425402688</v>
      </c>
      <c r="AY5" s="25">
        <f>'Intermediate calcs'!AT13*Constants!$H$18</f>
        <v>639207.84221529367</v>
      </c>
      <c r="AZ5" s="25">
        <f>'Intermediate calcs'!AU13*Constants!$H$18</f>
        <v>642569.05664473551</v>
      </c>
      <c r="BA5" s="25">
        <f>'Intermediate calcs'!AV13*Constants!$H$18</f>
        <v>646031.29465598054</v>
      </c>
      <c r="BB5" s="25">
        <f>'Intermediate calcs'!AW13*Constants!$H$18</f>
        <v>649614.16921023058</v>
      </c>
      <c r="BC5" s="25">
        <f>'Intermediate calcs'!AX13*Constants!$H$18</f>
        <v>653266.53077503329</v>
      </c>
      <c r="BD5" s="25">
        <f>'Intermediate calcs'!AY13*Constants!$H$18</f>
        <v>656944.70644845604</v>
      </c>
      <c r="BE5" s="25">
        <f>'Intermediate calcs'!AZ13*Constants!$H$18</f>
        <v>660693.02448450099</v>
      </c>
      <c r="BF5" s="25">
        <f>'Intermediate calcs'!BA13*Constants!$H$18</f>
        <v>664550.73560675746</v>
      </c>
      <c r="BG5" s="25">
        <f>'Intermediate calcs'!BB13*Constants!$H$18</f>
        <v>668764.36288481415</v>
      </c>
      <c r="BH5" s="25">
        <f>'Intermediate calcs'!BC13*Constants!$H$18</f>
        <v>673061.96768313844</v>
      </c>
      <c r="BI5" s="25">
        <f>'Intermediate calcs'!BD13*Constants!$H$18</f>
        <v>677438.76288722933</v>
      </c>
      <c r="BJ5" s="25">
        <f>'Intermediate calcs'!BE13*Constants!$H$18</f>
        <v>681906.56484178361</v>
      </c>
      <c r="BK5" s="25">
        <f>'Intermediate calcs'!BF13*Constants!$H$18</f>
        <v>686512.2223895262</v>
      </c>
      <c r="BL5" s="25">
        <f>'Intermediate calcs'!BG13*Constants!$H$18</f>
        <v>691155.737879558</v>
      </c>
      <c r="BM5" s="25">
        <f>'Intermediate calcs'!BH13*Constants!$H$18</f>
        <v>695918.11632815958</v>
      </c>
      <c r="BN5" s="25">
        <f>'Intermediate calcs'!BI13*Constants!$H$18</f>
        <v>700710.30149452493</v>
      </c>
      <c r="BO5" s="25">
        <f>'Intermediate calcs'!BJ13*Constants!$H$18</f>
        <v>705632.12235610082</v>
      </c>
      <c r="BP5" s="25">
        <f>'Intermediate calcs'!BK13*Constants!$H$18</f>
        <v>710694.39686602564</v>
      </c>
    </row>
    <row r="6" spans="1:72" s="24" customFormat="1" x14ac:dyDescent="0.25">
      <c r="A6" s="24" t="str">
        <f t="shared" ref="A6:A22" si="0">A5</f>
        <v>3A Livestock</v>
      </c>
      <c r="C6" s="24" t="str">
        <f>$C$5</f>
        <v>3A1ai Dairy cattle</v>
      </c>
      <c r="D6" t="str">
        <f>'IPCC Categories'!$F$40</f>
        <v>Pasture</v>
      </c>
      <c r="E6" s="24" t="str">
        <f>E5</f>
        <v>Population</v>
      </c>
      <c r="F6" s="24" t="str">
        <f>F5</f>
        <v>Head</v>
      </c>
      <c r="H6" s="44">
        <v>399733.85323917714</v>
      </c>
      <c r="I6" s="44">
        <v>460197.49462695734</v>
      </c>
      <c r="J6" s="44">
        <v>398130.37764814246</v>
      </c>
      <c r="K6" s="44">
        <v>422254.57783236104</v>
      </c>
      <c r="L6" s="44">
        <v>391716.47528400371</v>
      </c>
      <c r="M6" s="44">
        <v>419047.62665029167</v>
      </c>
      <c r="N6" s="44">
        <v>420651.10224132636</v>
      </c>
      <c r="O6" s="44">
        <v>405535.19189438137</v>
      </c>
      <c r="P6" s="44">
        <v>400724.76512127731</v>
      </c>
      <c r="Q6" s="44">
        <v>393626.23272950563</v>
      </c>
      <c r="R6" s="44">
        <v>506842.41940435988</v>
      </c>
      <c r="S6" s="44">
        <v>505238.9438133252</v>
      </c>
      <c r="T6" s="44">
        <v>440577.43936137547</v>
      </c>
      <c r="U6" s="44">
        <v>400724.76512127731</v>
      </c>
      <c r="V6" s="44">
        <v>386906.04851089959</v>
      </c>
      <c r="W6" s="44">
        <v>414237.19987718761</v>
      </c>
      <c r="X6" s="44">
        <v>405228.91003991402</v>
      </c>
      <c r="Y6" s="44">
        <v>402328.24071231199</v>
      </c>
      <c r="Z6" s="44">
        <v>492717.42093951488</v>
      </c>
      <c r="AA6" s="44">
        <v>504932.66195885779</v>
      </c>
      <c r="AB6" s="44">
        <v>504932.66195885779</v>
      </c>
      <c r="AC6" s="44">
        <v>486609.80042984337</v>
      </c>
      <c r="AD6" s="44">
        <v>468593.22075529629</v>
      </c>
      <c r="AE6" s="44">
        <v>505238.9438133252</v>
      </c>
      <c r="AF6" s="44">
        <v>477601.51059256989</v>
      </c>
      <c r="AG6" s="44">
        <v>483402.84924777399</v>
      </c>
      <c r="AH6" s="44">
        <v>501419.42892232112</v>
      </c>
      <c r="AI6" s="44">
        <v>539362.34571691742</v>
      </c>
      <c r="AJ6" s="25">
        <f>'Intermediate calcs'!AE13-'Activity data'!AJ5</f>
        <v>491504.07598622469</v>
      </c>
      <c r="AK6" s="25">
        <f>'Intermediate calcs'!AF13-'Activity data'!AK5</f>
        <v>493245.54567553324</v>
      </c>
      <c r="AL6" s="25">
        <f>'Intermediate calcs'!AG13-'Activity data'!AL5</f>
        <v>492270.00495272956</v>
      </c>
      <c r="AM6" s="25">
        <f>'Intermediate calcs'!AH13-'Activity data'!AM5</f>
        <v>494436.35317609215</v>
      </c>
      <c r="AN6" s="25">
        <f>'Intermediate calcs'!AI13-'Activity data'!AN5</f>
        <v>496575.08228912309</v>
      </c>
      <c r="AO6" s="25">
        <f>'Intermediate calcs'!AJ13-'Activity data'!AO5</f>
        <v>498720.01113060466</v>
      </c>
      <c r="AP6" s="25">
        <f>'Intermediate calcs'!AK13-'Activity data'!AP5</f>
        <v>500841.16379183333</v>
      </c>
      <c r="AQ6" s="25">
        <f>'Intermediate calcs'!AL13-'Activity data'!AQ5</f>
        <v>502989.89440074307</v>
      </c>
      <c r="AR6" s="25">
        <f>'Intermediate calcs'!AM13-'Activity data'!AR5</f>
        <v>505387.7933759864</v>
      </c>
      <c r="AS6" s="25">
        <f>'Intermediate calcs'!AN13-'Activity data'!AS5</f>
        <v>507778.38017576071</v>
      </c>
      <c r="AT6" s="25">
        <f>'Intermediate calcs'!AO13-'Activity data'!AT5</f>
        <v>510206.29622235778</v>
      </c>
      <c r="AU6" s="25">
        <f>'Intermediate calcs'!AP13-'Activity data'!AU5</f>
        <v>512661.9305645912</v>
      </c>
      <c r="AV6" s="25">
        <f>'Intermediate calcs'!AQ13-'Activity data'!AV5</f>
        <v>515147.81312229333</v>
      </c>
      <c r="AW6" s="25">
        <f>'Intermediate calcs'!AR13-'Activity data'!AW5</f>
        <v>517757.0517578203</v>
      </c>
      <c r="AX6" s="25">
        <f>'Intermediate calcs'!AS13-'Activity data'!AX5</f>
        <v>520316.56166238559</v>
      </c>
      <c r="AY6" s="25">
        <f>'Intermediate calcs'!AT13-'Activity data'!AY5</f>
        <v>522988.23453978554</v>
      </c>
      <c r="AZ6" s="25">
        <f>'Intermediate calcs'!AU13-'Activity data'!AZ5</f>
        <v>525738.31907296542</v>
      </c>
      <c r="BA6" s="25">
        <f>'Intermediate calcs'!AV13-'Activity data'!BA5</f>
        <v>528571.05926398397</v>
      </c>
      <c r="BB6" s="25">
        <f>'Intermediate calcs'!AW13-'Activity data'!BB5</f>
        <v>531502.50208109769</v>
      </c>
      <c r="BC6" s="25">
        <f>'Intermediate calcs'!AX13-'Activity data'!BC5</f>
        <v>534490.79790684523</v>
      </c>
      <c r="BD6" s="25">
        <f>'Intermediate calcs'!AY13-'Activity data'!BD5</f>
        <v>537500.21436691843</v>
      </c>
      <c r="BE6" s="25">
        <f>'Intermediate calcs'!AZ13-'Activity data'!BE5</f>
        <v>540567.02003277349</v>
      </c>
      <c r="BF6" s="25">
        <f>'Intermediate calcs'!BA13-'Activity data'!BF5</f>
        <v>543723.32913280139</v>
      </c>
      <c r="BG6" s="25">
        <f>'Intermediate calcs'!BB13-'Activity data'!BG5</f>
        <v>547170.84236030234</v>
      </c>
      <c r="BH6" s="25">
        <f>'Intermediate calcs'!BC13-'Activity data'!BH5</f>
        <v>550687.06446802232</v>
      </c>
      <c r="BI6" s="25">
        <f>'Intermediate calcs'!BD13-'Activity data'!BI5</f>
        <v>554268.07872591482</v>
      </c>
      <c r="BJ6" s="25">
        <f>'Intermediate calcs'!BE13-'Activity data'!BJ5</f>
        <v>557923.55305236834</v>
      </c>
      <c r="BK6" s="25">
        <f>'Intermediate calcs'!BF13-'Activity data'!BK5</f>
        <v>561691.81831870321</v>
      </c>
      <c r="BL6" s="25">
        <f>'Intermediate calcs'!BG13-'Activity data'!BL5</f>
        <v>565491.05826509278</v>
      </c>
      <c r="BM6" s="25">
        <f>'Intermediate calcs'!BH13-'Activity data'!BM5</f>
        <v>569387.54972303961</v>
      </c>
      <c r="BN6" s="25">
        <f>'Intermediate calcs'!BI13-'Activity data'!BN5</f>
        <v>573308.42849552038</v>
      </c>
      <c r="BO6" s="25">
        <f>'Intermediate calcs'!BJ13-'Activity data'!BO5</f>
        <v>577335.37283680972</v>
      </c>
      <c r="BP6" s="25">
        <f>'Intermediate calcs'!BK13-'Activity data'!BP5</f>
        <v>581477.23379947548</v>
      </c>
    </row>
    <row r="7" spans="1:72" s="24" customFormat="1" x14ac:dyDescent="0.25">
      <c r="A7" s="24" t="str">
        <f t="shared" si="0"/>
        <v>3A Livestock</v>
      </c>
      <c r="C7" s="24" t="str">
        <f>'IPCC Categories'!D6</f>
        <v>3A1aii Other cattle</v>
      </c>
      <c r="D7" t="str">
        <f>'IPCC Categories'!F41</f>
        <v>Non-lactating</v>
      </c>
      <c r="E7" s="24" t="str">
        <f>E6</f>
        <v>Population</v>
      </c>
      <c r="F7" s="24" t="str">
        <f>F6</f>
        <v>Head</v>
      </c>
      <c r="H7" s="44">
        <v>585792.9</v>
      </c>
      <c r="I7" s="44">
        <v>665847.14000000013</v>
      </c>
      <c r="J7" s="44">
        <v>575959.50999999989</v>
      </c>
      <c r="K7" s="44">
        <v>602759.85000000009</v>
      </c>
      <c r="L7" s="44">
        <v>536625.95000000007</v>
      </c>
      <c r="M7" s="44">
        <v>583093.06999999995</v>
      </c>
      <c r="N7" s="44">
        <v>592926.46</v>
      </c>
      <c r="O7" s="44">
        <v>572912.89999999991</v>
      </c>
      <c r="P7" s="44">
        <v>543412.73</v>
      </c>
      <c r="Q7" s="44">
        <v>572566.12</v>
      </c>
      <c r="R7" s="44">
        <v>709614.43</v>
      </c>
      <c r="S7" s="44">
        <v>699781.04</v>
      </c>
      <c r="T7" s="44">
        <v>642440.19000000006</v>
      </c>
      <c r="U7" s="44">
        <v>543412.73</v>
      </c>
      <c r="V7" s="44">
        <v>507125.77999999997</v>
      </c>
      <c r="W7" s="44">
        <v>553592.9</v>
      </c>
      <c r="X7" s="44">
        <v>546806.12</v>
      </c>
      <c r="Y7" s="44">
        <v>553246.12</v>
      </c>
      <c r="Z7" s="44">
        <v>647220.70000000019</v>
      </c>
      <c r="AA7" s="44">
        <v>673674.26</v>
      </c>
      <c r="AB7" s="44">
        <v>673674.26</v>
      </c>
      <c r="AC7" s="44">
        <v>633993.92000000016</v>
      </c>
      <c r="AD7" s="44">
        <v>620420.36</v>
      </c>
      <c r="AE7" s="44">
        <v>699781.04</v>
      </c>
      <c r="AF7" s="44">
        <v>627207.14</v>
      </c>
      <c r="AG7" s="44">
        <v>614327.14</v>
      </c>
      <c r="AH7" s="44">
        <v>627900.70000000007</v>
      </c>
      <c r="AI7" s="44">
        <v>690987.99</v>
      </c>
      <c r="AJ7" s="25">
        <f>TREND($H$7:$AI$7,'Intermediate calcs'!$C$13:$AD$13,'Intermediate calcs'!AE$13,TRUE)</f>
        <v>658511.57576473523</v>
      </c>
      <c r="AK7" s="25">
        <f>TREND($H$7:$AI$7,'Intermediate calcs'!$C$13:$AD$13,'Intermediate calcs'!AF$13,TRUE)</f>
        <v>660402.61233112914</v>
      </c>
      <c r="AL7" s="25">
        <f>TREND($H$7:$AI$7,'Intermediate calcs'!$C$13:$AD$13,'Intermediate calcs'!AG$13,TRUE)</f>
        <v>659343.2868716314</v>
      </c>
      <c r="AM7" s="25">
        <f>TREND($H$7:$AI$7,'Intermediate calcs'!$C$13:$AD$13,'Intermediate calcs'!AH$13,TRUE)</f>
        <v>661695.69284864725</v>
      </c>
      <c r="AN7" s="25">
        <f>TREND($H$7:$AI$7,'Intermediate calcs'!$C$13:$AD$13,'Intermediate calcs'!AI$13,TRUE)</f>
        <v>664018.10763610108</v>
      </c>
      <c r="AO7" s="25">
        <f>TREND($H$7:$AI$7,'Intermediate calcs'!$C$13:$AD$13,'Intermediate calcs'!AJ$13,TRUE)</f>
        <v>666347.25461836345</v>
      </c>
      <c r="AP7" s="25">
        <f>TREND($H$7:$AI$7,'Intermediate calcs'!$C$13:$AD$13,'Intermediate calcs'!AK$13,TRUE)</f>
        <v>668650.58339285408</v>
      </c>
      <c r="AQ7" s="25">
        <f>TREND($H$7:$AI$7,'Intermediate calcs'!$C$13:$AD$13,'Intermediate calcs'!AL$13,TRUE)</f>
        <v>670983.8586589836</v>
      </c>
      <c r="AR7" s="25">
        <f>TREND($H$7:$AI$7,'Intermediate calcs'!$C$13:$AD$13,'Intermediate calcs'!AM$13,TRUE)</f>
        <v>673587.70222430234</v>
      </c>
      <c r="AS7" s="25">
        <f>TREND($H$7:$AI$7,'Intermediate calcs'!$C$13:$AD$13,'Intermediate calcs'!AN$13,TRUE)</f>
        <v>676183.60560480086</v>
      </c>
      <c r="AT7" s="25">
        <f>TREND($H$7:$AI$7,'Intermediate calcs'!$C$13:$AD$13,'Intermediate calcs'!AO$13,TRUE)</f>
        <v>678820.04427062278</v>
      </c>
      <c r="AU7" s="25">
        <f>TREND($H$7:$AI$7,'Intermediate calcs'!$C$13:$AD$13,'Intermediate calcs'!AP$13,TRUE)</f>
        <v>681486.58182988386</v>
      </c>
      <c r="AV7" s="25">
        <f>TREND($H$7:$AI$7,'Intermediate calcs'!$C$13:$AD$13,'Intermediate calcs'!AQ$13,TRUE)</f>
        <v>684185.96548567526</v>
      </c>
      <c r="AW7" s="25">
        <f>TREND($H$7:$AI$7,'Intermediate calcs'!$C$13:$AD$13,'Intermediate calcs'!AR$13,TRUE)</f>
        <v>687019.29970936105</v>
      </c>
      <c r="AX7" s="25">
        <f>TREND($H$7:$AI$7,'Intermediate calcs'!$C$13:$AD$13,'Intermediate calcs'!AS$13,TRUE)</f>
        <v>689798.63422852918</v>
      </c>
      <c r="AY7" s="25">
        <f>TREND($H$7:$AI$7,'Intermediate calcs'!$C$13:$AD$13,'Intermediate calcs'!AT$13,TRUE)</f>
        <v>692699.76488594082</v>
      </c>
      <c r="AZ7" s="25">
        <f>TREND($H$7:$AI$7,'Intermediate calcs'!$C$13:$AD$13,'Intermediate calcs'!AU$13,TRUE)</f>
        <v>695686.04161808547</v>
      </c>
      <c r="BA7" s="25">
        <f>TREND($H$7:$AI$7,'Intermediate calcs'!$C$13:$AD$13,'Intermediate calcs'!AV$13,TRUE)</f>
        <v>698762.07292497368</v>
      </c>
      <c r="BB7" s="25">
        <f>TREND($H$7:$AI$7,'Intermediate calcs'!$C$13:$AD$13,'Intermediate calcs'!AW$13,TRUE)</f>
        <v>701945.28397566732</v>
      </c>
      <c r="BC7" s="25">
        <f>TREND($H$7:$AI$7,'Intermediate calcs'!$C$13:$AD$13,'Intermediate calcs'!AX$13,TRUE)</f>
        <v>705190.23088021833</v>
      </c>
      <c r="BD7" s="25">
        <f>TREND($H$7:$AI$7,'Intermediate calcs'!$C$13:$AD$13,'Intermediate calcs'!AY$13,TRUE)</f>
        <v>708458.11237390409</v>
      </c>
      <c r="BE7" s="25">
        <f>TREND($H$7:$AI$7,'Intermediate calcs'!$C$13:$AD$13,'Intermediate calcs'!AZ$13,TRUE)</f>
        <v>711788.3119701189</v>
      </c>
      <c r="BF7" s="25">
        <f>TREND($H$7:$AI$7,'Intermediate calcs'!$C$13:$AD$13,'Intermediate calcs'!BA$13,TRUE)</f>
        <v>715215.70204164227</v>
      </c>
      <c r="BG7" s="25">
        <f>TREND($H$7:$AI$7,'Intermediate calcs'!$C$13:$AD$13,'Intermediate calcs'!BB$13,TRUE)</f>
        <v>718959.30643301085</v>
      </c>
      <c r="BH7" s="25">
        <f>TREND($H$7:$AI$7,'Intermediate calcs'!$C$13:$AD$13,'Intermediate calcs'!BC$13,TRUE)</f>
        <v>722777.52079647849</v>
      </c>
      <c r="BI7" s="25">
        <f>TREND($H$7:$AI$7,'Intermediate calcs'!$C$13:$AD$13,'Intermediate calcs'!BD$13,TRUE)</f>
        <v>726666.09201194509</v>
      </c>
      <c r="BJ7" s="25">
        <f>TREND($H$7:$AI$7,'Intermediate calcs'!$C$13:$AD$13,'Intermediate calcs'!BE$13,TRUE)</f>
        <v>730635.51833114936</v>
      </c>
      <c r="BK7" s="25">
        <f>TREND($H$7:$AI$7,'Intermediate calcs'!$C$13:$AD$13,'Intermediate calcs'!BF$13,TRUE)</f>
        <v>734727.42268886487</v>
      </c>
      <c r="BL7" s="25">
        <f>TREND($H$7:$AI$7,'Intermediate calcs'!$C$13:$AD$13,'Intermediate calcs'!BG$13,TRUE)</f>
        <v>738852.96200042195</v>
      </c>
      <c r="BM7" s="25">
        <f>TREND($H$7:$AI$7,'Intermediate calcs'!$C$13:$AD$13,'Intermediate calcs'!BH$13,TRUE)</f>
        <v>743084.10531164682</v>
      </c>
      <c r="BN7" s="25">
        <f>TREND($H$7:$AI$7,'Intermediate calcs'!$C$13:$AD$13,'Intermediate calcs'!BI$13,TRUE)</f>
        <v>747341.73045245698</v>
      </c>
      <c r="BO7" s="25">
        <f>TREND($H$7:$AI$7,'Intermediate calcs'!$C$13:$AD$13,'Intermediate calcs'!BJ$13,TRUE)</f>
        <v>751714.53064930392</v>
      </c>
      <c r="BP7" s="25">
        <f>TREND($H$7:$AI$7,'Intermediate calcs'!$C$13:$AD$13,'Intermediate calcs'!BK$13,TRUE)</f>
        <v>756212.11713123135</v>
      </c>
    </row>
    <row r="8" spans="1:72" s="24" customFormat="1" x14ac:dyDescent="0.25">
      <c r="A8" s="24" t="str">
        <f t="shared" si="0"/>
        <v>3A Livestock</v>
      </c>
      <c r="C8" s="24" t="str">
        <f>C7</f>
        <v>3A1aii Other cattle</v>
      </c>
      <c r="D8" t="str">
        <f>'IPCC Categories'!$F$36</f>
        <v>Commercial</v>
      </c>
      <c r="E8" s="24" t="str">
        <f>E6</f>
        <v>Population</v>
      </c>
      <c r="F8" s="24" t="str">
        <f>F6</f>
        <v>Head</v>
      </c>
      <c r="H8" s="44">
        <v>6817100</v>
      </c>
      <c r="I8" s="44">
        <v>6522860</v>
      </c>
      <c r="J8" s="44">
        <v>6520490</v>
      </c>
      <c r="K8" s="44">
        <v>6100150</v>
      </c>
      <c r="L8" s="44">
        <v>6284050</v>
      </c>
      <c r="M8" s="44">
        <v>6426930</v>
      </c>
      <c r="N8" s="44">
        <v>6693540</v>
      </c>
      <c r="O8" s="44">
        <v>6947100</v>
      </c>
      <c r="P8" s="44">
        <v>7007270</v>
      </c>
      <c r="Q8" s="44">
        <v>6893880</v>
      </c>
      <c r="R8" s="44">
        <v>6425570</v>
      </c>
      <c r="S8" s="44">
        <v>6458960</v>
      </c>
      <c r="T8" s="44">
        <v>6019810</v>
      </c>
      <c r="U8" s="44">
        <v>6177270</v>
      </c>
      <c r="V8" s="44">
        <v>6234220</v>
      </c>
      <c r="W8" s="44">
        <v>6287100</v>
      </c>
      <c r="X8" s="44">
        <v>6143880</v>
      </c>
      <c r="Y8" s="44">
        <v>6323880</v>
      </c>
      <c r="Z8" s="44">
        <v>6148152.25</v>
      </c>
      <c r="AA8" s="44">
        <v>6044920.583333333</v>
      </c>
      <c r="AB8" s="44">
        <v>6025917.666666667</v>
      </c>
      <c r="AC8" s="44">
        <v>6004279.833333333</v>
      </c>
      <c r="AD8" s="44">
        <v>7105366.333333334</v>
      </c>
      <c r="AE8" s="44">
        <v>5896311</v>
      </c>
      <c r="AF8" s="44">
        <v>6031835</v>
      </c>
      <c r="AG8" s="44">
        <v>5893460</v>
      </c>
      <c r="AH8" s="44">
        <v>5611164</v>
      </c>
      <c r="AI8" s="44">
        <v>5220425</v>
      </c>
      <c r="AJ8" s="25">
        <f>TREND($H$8:$AI$8,'Intermediate calcs'!$C$8:$AD$8,'Intermediate calcs'!AE$8,TRUE)</f>
        <v>5849245.1823920868</v>
      </c>
      <c r="AK8" s="25">
        <f>TREND($H$8:$AI$8,'Intermediate calcs'!$C$8:$AD$8,'Intermediate calcs'!AF$8,TRUE)</f>
        <v>5831482.41232026</v>
      </c>
      <c r="AL8" s="25">
        <f>TREND($H$8:$AI$8,'Intermediate calcs'!$C$8:$AD$8,'Intermediate calcs'!AG$8,TRUE)</f>
        <v>5839518.3563064057</v>
      </c>
      <c r="AM8" s="25">
        <f>TREND($H$8:$AI$8,'Intermediate calcs'!$C$8:$AD$8,'Intermediate calcs'!AH$8,TRUE)</f>
        <v>5817704.5572581347</v>
      </c>
      <c r="AN8" s="25">
        <f>TREND($H$8:$AI$8,'Intermediate calcs'!$C$8:$AD$8,'Intermediate calcs'!AI$8,TRUE)</f>
        <v>5796153.0088030808</v>
      </c>
      <c r="AO8" s="25">
        <f>TREND($H$8:$AI$8,'Intermediate calcs'!$C$8:$AD$8,'Intermediate calcs'!AJ$8,TRUE)</f>
        <v>5774542.5923286723</v>
      </c>
      <c r="AP8" s="25">
        <f>TREND($H$8:$AI$8,'Intermediate calcs'!$C$8:$AD$8,'Intermediate calcs'!AK$8,TRUE)</f>
        <v>5753157.9368130723</v>
      </c>
      <c r="AQ8" s="25">
        <f>TREND($H$8:$AI$8,'Intermediate calcs'!$C$8:$AD$8,'Intermediate calcs'!AL$8,TRUE)</f>
        <v>5731511.4215542283</v>
      </c>
      <c r="AR8" s="25">
        <f>TREND($H$8:$AI$8,'Intermediate calcs'!$C$8:$AD$8,'Intermediate calcs'!AM$8,TRUE)</f>
        <v>5707395.2675645482</v>
      </c>
      <c r="AS8" s="25">
        <f>TREND($H$8:$AI$8,'Intermediate calcs'!$C$8:$AD$8,'Intermediate calcs'!AN$8,TRUE)</f>
        <v>5683348.5445653517</v>
      </c>
      <c r="AT8" s="25">
        <f>TREND($H$8:$AI$8,'Intermediate calcs'!$C$8:$AD$8,'Intermediate calcs'!AO$8,TRUE)</f>
        <v>5658947.3707475308</v>
      </c>
      <c r="AU8" s="25">
        <f>TREND($H$8:$AI$8,'Intermediate calcs'!$C$8:$AD$8,'Intermediate calcs'!AP$8,TRUE)</f>
        <v>5634283.0045694206</v>
      </c>
      <c r="AV8" s="25">
        <f>TREND($H$8:$AI$8,'Intermediate calcs'!$C$8:$AD$8,'Intermediate calcs'!AQ$8,TRUE)</f>
        <v>5609331.4237902323</v>
      </c>
      <c r="AW8" s="25">
        <f>TREND($H$8:$AI$8,'Intermediate calcs'!$C$8:$AD$8,'Intermediate calcs'!AR$8,TRUE)</f>
        <v>5583254.2925702808</v>
      </c>
      <c r="AX8" s="25">
        <f>TREND($H$8:$AI$8,'Intermediate calcs'!$C$8:$AD$8,'Intermediate calcs'!AS$8,TRUE)</f>
        <v>5557649.3484892547</v>
      </c>
      <c r="AY8" s="25">
        <f>TREND($H$8:$AI$8,'Intermediate calcs'!$C$8:$AD$8,'Intermediate calcs'!AT$8,TRUE)</f>
        <v>5530979.3880529245</v>
      </c>
      <c r="AZ8" s="25">
        <f>TREND($H$8:$AI$8,'Intermediate calcs'!$C$8:$AD$8,'Intermediate calcs'!AU$8,TRUE)</f>
        <v>5503564.8887606207</v>
      </c>
      <c r="BA8" s="25">
        <f>TREND($H$8:$AI$8,'Intermediate calcs'!$C$8:$AD$8,'Intermediate calcs'!AV$8,TRUE)</f>
        <v>5475365.5526961256</v>
      </c>
      <c r="BB8" s="25">
        <f>TREND($H$8:$AI$8,'Intermediate calcs'!$C$8:$AD$8,'Intermediate calcs'!AW$8,TRUE)</f>
        <v>5446177.8323301179</v>
      </c>
      <c r="BC8" s="25">
        <f>TREND($H$8:$AI$8,'Intermediate calcs'!$C$8:$AD$8,'Intermediate calcs'!AX$8,TRUE)</f>
        <v>5416450.2779956646</v>
      </c>
      <c r="BD8" s="25">
        <f>TREND($H$8:$AI$8,'Intermediate calcs'!$C$8:$AD$8,'Intermediate calcs'!AY$8,TRUE)</f>
        <v>5386522.1778182937</v>
      </c>
      <c r="BE8" s="25">
        <f>TREND($H$8:$AI$8,'Intermediate calcs'!$C$8:$AD$8,'Intermediate calcs'!AZ$8,TRUE)</f>
        <v>5356049.1523194155</v>
      </c>
      <c r="BF8" s="25">
        <f>TREND($H$8:$AI$8,'Intermediate calcs'!$C$8:$AD$8,'Intermediate calcs'!BA$8,TRUE)</f>
        <v>5324726.2686473271</v>
      </c>
      <c r="BG8" s="25">
        <f>TREND($H$8:$AI$8,'Intermediate calcs'!$C$8:$AD$8,'Intermediate calcs'!BB$8,TRUE)</f>
        <v>5290446.8508591615</v>
      </c>
      <c r="BH8" s="25">
        <f>TREND($H$8:$AI$8,'Intermediate calcs'!$C$8:$AD$8,'Intermediate calcs'!BC$8,TRUE)</f>
        <v>5255515.0245694593</v>
      </c>
      <c r="BI8" s="25">
        <f>TREND($H$8:$AI$8,'Intermediate calcs'!$C$8:$AD$8,'Intermediate calcs'!BD$8,TRUE)</f>
        <v>5219967.9800934605</v>
      </c>
      <c r="BJ8" s="25">
        <f>TREND($H$8:$AI$8,'Intermediate calcs'!$C$8:$AD$8,'Intermediate calcs'!BE$8,TRUE)</f>
        <v>5183713.9180775303</v>
      </c>
      <c r="BK8" s="25">
        <f>TREND($H$8:$AI$8,'Intermediate calcs'!$C$8:$AD$8,'Intermediate calcs'!BF$8,TRUE)</f>
        <v>5146388.8770203134</v>
      </c>
      <c r="BL8" s="25">
        <f>TREND($H$8:$AI$8,'Intermediate calcs'!$C$8:$AD$8,'Intermediate calcs'!BG$8,TRUE)</f>
        <v>5108824.2313753776</v>
      </c>
      <c r="BM8" s="25">
        <f>TREND($H$8:$AI$8,'Intermediate calcs'!$C$8:$AD$8,'Intermediate calcs'!BH$8,TRUE)</f>
        <v>5070336.157565726</v>
      </c>
      <c r="BN8" s="25">
        <f>TREND($H$8:$AI$8,'Intermediate calcs'!$C$8:$AD$8,'Intermediate calcs'!BI$8,TRUE)</f>
        <v>5031616.5198968137</v>
      </c>
      <c r="BO8" s="25">
        <f>TREND($H$8:$AI$8,'Intermediate calcs'!$C$8:$AD$8,'Intermediate calcs'!BJ$8,TRUE)</f>
        <v>4991889.7623410886</v>
      </c>
      <c r="BP8" s="25">
        <f>TREND($H$8:$AI$8,'Intermediate calcs'!$C$8:$AD$8,'Intermediate calcs'!BK$8,TRUE)</f>
        <v>4951071.8418504782</v>
      </c>
    </row>
    <row r="9" spans="1:72" s="24" customFormat="1" x14ac:dyDescent="0.25">
      <c r="A9" s="24" t="str">
        <f t="shared" si="0"/>
        <v>3A Livestock</v>
      </c>
      <c r="C9" s="24" t="str">
        <f>$C$8</f>
        <v>3A1aii Other cattle</v>
      </c>
      <c r="D9" t="str">
        <f>'IPCC Categories'!$F$37</f>
        <v>Subsistence</v>
      </c>
      <c r="E9" s="24" t="str">
        <f t="shared" ref="E9:E22" si="1">E8</f>
        <v>Population</v>
      </c>
      <c r="F9" s="24" t="str">
        <f t="shared" ref="F9:F22" si="2">F8</f>
        <v>Head</v>
      </c>
      <c r="H9" s="44">
        <v>5689999.9999999991</v>
      </c>
      <c r="I9" s="44">
        <v>6130000</v>
      </c>
      <c r="J9" s="44">
        <v>6190000</v>
      </c>
      <c r="K9" s="44">
        <v>6189999.9999999991</v>
      </c>
      <c r="L9" s="44">
        <v>5440000</v>
      </c>
      <c r="M9" s="44">
        <v>5369999.9999999991</v>
      </c>
      <c r="N9" s="44">
        <v>5500000</v>
      </c>
      <c r="O9" s="44">
        <v>5659999.9999999991</v>
      </c>
      <c r="P9" s="44">
        <v>5910000.0000000009</v>
      </c>
      <c r="Q9" s="44">
        <v>6119999.9999999991</v>
      </c>
      <c r="R9" s="44">
        <v>6290000</v>
      </c>
      <c r="S9" s="44">
        <v>6160000</v>
      </c>
      <c r="T9" s="44">
        <v>6650000</v>
      </c>
      <c r="U9" s="44">
        <v>6640000.0000000009</v>
      </c>
      <c r="V9" s="44">
        <v>6500000.0000000009</v>
      </c>
      <c r="W9" s="44">
        <v>6419999.9999999991</v>
      </c>
      <c r="X9" s="44">
        <v>6570000</v>
      </c>
      <c r="Y9" s="44">
        <v>6789999.9999999991</v>
      </c>
      <c r="Z9" s="44">
        <v>6920000</v>
      </c>
      <c r="AA9" s="44">
        <v>6900000.0000000009</v>
      </c>
      <c r="AB9" s="44">
        <v>6820000</v>
      </c>
      <c r="AC9" s="44">
        <v>6800000</v>
      </c>
      <c r="AD9" s="44">
        <v>5890000</v>
      </c>
      <c r="AE9" s="44">
        <v>7040000</v>
      </c>
      <c r="AF9" s="44">
        <v>6919999.9999999991</v>
      </c>
      <c r="AG9" s="44">
        <v>6840000</v>
      </c>
      <c r="AH9" s="44">
        <v>6780000.0000000009</v>
      </c>
      <c r="AI9" s="44">
        <v>6710000</v>
      </c>
      <c r="AJ9" s="25">
        <f>TREND($H$9:$AI$9,Drivers!$D$4:$AE$4,Drivers!AF$4,TRUE)</f>
        <v>6968852.0306321168</v>
      </c>
      <c r="AK9" s="25">
        <f>(0.0999*Drivers!AG4)+2000000</f>
        <v>7657171.7893759999</v>
      </c>
      <c r="AL9" s="25">
        <f>(0.0999*Drivers!AH4)+2000000</f>
        <v>7710566.8468699995</v>
      </c>
      <c r="AM9" s="25">
        <f>(0.0999*Drivers!AI4)+2000000</f>
        <v>7764688.4990419997</v>
      </c>
      <c r="AN9" s="25">
        <f>(0.0999*Drivers!AJ4)+2000000</f>
        <v>7818810.1502149999</v>
      </c>
      <c r="AO9" s="25">
        <f>(0.0999*Drivers!AK4)+2000000</f>
        <v>7872931.8013880001</v>
      </c>
      <c r="AP9" s="25">
        <f>(0.0999*Drivers!AL4)+2000000</f>
        <v>7927053.4525610004</v>
      </c>
      <c r="AQ9" s="25">
        <f>(0.0999*Drivers!AM4)+2000000</f>
        <v>7981175.1047329996</v>
      </c>
      <c r="AR9" s="25">
        <f>(0.0999*Drivers!AN4)+2000000</f>
        <v>8039810.1080360003</v>
      </c>
      <c r="AS9" s="25">
        <f>(0.0999*Drivers!AO4)+2000000</f>
        <v>8098445.1113390001</v>
      </c>
      <c r="AT9" s="25">
        <f>(0.0999*Drivers!AP4)+2000000</f>
        <v>8157080.1146419998</v>
      </c>
      <c r="AU9" s="25">
        <f>(0.0999*Drivers!AQ4)+2000000</f>
        <v>8215715.1179449996</v>
      </c>
      <c r="AV9" s="25">
        <f>(0.0999*Drivers!AR4)+2000000</f>
        <v>8274350.1212480003</v>
      </c>
      <c r="AW9" s="25">
        <f>(0.0999*Drivers!AS4)+2000000</f>
        <v>8330994.4582099998</v>
      </c>
      <c r="AX9" s="25">
        <f>(0.0999*Drivers!AT4)+2000000</f>
        <v>8387638.7941729994</v>
      </c>
      <c r="AY9" s="25">
        <f>(0.0999*Drivers!AU4)+2000000</f>
        <v>8444283.1311349999</v>
      </c>
      <c r="AZ9" s="25">
        <f>(0.0999*Drivers!AV4)+2000000</f>
        <v>8500927.4670980014</v>
      </c>
      <c r="BA9" s="25">
        <f>(0.0999*Drivers!AW4)+2000000</f>
        <v>8557571.803061001</v>
      </c>
      <c r="BB9" s="25">
        <f>(0.0999*Drivers!AX4)+2000000</f>
        <v>8616443.0938400012</v>
      </c>
      <c r="BC9" s="25">
        <f>(0.0999*Drivers!AY4)+2000000</f>
        <v>8675314.3846190013</v>
      </c>
      <c r="BD9" s="25">
        <f>(0.0999*Drivers!AZ4)+2000000</f>
        <v>8734185.6743989997</v>
      </c>
      <c r="BE9" s="25">
        <f>(0.0999*Drivers!BA4)+2000000</f>
        <v>8793056.9651779998</v>
      </c>
      <c r="BF9" s="25">
        <f>(0.0999*Drivers!BB4)+2000000</f>
        <v>8851928.255957</v>
      </c>
      <c r="BG9" s="25">
        <f>(0.0999*Drivers!BC4)+2000000</f>
        <v>8919131.5034389999</v>
      </c>
      <c r="BH9" s="25">
        <f>(0.0999*Drivers!BD4)+2000000</f>
        <v>8986334.7499219999</v>
      </c>
      <c r="BI9" s="25">
        <f>(0.0999*Drivers!BE4)+2000000</f>
        <v>9053537.9974040017</v>
      </c>
      <c r="BJ9" s="25">
        <f>(0.0999*Drivers!BF4)+2000000</f>
        <v>9120741.2448859997</v>
      </c>
      <c r="BK9" s="25">
        <f>(0.0999*Drivers!BG4)+2000000</f>
        <v>9187944.4923679996</v>
      </c>
      <c r="BL9" s="25">
        <f>(0.0999*Drivers!BH4)+2000000</f>
        <v>9252775.8581060022</v>
      </c>
      <c r="BM9" s="25">
        <f>(0.0999*Drivers!BI4)+2000000</f>
        <v>9317607.2238439992</v>
      </c>
      <c r="BN9" s="25">
        <f>(0.0999*Drivers!BJ4)+2000000</f>
        <v>9382438.5905810017</v>
      </c>
      <c r="BO9" s="25">
        <f>(0.0999*Drivers!BK4)+2000000</f>
        <v>9447269.9563190006</v>
      </c>
      <c r="BP9" s="25">
        <f>(0.0999*Drivers!BL4)+2000000</f>
        <v>9512101.3220570013</v>
      </c>
    </row>
    <row r="10" spans="1:72" s="24" customFormat="1" x14ac:dyDescent="0.25">
      <c r="A10" s="24" t="str">
        <f t="shared" si="0"/>
        <v>3A Livestock</v>
      </c>
      <c r="C10" s="24" t="str">
        <f>$C$9</f>
        <v>3A1aii Other cattle</v>
      </c>
      <c r="D10" t="str">
        <f>'IPCC Categories'!$F$38</f>
        <v>Feedlot</v>
      </c>
      <c r="E10" s="24" t="str">
        <f t="shared" si="1"/>
        <v>Population</v>
      </c>
      <c r="F10" s="24" t="str">
        <f t="shared" si="2"/>
        <v>Head</v>
      </c>
      <c r="H10" s="44">
        <v>420000</v>
      </c>
      <c r="I10" s="44">
        <v>420000</v>
      </c>
      <c r="J10" s="44">
        <v>420000</v>
      </c>
      <c r="K10" s="44">
        <v>420000</v>
      </c>
      <c r="L10" s="44">
        <v>420000</v>
      </c>
      <c r="M10" s="44">
        <v>420000</v>
      </c>
      <c r="N10" s="44">
        <v>420000</v>
      </c>
      <c r="O10" s="44">
        <v>420000</v>
      </c>
      <c r="P10" s="44">
        <v>420000</v>
      </c>
      <c r="Q10" s="44">
        <v>420000</v>
      </c>
      <c r="R10" s="44">
        <v>420000</v>
      </c>
      <c r="S10" s="44">
        <v>420000</v>
      </c>
      <c r="T10" s="44">
        <v>420000</v>
      </c>
      <c r="U10" s="44">
        <v>420000</v>
      </c>
      <c r="V10" s="44">
        <v>420000</v>
      </c>
      <c r="W10" s="44">
        <v>420000</v>
      </c>
      <c r="X10" s="44">
        <v>420000</v>
      </c>
      <c r="Y10" s="44">
        <v>420000</v>
      </c>
      <c r="Z10" s="44">
        <v>391147.75</v>
      </c>
      <c r="AA10" s="44">
        <v>400819.41666666669</v>
      </c>
      <c r="AB10" s="44">
        <v>399822.33333333331</v>
      </c>
      <c r="AC10" s="44">
        <v>461800.16666666669</v>
      </c>
      <c r="AD10" s="44">
        <v>484273.66666666669</v>
      </c>
      <c r="AE10" s="44">
        <v>502649</v>
      </c>
      <c r="AF10" s="44">
        <v>521025</v>
      </c>
      <c r="AG10" s="44">
        <v>539400</v>
      </c>
      <c r="AH10" s="44">
        <v>568136</v>
      </c>
      <c r="AI10" s="44">
        <v>591585</v>
      </c>
      <c r="AJ10" s="25">
        <f>TREND($Y$10:$AI$10,'Intermediate calcs'!$T$5:$AD$5,'Intermediate calcs'!AE$5,TRUE)</f>
        <v>527434.20879437565</v>
      </c>
      <c r="AK10" s="25">
        <f>TREND($Y$10:$AI$10,'Intermediate calcs'!$T$5:$AD$5,'Intermediate calcs'!AF$5,TRUE)</f>
        <v>533470.47829862661</v>
      </c>
      <c r="AL10" s="25">
        <f>TREND($Y$10:$AI$10,'Intermediate calcs'!$T$5:$AD$5,'Intermediate calcs'!AG$5,TRUE)</f>
        <v>530739.64727253723</v>
      </c>
      <c r="AM10" s="25">
        <f>TREND($Y$10:$AI$10,'Intermediate calcs'!$T$5:$AD$5,'Intermediate calcs'!AH$5,TRUE)</f>
        <v>538152.56594651029</v>
      </c>
      <c r="AN10" s="25">
        <f>TREND($Y$10:$AI$10,'Intermediate calcs'!$T$5:$AD$5,'Intermediate calcs'!AI$5,TRUE)</f>
        <v>545476.36477870704</v>
      </c>
      <c r="AO10" s="25">
        <f>TREND($Y$10:$AI$10,'Intermediate calcs'!$T$5:$AD$5,'Intermediate calcs'!AJ$5,TRUE)</f>
        <v>552820.16855543526</v>
      </c>
      <c r="AP10" s="25">
        <f>TREND($Y$10:$AI$10,'Intermediate calcs'!$T$5:$AD$5,'Intermediate calcs'!AK$5,TRUE)</f>
        <v>560087.25265469239</v>
      </c>
      <c r="AQ10" s="25">
        <f>TREND($Y$10:$AI$10,'Intermediate calcs'!$T$5:$AD$5,'Intermediate calcs'!AL$5,TRUE)</f>
        <v>567443.3237743373</v>
      </c>
      <c r="AR10" s="25">
        <f>TREND($Y$10:$AI$10,'Intermediate calcs'!$T$5:$AD$5,'Intermediate calcs'!AM$5,TRUE)</f>
        <v>575638.64490381675</v>
      </c>
      <c r="AS10" s="25">
        <f>TREND($Y$10:$AI$10,'Intermediate calcs'!$T$5:$AD$5,'Intermediate calcs'!AN$5,TRUE)</f>
        <v>583810.37150559505</v>
      </c>
      <c r="AT10" s="25">
        <f>TREND($Y$10:$AI$10,'Intermediate calcs'!$T$5:$AD$5,'Intermediate calcs'!AO$5,TRUE)</f>
        <v>592102.55007846607</v>
      </c>
      <c r="AU10" s="25">
        <f>TREND($Y$10:$AI$10,'Intermediate calcs'!$T$5:$AD$5,'Intermediate calcs'!AP$5,TRUE)</f>
        <v>600484.16853102599</v>
      </c>
      <c r="AV10" s="25">
        <f>TREND($Y$10:$AI$10,'Intermediate calcs'!$T$5:$AD$5,'Intermediate calcs'!AQ$5,TRUE)</f>
        <v>608963.39027015981</v>
      </c>
      <c r="AW10" s="25">
        <f>TREND($Y$10:$AI$10,'Intermediate calcs'!$T$5:$AD$5,'Intermediate calcs'!AR$5,TRUE)</f>
        <v>617825.1044794207</v>
      </c>
      <c r="AX10" s="25">
        <f>TREND($Y$10:$AI$10,'Intermediate calcs'!$T$5:$AD$5,'Intermediate calcs'!AS$5,TRUE)</f>
        <v>626526.35673283436</v>
      </c>
      <c r="AY10" s="25">
        <f>TREND($Y$10:$AI$10,'Intermediate calcs'!$T$5:$AD$5,'Intermediate calcs'!AT$5,TRUE)</f>
        <v>635589.53033753787</v>
      </c>
      <c r="AZ10" s="25">
        <f>TREND($Y$10:$AI$10,'Intermediate calcs'!$T$5:$AD$5,'Intermediate calcs'!AU$5,TRUE)</f>
        <v>644905.71837483649</v>
      </c>
      <c r="BA10" s="25">
        <f>TREND($Y$10:$AI$10,'Intermediate calcs'!$T$5:$AD$5,'Intermediate calcs'!AV$5,TRUE)</f>
        <v>654488.61516615492</v>
      </c>
      <c r="BB10" s="25">
        <f>TREND($Y$10:$AI$10,'Intermediate calcs'!$T$5:$AD$5,'Intermediate calcs'!AW$5,TRUE)</f>
        <v>664407.39166506263</v>
      </c>
      <c r="BC10" s="25">
        <f>TREND($Y$10:$AI$10,'Intermediate calcs'!$T$5:$AD$5,'Intermediate calcs'!AX$5,TRUE)</f>
        <v>674509.61834138678</v>
      </c>
      <c r="BD10" s="25">
        <f>TREND($Y$10:$AI$10,'Intermediate calcs'!$T$5:$AD$5,'Intermediate calcs'!AY$5,TRUE)</f>
        <v>684679.99591708742</v>
      </c>
      <c r="BE10" s="25">
        <f>TREND($Y$10:$AI$10,'Intermediate calcs'!$T$5:$AD$5,'Intermediate calcs'!AZ$5,TRUE)</f>
        <v>695035.55384962424</v>
      </c>
      <c r="BF10" s="25">
        <f>TREND($Y$10:$AI$10,'Intermediate calcs'!$T$5:$AD$5,'Intermediate calcs'!BA$5,TRUE)</f>
        <v>705679.91656616447</v>
      </c>
      <c r="BG10" s="25">
        <f>TREND($Y$10:$AI$10,'Intermediate calcs'!$T$5:$AD$5,'Intermediate calcs'!BB$5,TRUE)</f>
        <v>717328.98950813594</v>
      </c>
      <c r="BH10" s="25">
        <f>TREND($Y$10:$AI$10,'Intermediate calcs'!$T$5:$AD$5,'Intermediate calcs'!BC$5,TRUE)</f>
        <v>729199.76849743119</v>
      </c>
      <c r="BI10" s="25">
        <f>TREND($Y$10:$AI$10,'Intermediate calcs'!$T$5:$AD$5,'Intermediate calcs'!BD$5,TRUE)</f>
        <v>741279.61525945435</v>
      </c>
      <c r="BJ10" s="25">
        <f>TREND($Y$10:$AI$10,'Intermediate calcs'!$T$5:$AD$5,'Intermediate calcs'!BE$5,TRUE)</f>
        <v>753599.72569645639</v>
      </c>
      <c r="BK10" s="25">
        <f>TREND($Y$10:$AI$10,'Intermediate calcs'!$T$5:$AD$5,'Intermediate calcs'!BF$5,TRUE)</f>
        <v>766283.78376665246</v>
      </c>
      <c r="BL10" s="25">
        <f>TREND($Y$10:$AI$10,'Intermediate calcs'!$T$5:$AD$5,'Intermediate calcs'!BG$5,TRUE)</f>
        <v>779049.26595369983</v>
      </c>
      <c r="BM10" s="25">
        <f>TREND($Y$10:$AI$10,'Intermediate calcs'!$T$5:$AD$5,'Intermediate calcs'!BH$5,TRUE)</f>
        <v>792128.5539969001</v>
      </c>
      <c r="BN10" s="25">
        <f>TREND($Y$10:$AI$10,'Intermediate calcs'!$T$5:$AD$5,'Intermediate calcs'!BI$5,TRUE)</f>
        <v>805286.53370003216</v>
      </c>
      <c r="BO10" s="25">
        <f>TREND($Y$10:$AI$10,'Intermediate calcs'!$T$5:$AD$5,'Intermediate calcs'!BJ$5,TRUE)</f>
        <v>818786.75996917323</v>
      </c>
      <c r="BP10" s="25">
        <f>TREND($Y$10:$AI$10,'Intermediate calcs'!$T$5:$AD$5,'Intermediate calcs'!BK$5,TRUE)</f>
        <v>832657.7929042445</v>
      </c>
    </row>
    <row r="11" spans="1:72" s="24" customFormat="1" x14ac:dyDescent="0.25">
      <c r="A11" s="24" t="str">
        <f t="shared" si="0"/>
        <v>3A Livestock</v>
      </c>
      <c r="C11" s="24" t="str">
        <f>'IPCC Categories'!$C$7</f>
        <v>3A1c Sheep</v>
      </c>
      <c r="D11" t="str">
        <f>'IPCC Categories'!F36</f>
        <v>Commercial</v>
      </c>
      <c r="E11" s="24" t="str">
        <f t="shared" si="1"/>
        <v>Population</v>
      </c>
      <c r="F11" s="24" t="str">
        <f t="shared" si="2"/>
        <v>Head</v>
      </c>
      <c r="H11" s="44">
        <v>29979000</v>
      </c>
      <c r="I11" s="44">
        <v>28631000</v>
      </c>
      <c r="J11" s="44">
        <v>27448000</v>
      </c>
      <c r="K11" s="44">
        <v>25670000</v>
      </c>
      <c r="L11" s="44">
        <v>25851000</v>
      </c>
      <c r="M11" s="44">
        <v>25481000</v>
      </c>
      <c r="N11" s="44">
        <v>25566000</v>
      </c>
      <c r="O11" s="44">
        <v>25010000</v>
      </c>
      <c r="P11" s="44">
        <v>25079000</v>
      </c>
      <c r="Q11" s="44">
        <v>24463000</v>
      </c>
      <c r="R11" s="44">
        <v>23586000</v>
      </c>
      <c r="S11" s="44">
        <v>22998000</v>
      </c>
      <c r="T11" s="44">
        <v>22614000</v>
      </c>
      <c r="U11" s="44">
        <v>22693000</v>
      </c>
      <c r="V11" s="44">
        <v>22289000</v>
      </c>
      <c r="W11" s="44">
        <v>22236000</v>
      </c>
      <c r="X11" s="44">
        <v>21945000</v>
      </c>
      <c r="Y11" s="44">
        <v>21924000</v>
      </c>
      <c r="Z11" s="44">
        <v>21995000</v>
      </c>
      <c r="AA11" s="44">
        <v>21917000</v>
      </c>
      <c r="AB11" s="44">
        <v>21493000</v>
      </c>
      <c r="AC11" s="44">
        <v>21325000</v>
      </c>
      <c r="AD11" s="44">
        <v>21427000</v>
      </c>
      <c r="AE11" s="44">
        <v>21589000</v>
      </c>
      <c r="AF11" s="44">
        <v>21202000</v>
      </c>
      <c r="AG11" s="44">
        <v>21033000</v>
      </c>
      <c r="AH11" s="44">
        <v>20438000</v>
      </c>
      <c r="AI11" s="44">
        <v>19942000</v>
      </c>
      <c r="AJ11" s="25">
        <f>TREND($M$11:$AG$11,'Intermediate calcs'!$H$20:$AB$20,'Intermediate calcs'!AE$20,TRUE)</f>
        <v>21207783.047059998</v>
      </c>
      <c r="AK11" s="25">
        <f>TREND($M$11:$AG$11,'Intermediate calcs'!$H$20:$AB$20,'Intermediate calcs'!AF$20,TRUE)</f>
        <v>21141492.327575732</v>
      </c>
      <c r="AL11" s="25">
        <f>TREND($M$11:$AG$11,'Intermediate calcs'!$H$20:$AB$20,'Intermediate calcs'!AG$20,TRUE)</f>
        <v>20921328.674036346</v>
      </c>
      <c r="AM11" s="25">
        <f>TREND($M$11:$AG$11,'Intermediate calcs'!$H$20:$AB$20,'Intermediate calcs'!AH$20,TRUE)</f>
        <v>20876856.019817524</v>
      </c>
      <c r="AN11" s="25">
        <f>TREND($M$11:$AG$11,'Intermediate calcs'!$H$20:$AB$20,'Intermediate calcs'!AI$20,TRUE)</f>
        <v>20830819.210695058</v>
      </c>
      <c r="AO11" s="25">
        <f>TREND($M$11:$AG$11,'Intermediate calcs'!$H$20:$AB$20,'Intermediate calcs'!AJ$20,TRUE)</f>
        <v>20785133.511896931</v>
      </c>
      <c r="AP11" s="25">
        <f>TREND($M$11:$AG$11,'Intermediate calcs'!$H$20:$AB$20,'Intermediate calcs'!AK$20,TRUE)</f>
        <v>20738101.292452507</v>
      </c>
      <c r="AQ11" s="25">
        <f>TREND($M$11:$AG$11,'Intermediate calcs'!$H$20:$AB$20,'Intermediate calcs'!AL$20,TRUE)</f>
        <v>20692630.896740012</v>
      </c>
      <c r="AR11" s="25">
        <f>TREND($M$11:$AG$11,'Intermediate calcs'!$H$20:$AB$20,'Intermediate calcs'!AM$20,TRUE)</f>
        <v>20647331.785856321</v>
      </c>
      <c r="AS11" s="25">
        <f>TREND($M$11:$AG$11,'Intermediate calcs'!$H$20:$AB$20,'Intermediate calcs'!AN$20,TRUE)</f>
        <v>20601618.563238379</v>
      </c>
      <c r="AT11" s="25">
        <f>TREND($M$11:$AG$11,'Intermediate calcs'!$H$20:$AB$20,'Intermediate calcs'!AO$20,TRUE)</f>
        <v>20558019.414497044</v>
      </c>
      <c r="AU11" s="25">
        <f>TREND($M$11:$AG$11,'Intermediate calcs'!$H$20:$AB$20,'Intermediate calcs'!AP$20,TRUE)</f>
        <v>20515990.040923864</v>
      </c>
      <c r="AV11" s="25">
        <f>TREND($M$11:$AG$11,'Intermediate calcs'!$H$20:$AB$20,'Intermediate calcs'!AQ$20,TRUE)</f>
        <v>20475673.71991881</v>
      </c>
      <c r="AW11" s="25">
        <f>TREND($M$11:$AG$11,'Intermediate calcs'!$H$20:$AB$20,'Intermediate calcs'!AR$20,TRUE)</f>
        <v>20448491.806777064</v>
      </c>
      <c r="AX11" s="25">
        <f>TREND($M$11:$AG$11,'Intermediate calcs'!$H$20:$AB$20,'Intermediate calcs'!AS$20,TRUE)</f>
        <v>20418493.600652982</v>
      </c>
      <c r="AY11" s="25">
        <f>TREND($M$11:$AG$11,'Intermediate calcs'!$H$20:$AB$20,'Intermediate calcs'!AT$20,TRUE)</f>
        <v>20394847.53703896</v>
      </c>
      <c r="AZ11" s="25">
        <f>TREND($M$11:$AG$11,'Intermediate calcs'!$H$20:$AB$20,'Intermediate calcs'!AU$20,TRUE)</f>
        <v>20375642.177762516</v>
      </c>
      <c r="BA11" s="25">
        <f>TREND($M$11:$AG$11,'Intermediate calcs'!$H$20:$AB$20,'Intermediate calcs'!AV$20,TRUE)</f>
        <v>20361117.871061813</v>
      </c>
      <c r="BB11" s="25">
        <f>TREND($M$11:$AG$11,'Intermediate calcs'!$H$20:$AB$20,'Intermediate calcs'!AW$20,TRUE)</f>
        <v>20345305.247293431</v>
      </c>
      <c r="BC11" s="25">
        <f>TREND($M$11:$AG$11,'Intermediate calcs'!$H$20:$AB$20,'Intermediate calcs'!AX$20,TRUE)</f>
        <v>20332712.390077788</v>
      </c>
      <c r="BD11" s="25">
        <f>TREND($M$11:$AG$11,'Intermediate calcs'!$H$20:$AB$20,'Intermediate calcs'!AY$20,TRUE)</f>
        <v>20321315.664589006</v>
      </c>
      <c r="BE11" s="25">
        <f>TREND($M$11:$AG$11,'Intermediate calcs'!$H$20:$AB$20,'Intermediate calcs'!AZ$20,TRUE)</f>
        <v>20313169.069115937</v>
      </c>
      <c r="BF11" s="25">
        <f>TREND($M$11:$AG$11,'Intermediate calcs'!$H$20:$AB$20,'Intermediate calcs'!BA$20,TRUE)</f>
        <v>20310091.337554023</v>
      </c>
      <c r="BG11" s="25">
        <f>TREND($M$11:$AG$11,'Intermediate calcs'!$H$20:$AB$20,'Intermediate calcs'!BB$20,TRUE)</f>
        <v>20297771.385298237</v>
      </c>
      <c r="BH11" s="25">
        <f>TREND($M$11:$AG$11,'Intermediate calcs'!$H$20:$AB$20,'Intermediate calcs'!BC$20,TRUE)</f>
        <v>20289342.638365455</v>
      </c>
      <c r="BI11" s="25">
        <f>TREND($M$11:$AG$11,'Intermediate calcs'!$H$20:$AB$20,'Intermediate calcs'!BD$20,TRUE)</f>
        <v>20284583.273715131</v>
      </c>
      <c r="BJ11" s="25">
        <f>TREND($M$11:$AG$11,'Intermediate calcs'!$H$20:$AB$20,'Intermediate calcs'!BE$20,TRUE)</f>
        <v>20284040.819374885</v>
      </c>
      <c r="BK11" s="25">
        <f>TREND($M$11:$AG$11,'Intermediate calcs'!$H$20:$AB$20,'Intermediate calcs'!BF$20,TRUE)</f>
        <v>20289886.074399699</v>
      </c>
      <c r="BL11" s="25">
        <f>TREND($M$11:$AG$11,'Intermediate calcs'!$H$20:$AB$20,'Intermediate calcs'!BG$20,TRUE)</f>
        <v>20304811.304958671</v>
      </c>
      <c r="BM11" s="25">
        <f>TREND($M$11:$AG$11,'Intermediate calcs'!$H$20:$AB$20,'Intermediate calcs'!BH$20,TRUE)</f>
        <v>20325244.19767379</v>
      </c>
      <c r="BN11" s="25">
        <f>TREND($M$11:$AG$11,'Intermediate calcs'!$H$20:$AB$20,'Intermediate calcs'!BI$20,TRUE)</f>
        <v>20347058.218426161</v>
      </c>
      <c r="BO11" s="25">
        <f>TREND($M$11:$AG$11,'Intermediate calcs'!$H$20:$AB$20,'Intermediate calcs'!BJ$20,TRUE)</f>
        <v>20374879.072492622</v>
      </c>
      <c r="BP11" s="25">
        <f>TREND($M$11:$AG$11,'Intermediate calcs'!$H$20:$AB$20,'Intermediate calcs'!BK$20,TRUE)</f>
        <v>20409208.020022407</v>
      </c>
    </row>
    <row r="12" spans="1:72" s="24" customFormat="1" x14ac:dyDescent="0.25">
      <c r="A12" s="24" t="str">
        <f t="shared" si="0"/>
        <v>3A Livestock</v>
      </c>
      <c r="C12" s="24" t="str">
        <f>'IPCC Categories'!$C$7</f>
        <v>3A1c Sheep</v>
      </c>
      <c r="D12" t="str">
        <f>'IPCC Categories'!$F$37</f>
        <v>Subsistence</v>
      </c>
      <c r="E12" s="24" t="str">
        <f t="shared" si="1"/>
        <v>Population</v>
      </c>
      <c r="F12" s="24" t="str">
        <f t="shared" si="2"/>
        <v>Head</v>
      </c>
      <c r="H12" s="44">
        <v>4183862.7657327019</v>
      </c>
      <c r="I12" s="44">
        <v>3995736.1768468926</v>
      </c>
      <c r="J12" s="44">
        <v>3830636.9523276691</v>
      </c>
      <c r="K12" s="44">
        <v>3582499.6563046952</v>
      </c>
      <c r="L12" s="44">
        <v>3607759.9772159201</v>
      </c>
      <c r="M12" s="44">
        <v>3556122.8571211509</v>
      </c>
      <c r="N12" s="44">
        <v>3567985.4387645437</v>
      </c>
      <c r="O12" s="44">
        <v>3490390.1988383494</v>
      </c>
      <c r="P12" s="44">
        <v>3500019.8239371148</v>
      </c>
      <c r="Q12" s="44">
        <v>3414050.996968525</v>
      </c>
      <c r="R12" s="44">
        <v>3291657.0663655167</v>
      </c>
      <c r="S12" s="44">
        <v>3209595.9133500443</v>
      </c>
      <c r="T12" s="44">
        <v>3156004.9562787157</v>
      </c>
      <c r="U12" s="44">
        <v>3167030.1792178694</v>
      </c>
      <c r="V12" s="44">
        <v>3110648.0264657419</v>
      </c>
      <c r="W12" s="44">
        <v>3103251.3579116268</v>
      </c>
      <c r="X12" s="44">
        <v>3062639.4607560104</v>
      </c>
      <c r="Y12" s="44">
        <v>3059708.705291172</v>
      </c>
      <c r="Z12" s="44">
        <v>3069617.4499580064</v>
      </c>
      <c r="AA12" s="44">
        <v>3058731.7868028926</v>
      </c>
      <c r="AB12" s="44">
        <v>2999558.4383699675</v>
      </c>
      <c r="AC12" s="44">
        <v>2976112.3946512612</v>
      </c>
      <c r="AD12" s="44">
        <v>2990347.4926233329</v>
      </c>
      <c r="AE12" s="44">
        <v>3012956.1776377996</v>
      </c>
      <c r="AF12" s="44">
        <v>2958946.5412143511</v>
      </c>
      <c r="AG12" s="44">
        <v>2935360.9377116049</v>
      </c>
      <c r="AH12" s="44">
        <v>2852322.8662078534</v>
      </c>
      <c r="AI12" s="44">
        <v>2783101.2133240541</v>
      </c>
      <c r="AJ12" s="25">
        <f>AJ11*Constants!$H$19</f>
        <v>2969089.6265884</v>
      </c>
      <c r="AK12" s="25">
        <f>AK11*Constants!$H$19</f>
        <v>2959808.9258606029</v>
      </c>
      <c r="AL12" s="25">
        <f>AL11*Constants!$H$19</f>
        <v>2928986.0143650887</v>
      </c>
      <c r="AM12" s="25">
        <f>AM11*Constants!$H$19</f>
        <v>2922759.8427744536</v>
      </c>
      <c r="AN12" s="25">
        <f>AN11*Constants!$H$19</f>
        <v>2916314.6894973083</v>
      </c>
      <c r="AO12" s="25">
        <f>AO11*Constants!$H$19</f>
        <v>2909918.6916655707</v>
      </c>
      <c r="AP12" s="25">
        <f>AP11*Constants!$H$19</f>
        <v>2903334.1809433512</v>
      </c>
      <c r="AQ12" s="25">
        <f>AQ11*Constants!$H$19</f>
        <v>2896968.325543602</v>
      </c>
      <c r="AR12" s="25">
        <f>AR11*Constants!$H$19</f>
        <v>2890626.4500198853</v>
      </c>
      <c r="AS12" s="25">
        <f>AS11*Constants!$H$19</f>
        <v>2884226.5988533734</v>
      </c>
      <c r="AT12" s="25">
        <f>AT11*Constants!$H$19</f>
        <v>2878122.7180295866</v>
      </c>
      <c r="AU12" s="25">
        <f>AU11*Constants!$H$19</f>
        <v>2872238.605729341</v>
      </c>
      <c r="AV12" s="25">
        <f>AV11*Constants!$H$19</f>
        <v>2866594.3207886335</v>
      </c>
      <c r="AW12" s="25">
        <f>AW11*Constants!$H$19</f>
        <v>2862788.852948789</v>
      </c>
      <c r="AX12" s="25">
        <f>AX11*Constants!$H$19</f>
        <v>2858589.1040914175</v>
      </c>
      <c r="AY12" s="25">
        <f>AY11*Constants!$H$19</f>
        <v>2855278.6551854545</v>
      </c>
      <c r="AZ12" s="25">
        <f>AZ11*Constants!$H$19</f>
        <v>2852589.9048867524</v>
      </c>
      <c r="BA12" s="25">
        <f>BA11*Constants!$H$19</f>
        <v>2850556.5019486542</v>
      </c>
      <c r="BB12" s="25">
        <f>BB11*Constants!$H$19</f>
        <v>2848342.7346210806</v>
      </c>
      <c r="BC12" s="25">
        <f>BC11*Constants!$H$19</f>
        <v>2846579.7346108905</v>
      </c>
      <c r="BD12" s="25">
        <f>BD11*Constants!$H$19</f>
        <v>2844984.1930424613</v>
      </c>
      <c r="BE12" s="25">
        <f>BE11*Constants!$H$19</f>
        <v>2843843.6696762312</v>
      </c>
      <c r="BF12" s="25">
        <f>BF11*Constants!$H$19</f>
        <v>2843412.7872575633</v>
      </c>
      <c r="BG12" s="25">
        <f>BG11*Constants!$H$19</f>
        <v>2841687.9939417536</v>
      </c>
      <c r="BH12" s="25">
        <f>BH11*Constants!$H$19</f>
        <v>2840507.9693711638</v>
      </c>
      <c r="BI12" s="25">
        <f>BI11*Constants!$H$19</f>
        <v>2839841.6583201187</v>
      </c>
      <c r="BJ12" s="25">
        <f>BJ11*Constants!$H$19</f>
        <v>2839765.7147124843</v>
      </c>
      <c r="BK12" s="25">
        <f>BK11*Constants!$H$19</f>
        <v>2840584.0504159583</v>
      </c>
      <c r="BL12" s="25">
        <f>BL11*Constants!$H$19</f>
        <v>2842673.5826942143</v>
      </c>
      <c r="BM12" s="25">
        <f>BM11*Constants!$H$19</f>
        <v>2845534.187674331</v>
      </c>
      <c r="BN12" s="25">
        <f>BN11*Constants!$H$19</f>
        <v>2848588.1505796625</v>
      </c>
      <c r="BO12" s="25">
        <f>BO11*Constants!$H$19</f>
        <v>2852483.0701489672</v>
      </c>
      <c r="BP12" s="25">
        <f>BP11*Constants!$H$19</f>
        <v>2857289.1228031372</v>
      </c>
    </row>
    <row r="13" spans="1:72" s="24" customFormat="1" x14ac:dyDescent="0.25">
      <c r="A13" s="24" t="str">
        <f t="shared" si="0"/>
        <v>3A Livestock</v>
      </c>
      <c r="C13" s="24" t="str">
        <f>'IPCC Categories'!$C$8</f>
        <v>3A1d Goats</v>
      </c>
      <c r="D13" t="str">
        <f>'IPCC Categories'!F36</f>
        <v>Commercial</v>
      </c>
      <c r="E13" s="24" t="str">
        <f t="shared" si="1"/>
        <v>Population</v>
      </c>
      <c r="F13" s="24" t="str">
        <f t="shared" si="2"/>
        <v>Head</v>
      </c>
      <c r="H13" s="44">
        <v>2774000.0000000005</v>
      </c>
      <c r="I13" s="44">
        <v>2453000.0000000009</v>
      </c>
      <c r="J13" s="44">
        <v>2284999.9999999995</v>
      </c>
      <c r="K13" s="44">
        <v>2158999.9999999995</v>
      </c>
      <c r="L13" s="44">
        <v>2336999.9999999995</v>
      </c>
      <c r="M13" s="44">
        <v>2369000</v>
      </c>
      <c r="N13" s="44">
        <v>2405999.9999999995</v>
      </c>
      <c r="O13" s="44">
        <v>2394000</v>
      </c>
      <c r="P13" s="44">
        <v>2360000</v>
      </c>
      <c r="Q13" s="44">
        <v>2325000.0000000005</v>
      </c>
      <c r="R13" s="44">
        <v>2355000</v>
      </c>
      <c r="S13" s="44">
        <v>2427000.0000000005</v>
      </c>
      <c r="T13" s="44">
        <v>2216000.0000000005</v>
      </c>
      <c r="U13" s="44">
        <v>2160000</v>
      </c>
      <c r="V13" s="44">
        <v>2164000.0000000005</v>
      </c>
      <c r="W13" s="44">
        <v>2136000</v>
      </c>
      <c r="X13" s="44">
        <v>2181000</v>
      </c>
      <c r="Y13" s="44">
        <v>2116000</v>
      </c>
      <c r="Z13" s="44">
        <v>2114000.0000000005</v>
      </c>
      <c r="AA13" s="44">
        <v>2077000</v>
      </c>
      <c r="AB13" s="44">
        <v>2052000.0000000002</v>
      </c>
      <c r="AC13" s="44">
        <v>2033000.0000000002</v>
      </c>
      <c r="AD13" s="44">
        <v>2028000.0000000002</v>
      </c>
      <c r="AE13" s="44">
        <v>2005000</v>
      </c>
      <c r="AF13" s="44">
        <v>1987000.0000000002</v>
      </c>
      <c r="AG13" s="44">
        <v>1960000.0000000002</v>
      </c>
      <c r="AH13" s="44">
        <v>1900999.9999999998</v>
      </c>
      <c r="AI13" s="44">
        <v>1843000</v>
      </c>
      <c r="AJ13" s="25">
        <f>TREND($I$13:$AI$13,'Intermediate calcs'!$D$17:$AD$17,'Intermediate calcs'!AE$17,TRUE)</f>
        <v>2105769.7254571449</v>
      </c>
      <c r="AK13" s="25">
        <f>TREND($I$13:$AI$13,'Intermediate calcs'!$D$17:$AD$17,'Intermediate calcs'!AF$17,TRUE)</f>
        <v>2099699.0412406144</v>
      </c>
      <c r="AL13" s="25">
        <f>TREND($I$13:$AI$13,'Intermediate calcs'!$D$17:$AD$17,'Intermediate calcs'!AG$17,TRUE)</f>
        <v>2093834.4751239149</v>
      </c>
      <c r="AM13" s="25">
        <f>TREND($I$13:$AI$13,'Intermediate calcs'!$D$17:$AD$17,'Intermediate calcs'!AH$17,TRUE)</f>
        <v>2087650.7472204962</v>
      </c>
      <c r="AN13" s="25">
        <f>TREND($I$13:$AI$13,'Intermediate calcs'!$D$17:$AD$17,'Intermediate calcs'!AI$17,TRUE)</f>
        <v>2081469.1146717356</v>
      </c>
      <c r="AO13" s="25">
        <f>TREND($I$13:$AI$13,'Intermediate calcs'!$D$17:$AD$17,'Intermediate calcs'!AJ$17,TRUE)</f>
        <v>2075287.0117985914</v>
      </c>
      <c r="AP13" s="25">
        <f>TREND($I$13:$AI$13,'Intermediate calcs'!$D$17:$AD$17,'Intermediate calcs'!AK$17,TRUE)</f>
        <v>2069106.7126362729</v>
      </c>
      <c r="AQ13" s="25">
        <f>TREND($I$13:$AI$13,'Intermediate calcs'!$D$17:$AD$17,'Intermediate calcs'!AL$17,TRUE)</f>
        <v>2062924.3212419816</v>
      </c>
      <c r="AR13" s="25">
        <f>TREND($I$13:$AI$13,'Intermediate calcs'!$D$17:$AD$17,'Intermediate calcs'!AM$17,TRUE)</f>
        <v>2056221.0546660419</v>
      </c>
      <c r="AS13" s="25">
        <f>TREND($I$13:$AI$13,'Intermediate calcs'!$D$17:$AD$17,'Intermediate calcs'!AN$17,TRUE)</f>
        <v>2049518.3428070466</v>
      </c>
      <c r="AT13" s="25">
        <f>TREND($I$13:$AI$13,'Intermediate calcs'!$D$17:$AD$17,'Intermediate calcs'!AO$17,TRUE)</f>
        <v>2042812.7990732121</v>
      </c>
      <c r="AU13" s="25">
        <f>TREND($I$13:$AI$13,'Intermediate calcs'!$D$17:$AD$17,'Intermediate calcs'!AP$17,TRUE)</f>
        <v>2036105.152571423</v>
      </c>
      <c r="AV13" s="25">
        <f>TREND($I$13:$AI$13,'Intermediate calcs'!$D$17:$AD$17,'Intermediate calcs'!AQ$17,TRUE)</f>
        <v>2029395.2113766624</v>
      </c>
      <c r="AW13" s="25">
        <f>TREND($I$13:$AI$13,'Intermediate calcs'!$D$17:$AD$17,'Intermediate calcs'!AR$17,TRUE)</f>
        <v>2022897.313086956</v>
      </c>
      <c r="AX13" s="25">
        <f>TREND($I$13:$AI$13,'Intermediate calcs'!$D$17:$AD$17,'Intermediate calcs'!AS$17,TRUE)</f>
        <v>2016403.1874340307</v>
      </c>
      <c r="AY13" s="25">
        <f>TREND($I$13:$AI$13,'Intermediate calcs'!$D$17:$AD$17,'Intermediate calcs'!AT$17,TRUE)</f>
        <v>2009900.5527519858</v>
      </c>
      <c r="AZ13" s="25">
        <f>TREND($I$13:$AI$13,'Intermediate calcs'!$D$17:$AD$17,'Intermediate calcs'!AU$17,TRUE)</f>
        <v>2003391.9697086317</v>
      </c>
      <c r="BA13" s="25">
        <f>TREND($I$13:$AI$13,'Intermediate calcs'!$D$17:$AD$17,'Intermediate calcs'!AV$17,TRUE)</f>
        <v>1996877.1162339763</v>
      </c>
      <c r="BB13" s="25">
        <f>TREND($I$13:$AI$13,'Intermediate calcs'!$D$17:$AD$17,'Intermediate calcs'!AW$17,TRUE)</f>
        <v>1990107.094125119</v>
      </c>
      <c r="BC13" s="25">
        <f>TREND($I$13:$AI$13,'Intermediate calcs'!$D$17:$AD$17,'Intermediate calcs'!AX$17,TRUE)</f>
        <v>1983332.7590279649</v>
      </c>
      <c r="BD13" s="25">
        <f>TREND($I$13:$AI$13,'Intermediate calcs'!$D$17:$AD$17,'Intermediate calcs'!AY$17,TRUE)</f>
        <v>1976556.8217863683</v>
      </c>
      <c r="BE13" s="25">
        <f>TREND($I$13:$AI$13,'Intermediate calcs'!$D$17:$AD$17,'Intermediate calcs'!AZ$17,TRUE)</f>
        <v>1969776.5307683281</v>
      </c>
      <c r="BF13" s="25">
        <f>TREND($I$13:$AI$13,'Intermediate calcs'!$D$17:$AD$17,'Intermediate calcs'!BA$17,TRUE)</f>
        <v>1962989.4498323335</v>
      </c>
      <c r="BG13" s="25">
        <f>TREND($I$13:$AI$13,'Intermediate calcs'!$D$17:$AD$17,'Intermediate calcs'!BB$17,TRUE)</f>
        <v>1955253.6013140264</v>
      </c>
      <c r="BH13" s="25">
        <f>TREND($I$13:$AI$13,'Intermediate calcs'!$D$17:$AD$17,'Intermediate calcs'!BC$17,TRUE)</f>
        <v>1947512.5405072845</v>
      </c>
      <c r="BI13" s="25">
        <f>TREND($I$13:$AI$13,'Intermediate calcs'!$D$17:$AD$17,'Intermediate calcs'!BD$17,TRUE)</f>
        <v>1939766.5643212339</v>
      </c>
      <c r="BJ13" s="25">
        <f>TREND($I$13:$AI$13,'Intermediate calcs'!$D$17:$AD$17,'Intermediate calcs'!BE$17,TRUE)</f>
        <v>1932014.9394384478</v>
      </c>
      <c r="BK13" s="25">
        <f>TREND($I$13:$AI$13,'Intermediate calcs'!$D$17:$AD$17,'Intermediate calcs'!BF$17,TRUE)</f>
        <v>1924254.7579987557</v>
      </c>
      <c r="BL13" s="25">
        <f>TREND($I$13:$AI$13,'Intermediate calcs'!$D$17:$AD$17,'Intermediate calcs'!BG$17,TRUE)</f>
        <v>1916756.0263046557</v>
      </c>
      <c r="BM13" s="25">
        <f>TREND($I$13:$AI$13,'Intermediate calcs'!$D$17:$AD$17,'Intermediate calcs'!BH$17,TRUE)</f>
        <v>1909249.9169072253</v>
      </c>
      <c r="BN13" s="25">
        <f>TREND($I$13:$AI$13,'Intermediate calcs'!$D$17:$AD$17,'Intermediate calcs'!BI$17,TRUE)</f>
        <v>1901741.9573259335</v>
      </c>
      <c r="BO13" s="25">
        <f>TREND($I$13:$AI$13,'Intermediate calcs'!$D$17:$AD$17,'Intermediate calcs'!BJ$17,TRUE)</f>
        <v>1894225.9514995781</v>
      </c>
      <c r="BP13" s="25">
        <f>TREND($I$13:$AI$13,'Intermediate calcs'!$D$17:$AD$17,'Intermediate calcs'!BK$17,TRUE)</f>
        <v>1886701.2278576661</v>
      </c>
    </row>
    <row r="14" spans="1:72" s="24" customFormat="1" x14ac:dyDescent="0.25">
      <c r="A14" s="24" t="str">
        <f t="shared" si="0"/>
        <v>3A Livestock</v>
      </c>
      <c r="C14" s="24" t="str">
        <f>C13</f>
        <v>3A1d Goats</v>
      </c>
      <c r="D14" t="str">
        <f>$D$12</f>
        <v>Subsistence</v>
      </c>
      <c r="E14" s="24" t="str">
        <f t="shared" si="1"/>
        <v>Population</v>
      </c>
      <c r="F14" s="24" t="str">
        <f t="shared" si="2"/>
        <v>Head</v>
      </c>
      <c r="H14" s="44">
        <v>5479284.9120494025</v>
      </c>
      <c r="I14" s="44">
        <v>4845236.4416932901</v>
      </c>
      <c r="J14" s="44">
        <v>4513397.9899181286</v>
      </c>
      <c r="K14" s="44">
        <v>4264519.151086757</v>
      </c>
      <c r="L14" s="44">
        <v>4616109.8916580593</v>
      </c>
      <c r="M14" s="44">
        <v>4679317.2158057094</v>
      </c>
      <c r="N14" s="44">
        <v>4752400.6843514293</v>
      </c>
      <c r="O14" s="44">
        <v>4728697.9377960609</v>
      </c>
      <c r="P14" s="44">
        <v>4661540.1558891824</v>
      </c>
      <c r="Q14" s="44">
        <v>4592407.1451026909</v>
      </c>
      <c r="R14" s="44">
        <v>4651664.0114911124</v>
      </c>
      <c r="S14" s="44">
        <v>4793880.4908233248</v>
      </c>
      <c r="T14" s="44">
        <v>4377107.1972247576</v>
      </c>
      <c r="U14" s="44">
        <v>4266494.3799663708</v>
      </c>
      <c r="V14" s="44">
        <v>4274395.2954848269</v>
      </c>
      <c r="W14" s="44">
        <v>4219088.886855633</v>
      </c>
      <c r="X14" s="44">
        <v>4307974.1864382662</v>
      </c>
      <c r="Y14" s="44">
        <v>4179584.3092633518</v>
      </c>
      <c r="Z14" s="44">
        <v>4175633.8515041238</v>
      </c>
      <c r="AA14" s="44">
        <v>4102550.3829584038</v>
      </c>
      <c r="AB14" s="44">
        <v>4053169.6609680522</v>
      </c>
      <c r="AC14" s="44">
        <v>4015640.3122553849</v>
      </c>
      <c r="AD14" s="44">
        <v>4005764.1678573145</v>
      </c>
      <c r="AE14" s="44">
        <v>3960333.9036261914</v>
      </c>
      <c r="AF14" s="44">
        <v>3924779.7837931383</v>
      </c>
      <c r="AG14" s="44">
        <v>3871448.6040435587</v>
      </c>
      <c r="AH14" s="44">
        <v>3754910.100146329</v>
      </c>
      <c r="AI14" s="44">
        <v>3640346.8251287136</v>
      </c>
      <c r="AJ14" s="25">
        <f>TREND($M$14:$AI$14,Drivers!$I$4:$AE$4,Drivers!AF$4,TRUE)</f>
        <v>3705142.0194906248</v>
      </c>
      <c r="AK14" s="25">
        <f>TREND($M$14:$AI$14,Drivers!$I$4:$AE$4,Drivers!AG$4,TRUE)</f>
        <v>3665033.5910637882</v>
      </c>
      <c r="AL14" s="25">
        <f>TREND($M$14:$AI$14,Drivers!$I$4:$AE$4,Drivers!AH$4,TRUE)</f>
        <v>3624925.1626369506</v>
      </c>
      <c r="AM14" s="25">
        <f>TREND($M$14:$AI$14,Drivers!$I$4:$AE$4,Drivers!AI$4,TRUE)</f>
        <v>3584270.9426704915</v>
      </c>
      <c r="AN14" s="25">
        <f>TREND($M$14:$AI$14,Drivers!$I$4:$AE$4,Drivers!AJ$4,TRUE)</f>
        <v>3543616.7234544437</v>
      </c>
      <c r="AO14" s="25">
        <f>TREND($M$14:$AI$14,Drivers!$I$4:$AE$4,Drivers!AK$4,TRUE)</f>
        <v>3502962.5042383969</v>
      </c>
      <c r="AP14" s="25">
        <f>TREND($M$14:$AI$14,Drivers!$I$4:$AE$4,Drivers!AL$4,TRUE)</f>
        <v>3462308.2850223491</v>
      </c>
      <c r="AQ14" s="25">
        <f>TREND($M$14:$AI$14,Drivers!$I$4:$AE$4,Drivers!AM$4,TRUE)</f>
        <v>3421654.06505589</v>
      </c>
      <c r="AR14" s="25">
        <f>TREND($M$14:$AI$14,Drivers!$I$4:$AE$4,Drivers!AN$4,TRUE)</f>
        <v>3377609.5795985982</v>
      </c>
      <c r="AS14" s="25">
        <f>TREND($M$14:$AI$14,Drivers!$I$4:$AE$4,Drivers!AO$4,TRUE)</f>
        <v>3333565.0941413064</v>
      </c>
      <c r="AT14" s="25">
        <f>TREND($M$14:$AI$14,Drivers!$I$4:$AE$4,Drivers!AP$4,TRUE)</f>
        <v>3289520.6086840145</v>
      </c>
      <c r="AU14" s="25">
        <f>TREND($M$14:$AI$14,Drivers!$I$4:$AE$4,Drivers!AQ$4,TRUE)</f>
        <v>3245476.1232267227</v>
      </c>
      <c r="AV14" s="25">
        <f>TREND($M$14:$AI$14,Drivers!$I$4:$AE$4,Drivers!AR$4,TRUE)</f>
        <v>3201431.6377694309</v>
      </c>
      <c r="AW14" s="25">
        <f>TREND($M$14:$AI$14,Drivers!$I$4:$AE$4,Drivers!AS$4,TRUE)</f>
        <v>3158882.4685868463</v>
      </c>
      <c r="AX14" s="25">
        <f>TREND($M$14:$AI$14,Drivers!$I$4:$AE$4,Drivers!AT$4,TRUE)</f>
        <v>3116333.3001546748</v>
      </c>
      <c r="AY14" s="25">
        <f>TREND($M$14:$AI$14,Drivers!$I$4:$AE$4,Drivers!AU$4,TRUE)</f>
        <v>3073784.1309720902</v>
      </c>
      <c r="AZ14" s="25">
        <f>TREND($M$14:$AI$14,Drivers!$I$4:$AE$4,Drivers!AV$4,TRUE)</f>
        <v>3031234.9625399178</v>
      </c>
      <c r="BA14" s="25">
        <f>TREND($M$14:$AI$14,Drivers!$I$4:$AE$4,Drivers!AW$4,TRUE)</f>
        <v>2988685.7941077463</v>
      </c>
      <c r="BB14" s="25">
        <f>TREND($M$14:$AI$14,Drivers!$I$4:$AE$4,Drivers!AX$4,TRUE)</f>
        <v>2944463.818078028</v>
      </c>
      <c r="BC14" s="25">
        <f>TREND($M$14:$AI$14,Drivers!$I$4:$AE$4,Drivers!AY$4,TRUE)</f>
        <v>2900241.8420483116</v>
      </c>
      <c r="BD14" s="25">
        <f>TREND($M$14:$AI$14,Drivers!$I$4:$AE$4,Drivers!AZ$4,TRUE)</f>
        <v>2856019.8667690065</v>
      </c>
      <c r="BE14" s="25">
        <f>TREND($M$14:$AI$14,Drivers!$I$4:$AE$4,Drivers!BA$4,TRUE)</f>
        <v>2811797.89073929</v>
      </c>
      <c r="BF14" s="25">
        <f>TREND($M$14:$AI$14,Drivers!$I$4:$AE$4,Drivers!BB$4,TRUE)</f>
        <v>2767575.9147095727</v>
      </c>
      <c r="BG14" s="25">
        <f>TREND($M$14:$AI$14,Drivers!$I$4:$AE$4,Drivers!BC$4,TRUE)</f>
        <v>2717095.2753360551</v>
      </c>
      <c r="BH14" s="25">
        <f>TREND($M$14:$AI$14,Drivers!$I$4:$AE$4,Drivers!BD$4,TRUE)</f>
        <v>2666614.6367129507</v>
      </c>
      <c r="BI14" s="25">
        <f>TREND($M$14:$AI$14,Drivers!$I$4:$AE$4,Drivers!BE$4,TRUE)</f>
        <v>2616133.9973394331</v>
      </c>
      <c r="BJ14" s="25">
        <f>TREND($M$14:$AI$14,Drivers!$I$4:$AE$4,Drivers!BF$4,TRUE)</f>
        <v>2565653.3579659164</v>
      </c>
      <c r="BK14" s="25">
        <f>TREND($M$14:$AI$14,Drivers!$I$4:$AE$4,Drivers!BG$4,TRUE)</f>
        <v>2515172.7185923997</v>
      </c>
      <c r="BL14" s="25">
        <f>TREND($M$14:$AI$14,Drivers!$I$4:$AE$4,Drivers!BH$4,TRUE)</f>
        <v>2466473.7506624758</v>
      </c>
      <c r="BM14" s="25">
        <f>TREND($M$14:$AI$14,Drivers!$I$4:$AE$4,Drivers!BI$4,TRUE)</f>
        <v>2417774.7827325538</v>
      </c>
      <c r="BN14" s="25">
        <f>TREND($M$14:$AI$14,Drivers!$I$4:$AE$4,Drivers!BJ$4,TRUE)</f>
        <v>2369075.8140522186</v>
      </c>
      <c r="BO14" s="25">
        <f>TREND($M$14:$AI$14,Drivers!$I$4:$AE$4,Drivers!BK$4,TRUE)</f>
        <v>2320376.8461222965</v>
      </c>
      <c r="BP14" s="25">
        <f>TREND($M$14:$AI$14,Drivers!$I$4:$AE$4,Drivers!BL$4,TRUE)</f>
        <v>2271677.8781923736</v>
      </c>
    </row>
    <row r="15" spans="1:72" s="24" customFormat="1" x14ac:dyDescent="0.25">
      <c r="A15" s="24" t="str">
        <f t="shared" si="0"/>
        <v>3A Livestock</v>
      </c>
      <c r="C15" s="24" t="str">
        <f>'IPCC Categories'!$C$9</f>
        <v>3A1f Horses</v>
      </c>
      <c r="D15" t="str">
        <f>'IPCC Categories'!$F$42</f>
        <v>Horses</v>
      </c>
      <c r="E15" s="24" t="str">
        <f t="shared" si="1"/>
        <v>Population</v>
      </c>
      <c r="F15" s="24" t="str">
        <f t="shared" si="2"/>
        <v>Head</v>
      </c>
      <c r="H15" s="44">
        <v>230000</v>
      </c>
      <c r="I15" s="44">
        <v>230000</v>
      </c>
      <c r="J15" s="44">
        <v>230000</v>
      </c>
      <c r="K15" s="44">
        <v>235000</v>
      </c>
      <c r="L15" s="44">
        <v>240000</v>
      </c>
      <c r="M15" s="44">
        <v>245000</v>
      </c>
      <c r="N15" s="44">
        <v>250000</v>
      </c>
      <c r="O15" s="44">
        <v>255000</v>
      </c>
      <c r="P15" s="44">
        <v>260000</v>
      </c>
      <c r="Q15" s="44">
        <v>258000</v>
      </c>
      <c r="R15" s="44">
        <v>270000</v>
      </c>
      <c r="S15" s="44">
        <v>270000</v>
      </c>
      <c r="T15" s="44">
        <v>270000</v>
      </c>
      <c r="U15" s="44">
        <v>270000</v>
      </c>
      <c r="V15" s="44">
        <v>270000</v>
      </c>
      <c r="W15" s="44">
        <v>270000</v>
      </c>
      <c r="X15" s="44">
        <v>280000</v>
      </c>
      <c r="Y15" s="44">
        <v>290000</v>
      </c>
      <c r="Z15" s="44">
        <v>298000</v>
      </c>
      <c r="AA15" s="44">
        <v>300000</v>
      </c>
      <c r="AB15" s="44">
        <v>300000</v>
      </c>
      <c r="AC15" s="44">
        <v>305000</v>
      </c>
      <c r="AD15" s="44">
        <v>308000</v>
      </c>
      <c r="AE15" s="44">
        <v>310000</v>
      </c>
      <c r="AF15" s="44">
        <v>312000</v>
      </c>
      <c r="AG15" s="44">
        <v>314825</v>
      </c>
      <c r="AH15" s="44">
        <v>320860</v>
      </c>
      <c r="AI15" s="44">
        <v>322771</v>
      </c>
      <c r="AJ15" s="25">
        <f>TREND($R$15:$AI$15,'Intermediate calcs'!$M$4:$AD$4,'Intermediate calcs'!AE$4,TRUE)</f>
        <v>317468.19726728677</v>
      </c>
      <c r="AK15" s="25">
        <f>TREND($R$15:$AI$15,'Intermediate calcs'!$M$4:$AD$4,'Intermediate calcs'!AF$4,TRUE)</f>
        <v>317406.18610308983</v>
      </c>
      <c r="AL15" s="25">
        <f>TREND($R$15:$AI$15,'Intermediate calcs'!$M$4:$AD$4,'Intermediate calcs'!AG$4,TRUE)</f>
        <v>312022.96725320927</v>
      </c>
      <c r="AM15" s="25">
        <f>TREND($R$15:$AI$15,'Intermediate calcs'!$M$4:$AD$4,'Intermediate calcs'!AH$4,TRUE)</f>
        <v>312790.9041494152</v>
      </c>
      <c r="AN15" s="25">
        <f>TREND($R$15:$AI$15,'Intermediate calcs'!$M$4:$AD$4,'Intermediate calcs'!AI$4,TRUE)</f>
        <v>313491.45892029366</v>
      </c>
      <c r="AO15" s="25">
        <f>TREND($R$15:$AI$15,'Intermediate calcs'!$M$4:$AD$4,'Intermediate calcs'!AJ$4,TRUE)</f>
        <v>314190.91077802802</v>
      </c>
      <c r="AP15" s="25">
        <f>TREND($R$15:$AI$15,'Intermediate calcs'!$M$4:$AD$4,'Intermediate calcs'!AK$4,TRUE)</f>
        <v>314832.71471269196</v>
      </c>
      <c r="AQ15" s="25">
        <f>TREND($R$15:$AI$15,'Intermediate calcs'!$M$4:$AD$4,'Intermediate calcs'!AL$4,TRUE)</f>
        <v>315514.4820859349</v>
      </c>
      <c r="AR15" s="25">
        <f>TREND($R$15:$AI$15,'Intermediate calcs'!$M$4:$AD$4,'Intermediate calcs'!AM$4,TRUE)</f>
        <v>316368.92590715562</v>
      </c>
      <c r="AS15" s="25">
        <f>TREND($R$15:$AI$15,'Intermediate calcs'!$M$4:$AD$4,'Intermediate calcs'!AN$4,TRUE)</f>
        <v>317193.52638240939</v>
      </c>
      <c r="AT15" s="25">
        <f>TREND($R$15:$AI$15,'Intermediate calcs'!$M$4:$AD$4,'Intermediate calcs'!AO$4,TRUE)</f>
        <v>318070.24268217583</v>
      </c>
      <c r="AU15" s="25">
        <f>TREND($R$15:$AI$15,'Intermediate calcs'!$M$4:$AD$4,'Intermediate calcs'!AP$4,TRUE)</f>
        <v>318980.30303604237</v>
      </c>
      <c r="AV15" s="25">
        <f>TREND($R$15:$AI$15,'Intermediate calcs'!$M$4:$AD$4,'Intermediate calcs'!AQ$4,TRUE)</f>
        <v>319927.28318748355</v>
      </c>
      <c r="AW15" s="25">
        <f>TREND($R$15:$AI$15,'Intermediate calcs'!$M$4:$AD$4,'Intermediate calcs'!AR$4,TRUE)</f>
        <v>321192.54006741656</v>
      </c>
      <c r="AX15" s="25">
        <f>TREND($R$15:$AI$15,'Intermediate calcs'!$M$4:$AD$4,'Intermediate calcs'!AS$4,TRUE)</f>
        <v>322348.26860806037</v>
      </c>
      <c r="AY15" s="25">
        <f>TREND($R$15:$AI$15,'Intermediate calcs'!$M$4:$AD$4,'Intermediate calcs'!AT$4,TRUE)</f>
        <v>323678.38047554845</v>
      </c>
      <c r="AZ15" s="25">
        <f>TREND($R$15:$AI$15,'Intermediate calcs'!$M$4:$AD$4,'Intermediate calcs'!AU$4,TRUE)</f>
        <v>325120.23990505614</v>
      </c>
      <c r="BA15" s="25">
        <f>TREND($R$15:$AI$15,'Intermediate calcs'!$M$4:$AD$4,'Intermediate calcs'!AV$4,TRUE)</f>
        <v>326678.19079008058</v>
      </c>
      <c r="BB15" s="25">
        <f>TREND($R$15:$AI$15,'Intermediate calcs'!$M$4:$AD$4,'Intermediate calcs'!AW$4,TRUE)</f>
        <v>328247.70864860469</v>
      </c>
      <c r="BC15" s="25">
        <f>TREND($R$15:$AI$15,'Intermediate calcs'!$M$4:$AD$4,'Intermediate calcs'!AX$4,TRUE)</f>
        <v>329884.81657461054</v>
      </c>
      <c r="BD15" s="25">
        <f>TREND($R$15:$AI$15,'Intermediate calcs'!$M$4:$AD$4,'Intermediate calcs'!AY$4,TRUE)</f>
        <v>331528.38530404674</v>
      </c>
      <c r="BE15" s="25">
        <f>TREND($R$15:$AI$15,'Intermediate calcs'!$M$4:$AD$4,'Intermediate calcs'!AZ$4,TRUE)</f>
        <v>333237.97199520626</v>
      </c>
      <c r="BF15" s="25">
        <f>TREND($R$15:$AI$15,'Intermediate calcs'!$M$4:$AD$4,'Intermediate calcs'!BA$4,TRUE)</f>
        <v>335064.30474765302</v>
      </c>
      <c r="BG15" s="25">
        <f>TREND($R$15:$AI$15,'Intermediate calcs'!$M$4:$AD$4,'Intermediate calcs'!BB$4,TRUE)</f>
        <v>336859.71906651062</v>
      </c>
      <c r="BH15" s="25">
        <f>TREND($R$15:$AI$15,'Intermediate calcs'!$M$4:$AD$4,'Intermediate calcs'!BC$4,TRUE)</f>
        <v>338730.60848918743</v>
      </c>
      <c r="BI15" s="25">
        <f>TREND($R$15:$AI$15,'Intermediate calcs'!$M$4:$AD$4,'Intermediate calcs'!BD$4,TRUE)</f>
        <v>340668.60393173649</v>
      </c>
      <c r="BJ15" s="25">
        <f>TREND($R$15:$AI$15,'Intermediate calcs'!$M$4:$AD$4,'Intermediate calcs'!BE$4,TRUE)</f>
        <v>342686.99347242748</v>
      </c>
      <c r="BK15" s="25">
        <f>TREND($R$15:$AI$15,'Intermediate calcs'!$M$4:$AD$4,'Intermediate calcs'!BF$4,TRUE)</f>
        <v>344843.17580313713</v>
      </c>
      <c r="BL15" s="25">
        <f>TREND($R$15:$AI$15,'Intermediate calcs'!$M$4:$AD$4,'Intermediate calcs'!BG$4,TRUE)</f>
        <v>347138.29633242602</v>
      </c>
      <c r="BM15" s="25">
        <f>TREND($R$15:$AI$15,'Intermediate calcs'!$M$4:$AD$4,'Intermediate calcs'!BH$4,TRUE)</f>
        <v>349541.41784352838</v>
      </c>
      <c r="BN15" s="25">
        <f>TREND($R$15:$AI$15,'Intermediate calcs'!$M$4:$AD$4,'Intermediate calcs'!BI$4,TRUE)</f>
        <v>351939.28527346294</v>
      </c>
      <c r="BO15" s="25">
        <f>TREND($R$15:$AI$15,'Intermediate calcs'!$M$4:$AD$4,'Intermediate calcs'!BJ$4,TRUE)</f>
        <v>354454.72395403526</v>
      </c>
      <c r="BP15" s="25">
        <f>TREND($R$15:$AI$15,'Intermediate calcs'!$M$4:$AD$4,'Intermediate calcs'!BK$4,TRUE)</f>
        <v>357097.87015001453</v>
      </c>
    </row>
    <row r="16" spans="1:72" s="24" customFormat="1" x14ac:dyDescent="0.25">
      <c r="A16" s="24" t="str">
        <f t="shared" si="0"/>
        <v>3A Livestock</v>
      </c>
      <c r="C16" s="24" t="str">
        <f>'IPCC Categories'!$C$10</f>
        <v>3A1g Mules &amp; asses</v>
      </c>
      <c r="D16" t="str">
        <f>'IPCC Categories'!$F$43</f>
        <v>Mules &amp; Asses</v>
      </c>
      <c r="E16" s="24" t="str">
        <f t="shared" si="1"/>
        <v>Population</v>
      </c>
      <c r="F16" s="24" t="str">
        <f t="shared" si="2"/>
        <v>Head</v>
      </c>
      <c r="H16" s="44">
        <v>224000</v>
      </c>
      <c r="I16" s="44">
        <v>224000</v>
      </c>
      <c r="J16" s="44">
        <v>224000</v>
      </c>
      <c r="K16" s="44">
        <v>224000</v>
      </c>
      <c r="L16" s="44">
        <v>224000</v>
      </c>
      <c r="M16" s="44">
        <v>224000</v>
      </c>
      <c r="N16" s="44">
        <v>224000</v>
      </c>
      <c r="O16" s="44">
        <v>224000</v>
      </c>
      <c r="P16" s="44">
        <v>224000</v>
      </c>
      <c r="Q16" s="44">
        <v>224000</v>
      </c>
      <c r="R16" s="44">
        <v>164000</v>
      </c>
      <c r="S16" s="44">
        <v>164000</v>
      </c>
      <c r="T16" s="44">
        <v>164000</v>
      </c>
      <c r="U16" s="44">
        <v>164000</v>
      </c>
      <c r="V16" s="44">
        <v>164000</v>
      </c>
      <c r="W16" s="44">
        <v>164000</v>
      </c>
      <c r="X16" s="44">
        <v>164050</v>
      </c>
      <c r="Y16" s="44">
        <v>164600</v>
      </c>
      <c r="Z16" s="44">
        <v>164700</v>
      </c>
      <c r="AA16" s="44">
        <v>164800</v>
      </c>
      <c r="AB16" s="44">
        <v>166300</v>
      </c>
      <c r="AC16" s="44">
        <v>167000</v>
      </c>
      <c r="AD16" s="44">
        <v>167000</v>
      </c>
      <c r="AE16" s="44">
        <v>170500</v>
      </c>
      <c r="AF16" s="44">
        <v>171000</v>
      </c>
      <c r="AG16" s="44">
        <v>169029</v>
      </c>
      <c r="AH16" s="44">
        <v>161868</v>
      </c>
      <c r="AI16" s="44">
        <v>162820</v>
      </c>
      <c r="AJ16" s="25">
        <v>160000</v>
      </c>
      <c r="AK16" s="25">
        <v>160000</v>
      </c>
      <c r="AL16" s="25">
        <v>160000</v>
      </c>
      <c r="AM16" s="25">
        <v>160000</v>
      </c>
      <c r="AN16" s="25">
        <v>160000</v>
      </c>
      <c r="AO16" s="25">
        <v>160000</v>
      </c>
      <c r="AP16" s="25">
        <v>160000</v>
      </c>
      <c r="AQ16" s="25">
        <v>160000</v>
      </c>
      <c r="AR16" s="25">
        <v>160000</v>
      </c>
      <c r="AS16" s="25">
        <v>160000</v>
      </c>
      <c r="AT16" s="25">
        <v>160000</v>
      </c>
      <c r="AU16" s="25">
        <v>160000</v>
      </c>
      <c r="AV16" s="25">
        <v>160000</v>
      </c>
      <c r="AW16" s="25">
        <v>160000</v>
      </c>
      <c r="AX16" s="25">
        <v>160000</v>
      </c>
      <c r="AY16" s="25">
        <v>160000</v>
      </c>
      <c r="AZ16" s="25">
        <v>160000</v>
      </c>
      <c r="BA16" s="25">
        <v>160000</v>
      </c>
      <c r="BB16" s="25">
        <v>160000</v>
      </c>
      <c r="BC16" s="25">
        <v>160000</v>
      </c>
      <c r="BD16" s="25">
        <v>160000</v>
      </c>
      <c r="BE16" s="25">
        <v>160000</v>
      </c>
      <c r="BF16" s="25">
        <v>160000</v>
      </c>
      <c r="BG16" s="25">
        <v>160000</v>
      </c>
      <c r="BH16" s="25">
        <v>160000</v>
      </c>
      <c r="BI16" s="25">
        <v>160000</v>
      </c>
      <c r="BJ16" s="25">
        <v>160000</v>
      </c>
      <c r="BK16" s="25">
        <v>160000</v>
      </c>
      <c r="BL16" s="25">
        <v>160000</v>
      </c>
      <c r="BM16" s="25">
        <v>160000</v>
      </c>
      <c r="BN16" s="25">
        <v>160000</v>
      </c>
      <c r="BO16" s="25">
        <v>160000</v>
      </c>
      <c r="BP16" s="25">
        <v>160000</v>
      </c>
    </row>
    <row r="17" spans="1:72" s="24" customFormat="1" x14ac:dyDescent="0.25">
      <c r="A17" s="24" t="str">
        <f t="shared" si="0"/>
        <v>3A Livestock</v>
      </c>
      <c r="C17" s="24" t="str">
        <f>'IPCC Categories'!$C$11</f>
        <v>3A1h Swine</v>
      </c>
      <c r="D17" t="str">
        <f>'IPCC Categories'!F36</f>
        <v>Commercial</v>
      </c>
      <c r="E17" s="24" t="str">
        <f t="shared" si="1"/>
        <v>Population</v>
      </c>
      <c r="F17" s="24" t="str">
        <f t="shared" si="2"/>
        <v>Head</v>
      </c>
      <c r="H17" s="44">
        <v>1524000</v>
      </c>
      <c r="I17" s="44">
        <v>1665000</v>
      </c>
      <c r="J17" s="44">
        <v>1654000</v>
      </c>
      <c r="K17" s="44">
        <v>1653000</v>
      </c>
      <c r="L17" s="44">
        <v>1570000</v>
      </c>
      <c r="M17" s="44">
        <v>1585000</v>
      </c>
      <c r="N17" s="44">
        <v>1707000</v>
      </c>
      <c r="O17" s="44">
        <v>1699000</v>
      </c>
      <c r="P17" s="44">
        <v>1736000</v>
      </c>
      <c r="Q17" s="44">
        <v>1780000</v>
      </c>
      <c r="R17" s="44">
        <v>1647000</v>
      </c>
      <c r="S17" s="44">
        <v>1678000</v>
      </c>
      <c r="T17" s="44">
        <v>1710000</v>
      </c>
      <c r="U17" s="44">
        <v>1663000</v>
      </c>
      <c r="V17" s="44">
        <v>1663000</v>
      </c>
      <c r="W17" s="44">
        <v>1651000</v>
      </c>
      <c r="X17" s="44">
        <v>1622000</v>
      </c>
      <c r="Y17" s="44">
        <v>1651000</v>
      </c>
      <c r="Z17" s="44">
        <v>1615000</v>
      </c>
      <c r="AA17" s="44">
        <v>1613000</v>
      </c>
      <c r="AB17" s="44">
        <v>1594000</v>
      </c>
      <c r="AC17" s="44">
        <v>1584000</v>
      </c>
      <c r="AD17" s="44">
        <v>1579000</v>
      </c>
      <c r="AE17" s="44">
        <v>1574000</v>
      </c>
      <c r="AF17" s="44">
        <v>1562000</v>
      </c>
      <c r="AG17" s="44">
        <v>1523000</v>
      </c>
      <c r="AH17" s="44">
        <v>1512000</v>
      </c>
      <c r="AI17" s="44">
        <v>1481000</v>
      </c>
      <c r="AJ17" s="25">
        <f>TREND($H$17:$AI$17,'Intermediate calcs'!$C$25:$AD$25,'Intermediate calcs'!AE$25,TRUE)</f>
        <v>1541626.838633748</v>
      </c>
      <c r="AK17" s="25">
        <f>TREND($H$17:$AI$17,'Intermediate calcs'!$C$25:$AD$25,'Intermediate calcs'!AF$25,TRUE)</f>
        <v>1539361.0171200563</v>
      </c>
      <c r="AL17" s="25">
        <f>TREND($H$17:$AI$17,'Intermediate calcs'!$C$25:$AD$25,'Intermediate calcs'!AG$25,TRUE)</f>
        <v>1545453.6960137365</v>
      </c>
      <c r="AM17" s="25">
        <f>TREND($H$17:$AI$17,'Intermediate calcs'!$C$25:$AD$25,'Intermediate calcs'!AH$25,TRUE)</f>
        <v>1541922.865158305</v>
      </c>
      <c r="AN17" s="25">
        <f>TREND($H$17:$AI$17,'Intermediate calcs'!$C$25:$AD$25,'Intermediate calcs'!AI$25,TRUE)</f>
        <v>1538477.0005535623</v>
      </c>
      <c r="AO17" s="25">
        <f>TREND($H$17:$AI$17,'Intermediate calcs'!$C$25:$AD$25,'Intermediate calcs'!AJ$25,TRUE)</f>
        <v>1535012.0633561835</v>
      </c>
      <c r="AP17" s="25">
        <f>TREND($H$17:$AI$17,'Intermediate calcs'!$C$25:$AD$25,'Intermediate calcs'!AK$25,TRUE)</f>
        <v>1531620.2702334248</v>
      </c>
      <c r="AQ17" s="25">
        <f>TREND($H$17:$AI$17,'Intermediate calcs'!$C$25:$AD$25,'Intermediate calcs'!AL$25,TRUE)</f>
        <v>1528143.6374910828</v>
      </c>
      <c r="AR17" s="25">
        <f>TREND($H$17:$AI$17,'Intermediate calcs'!$C$25:$AD$25,'Intermediate calcs'!AM$25,TRUE)</f>
        <v>1524161.795602656</v>
      </c>
      <c r="AS17" s="25">
        <f>TREND($H$17:$AI$17,'Intermediate calcs'!$C$25:$AD$25,'Intermediate calcs'!AN$25,TRUE)</f>
        <v>1520202.4485936612</v>
      </c>
      <c r="AT17" s="25">
        <f>TREND($H$17:$AI$17,'Intermediate calcs'!$C$25:$AD$25,'Intermediate calcs'!AO$25,TRUE)</f>
        <v>1516128.2634068723</v>
      </c>
      <c r="AU17" s="25">
        <f>TREND($H$17:$AI$17,'Intermediate calcs'!$C$25:$AD$25,'Intermediate calcs'!AP$25,TRUE)</f>
        <v>1511968.8067819118</v>
      </c>
      <c r="AV17" s="25">
        <f>TREND($H$17:$AI$17,'Intermediate calcs'!$C$25:$AD$25,'Intermediate calcs'!AQ$25,TRUE)</f>
        <v>1507716.295776228</v>
      </c>
      <c r="AW17" s="25">
        <f>TREND($H$17:$AI$17,'Intermediate calcs'!$C$25:$AD$25,'Intermediate calcs'!AR$25,TRUE)</f>
        <v>1502969.0378918557</v>
      </c>
      <c r="AX17" s="25">
        <f>TREND($H$17:$AI$17,'Intermediate calcs'!$C$25:$AD$25,'Intermediate calcs'!AS$25,TRUE)</f>
        <v>1498374.763396502</v>
      </c>
      <c r="AY17" s="25">
        <f>TREND($H$17:$AI$17,'Intermediate calcs'!$C$25:$AD$25,'Intermediate calcs'!AT$25,TRUE)</f>
        <v>1493435.4353478779</v>
      </c>
      <c r="AZ17" s="25">
        <f>TREND($H$17:$AI$17,'Intermediate calcs'!$C$25:$AD$25,'Intermediate calcs'!AU$25,TRUE)</f>
        <v>1488254.8848103685</v>
      </c>
      <c r="BA17" s="25">
        <f>TREND($H$17:$AI$17,'Intermediate calcs'!$C$25:$AD$25,'Intermediate calcs'!AV$25,TRUE)</f>
        <v>1482820.0557663667</v>
      </c>
      <c r="BB17" s="25">
        <f>TREND($H$17:$AI$17,'Intermediate calcs'!$C$25:$AD$25,'Intermediate calcs'!AW$25,TRUE)</f>
        <v>1477210.522293106</v>
      </c>
      <c r="BC17" s="25">
        <f>TREND($H$17:$AI$17,'Intermediate calcs'!$C$25:$AD$25,'Intermediate calcs'!AX$25,TRUE)</f>
        <v>1471426.0885346981</v>
      </c>
      <c r="BD17" s="25">
        <f>TREND($H$17:$AI$17,'Intermediate calcs'!$C$25:$AD$25,'Intermediate calcs'!AY$25,TRUE)</f>
        <v>1465576.6800573915</v>
      </c>
      <c r="BE17" s="25">
        <f>TREND($H$17:$AI$17,'Intermediate calcs'!$C$25:$AD$25,'Intermediate calcs'!AZ$25,TRUE)</f>
        <v>1459550.7218176657</v>
      </c>
      <c r="BF17" s="25">
        <f>TREND($H$17:$AI$17,'Intermediate calcs'!$C$25:$AD$25,'Intermediate calcs'!BA$25,TRUE)</f>
        <v>1453249.4188506391</v>
      </c>
      <c r="BG17" s="25">
        <f>TREND($H$17:$AI$17,'Intermediate calcs'!$C$25:$AD$25,'Intermediate calcs'!BB$25,TRUE)</f>
        <v>1446534.6862660067</v>
      </c>
      <c r="BH17" s="25">
        <f>TREND($H$17:$AI$17,'Intermediate calcs'!$C$25:$AD$25,'Intermediate calcs'!BC$25,TRUE)</f>
        <v>1439608.5804168861</v>
      </c>
      <c r="BI17" s="25">
        <f>TREND($H$17:$AI$17,'Intermediate calcs'!$C$25:$AD$25,'Intermediate calcs'!BD$25,TRUE)</f>
        <v>1432483.1506880918</v>
      </c>
      <c r="BJ17" s="25">
        <f>TREND($H$17:$AI$17,'Intermediate calcs'!$C$25:$AD$25,'Intermediate calcs'!BE$25,TRUE)</f>
        <v>1425128.6550305746</v>
      </c>
      <c r="BK17" s="25">
        <f>TREND($H$17:$AI$17,'Intermediate calcs'!$C$25:$AD$25,'Intermediate calcs'!BF$25,TRUE)</f>
        <v>1417427.1739096437</v>
      </c>
      <c r="BL17" s="25">
        <f>TREND($H$17:$AI$17,'Intermediate calcs'!$C$25:$AD$25,'Intermediate calcs'!BG$25,TRUE)</f>
        <v>1409493.0719783285</v>
      </c>
      <c r="BM17" s="25">
        <f>TREND($H$17:$AI$17,'Intermediate calcs'!$C$25:$AD$25,'Intermediate calcs'!BH$25,TRUE)</f>
        <v>1401259.7894493444</v>
      </c>
      <c r="BN17" s="25">
        <f>TREND($H$17:$AI$17,'Intermediate calcs'!$C$25:$AD$25,'Intermediate calcs'!BI$25,TRUE)</f>
        <v>1392951.4828349168</v>
      </c>
      <c r="BO17" s="25">
        <f>TREND($H$17:$AI$17,'Intermediate calcs'!$C$25:$AD$25,'Intermediate calcs'!BJ$25,TRUE)</f>
        <v>1384316.8803574697</v>
      </c>
      <c r="BP17" s="25">
        <f>TREND($H$17:$AI$17,'Intermediate calcs'!$C$25:$AD$25,'Intermediate calcs'!BK$25,TRUE)</f>
        <v>1375328.7530564498</v>
      </c>
    </row>
    <row r="18" spans="1:72" s="24" customFormat="1" x14ac:dyDescent="0.25">
      <c r="A18" s="24" t="str">
        <f t="shared" si="0"/>
        <v>3A Livestock</v>
      </c>
      <c r="C18" s="24" t="str">
        <f>C17</f>
        <v>3A1h Swine</v>
      </c>
      <c r="D18" t="str">
        <f>'IPCC Categories'!F37</f>
        <v>Subsistence</v>
      </c>
      <c r="E18" s="24" t="str">
        <f t="shared" si="1"/>
        <v>Population</v>
      </c>
      <c r="F18" s="24" t="str">
        <f t="shared" si="2"/>
        <v>Head</v>
      </c>
      <c r="H18" s="44">
        <v>199009.99166888703</v>
      </c>
      <c r="I18" s="44">
        <v>217422.33341778014</v>
      </c>
      <c r="J18" s="44">
        <v>215985.90959339839</v>
      </c>
      <c r="K18" s="44">
        <v>215855.3256093637</v>
      </c>
      <c r="L18" s="44">
        <v>205016.85493448336</v>
      </c>
      <c r="M18" s="44">
        <v>206975.6146950039</v>
      </c>
      <c r="N18" s="44">
        <v>222906.86074723766</v>
      </c>
      <c r="O18" s="44">
        <v>221862.18887496003</v>
      </c>
      <c r="P18" s="44">
        <v>226693.79628424402</v>
      </c>
      <c r="Q18" s="44">
        <v>232439.49158177094</v>
      </c>
      <c r="R18" s="44">
        <v>215071.82170515548</v>
      </c>
      <c r="S18" s="44">
        <v>219119.92521023127</v>
      </c>
      <c r="T18" s="44">
        <v>223298.61269934176</v>
      </c>
      <c r="U18" s="44">
        <v>217161.16544971074</v>
      </c>
      <c r="V18" s="44">
        <v>217161.16544971074</v>
      </c>
      <c r="W18" s="44">
        <v>215594.1576412943</v>
      </c>
      <c r="X18" s="44">
        <v>211807.22210428791</v>
      </c>
      <c r="Y18" s="44">
        <v>215594.1576412943</v>
      </c>
      <c r="Z18" s="44">
        <v>210893.134216045</v>
      </c>
      <c r="AA18" s="44">
        <v>210631.96624797559</v>
      </c>
      <c r="AB18" s="44">
        <v>208150.87055131624</v>
      </c>
      <c r="AC18" s="44">
        <v>206845.03071096921</v>
      </c>
      <c r="AD18" s="44">
        <v>206192.1107907957</v>
      </c>
      <c r="AE18" s="44">
        <v>205539.19087062217</v>
      </c>
      <c r="AF18" s="44">
        <v>203972.18306220576</v>
      </c>
      <c r="AG18" s="44">
        <v>198879.40768485234</v>
      </c>
      <c r="AH18" s="44">
        <v>197442.98386047062</v>
      </c>
      <c r="AI18" s="44">
        <v>193394.88035539482</v>
      </c>
      <c r="AJ18" s="25">
        <f>AJ17*Constants!$H$21</f>
        <v>201953.11586102098</v>
      </c>
      <c r="AK18" s="25">
        <f>AK17*Constants!$H$21</f>
        <v>201656.29324272738</v>
      </c>
      <c r="AL18" s="25">
        <f>AL17*Constants!$H$21</f>
        <v>202454.4341777995</v>
      </c>
      <c r="AM18" s="25">
        <f>AM17*Constants!$H$21</f>
        <v>201991.89533573797</v>
      </c>
      <c r="AN18" s="25">
        <f>AN17*Constants!$H$21</f>
        <v>201540.48707251667</v>
      </c>
      <c r="AO18" s="25">
        <f>AO17*Constants!$H$21</f>
        <v>201086.58029966004</v>
      </c>
      <c r="AP18" s="25">
        <f>AP17*Constants!$H$21</f>
        <v>200642.25540057867</v>
      </c>
      <c r="AQ18" s="25">
        <f>AQ17*Constants!$H$21</f>
        <v>200186.81651133185</v>
      </c>
      <c r="AR18" s="25">
        <f>AR17*Constants!$H$21</f>
        <v>199665.19522394793</v>
      </c>
      <c r="AS18" s="25">
        <f>AS17*Constants!$H$21</f>
        <v>199146.52076576962</v>
      </c>
      <c r="AT18" s="25">
        <f>AT17*Constants!$H$21</f>
        <v>198612.80250630027</v>
      </c>
      <c r="AU18" s="25">
        <f>AU17*Constants!$H$21</f>
        <v>198067.91368843045</v>
      </c>
      <c r="AV18" s="25">
        <f>AV17*Constants!$H$21</f>
        <v>197510.83474668587</v>
      </c>
      <c r="AW18" s="25">
        <f>AW17*Constants!$H$21</f>
        <v>196888.9439638331</v>
      </c>
      <c r="AX18" s="25">
        <f>AX17*Constants!$H$21</f>
        <v>196287.09400494178</v>
      </c>
      <c r="AY18" s="25">
        <f>AY17*Constants!$H$21</f>
        <v>195640.04203057202</v>
      </c>
      <c r="AZ18" s="25">
        <f>AZ17*Constants!$H$21</f>
        <v>194961.38991015829</v>
      </c>
      <c r="BA18" s="25">
        <f>BA17*Constants!$H$21</f>
        <v>194249.42730539403</v>
      </c>
      <c r="BB18" s="25">
        <f>BB17*Constants!$H$21</f>
        <v>193514.57842039689</v>
      </c>
      <c r="BC18" s="25">
        <f>BC17*Constants!$H$21</f>
        <v>192756.81759804545</v>
      </c>
      <c r="BD18" s="25">
        <f>BD17*Constants!$H$21</f>
        <v>191990.54508751829</v>
      </c>
      <c r="BE18" s="25">
        <f>BE17*Constants!$H$21</f>
        <v>191201.14455811423</v>
      </c>
      <c r="BF18" s="25">
        <f>BF17*Constants!$H$21</f>
        <v>190375.67386943373</v>
      </c>
      <c r="BG18" s="25">
        <f>BG17*Constants!$H$21</f>
        <v>189496.04390084688</v>
      </c>
      <c r="BH18" s="25">
        <f>BH17*Constants!$H$21</f>
        <v>188588.7240346121</v>
      </c>
      <c r="BI18" s="25">
        <f>BI17*Constants!$H$21</f>
        <v>187655.29274014002</v>
      </c>
      <c r="BJ18" s="25">
        <f>BJ17*Constants!$H$21</f>
        <v>186691.85380900529</v>
      </c>
      <c r="BK18" s="25">
        <f>BK17*Constants!$H$21</f>
        <v>185682.95978216332</v>
      </c>
      <c r="BL18" s="25">
        <f>BL17*Constants!$H$21</f>
        <v>184643.59242916104</v>
      </c>
      <c r="BM18" s="25">
        <f>BM17*Constants!$H$21</f>
        <v>183565.03241786413</v>
      </c>
      <c r="BN18" s="25">
        <f>BN17*Constants!$H$21</f>
        <v>182476.64425137412</v>
      </c>
      <c r="BO18" s="25">
        <f>BO17*Constants!$H$21</f>
        <v>181345.51132682853</v>
      </c>
      <c r="BP18" s="25">
        <f>BP17*Constants!$H$21</f>
        <v>180168.06665039493</v>
      </c>
    </row>
    <row r="19" spans="1:72" s="24" customFormat="1" x14ac:dyDescent="0.25">
      <c r="A19" s="24" t="str">
        <f t="shared" si="0"/>
        <v>3A Livestock</v>
      </c>
      <c r="C19" s="24" t="str">
        <f>'IPCC Categories'!$C$19</f>
        <v>3A2i Poultry</v>
      </c>
      <c r="D19" t="str">
        <f>'IPCC Categories'!F50</f>
        <v>Commercial layers</v>
      </c>
      <c r="E19" s="24" t="str">
        <f t="shared" si="1"/>
        <v>Population</v>
      </c>
      <c r="F19" s="24" t="str">
        <f t="shared" si="2"/>
        <v>Head</v>
      </c>
      <c r="H19" s="44">
        <v>14643674.931267885</v>
      </c>
      <c r="I19" s="44">
        <v>14226110.812328145</v>
      </c>
      <c r="J19" s="44">
        <v>13492476.52712371</v>
      </c>
      <c r="K19" s="44">
        <v>13280331.082668224</v>
      </c>
      <c r="L19" s="44">
        <v>12702684.496371185</v>
      </c>
      <c r="M19" s="44">
        <v>13860209.809151115</v>
      </c>
      <c r="N19" s="44">
        <v>14640611.562802857</v>
      </c>
      <c r="O19" s="44">
        <v>14688755.298092401</v>
      </c>
      <c r="P19" s="44">
        <v>16538299.007411262</v>
      </c>
      <c r="Q19" s="44">
        <v>17730716.13950536</v>
      </c>
      <c r="R19" s="44">
        <v>17355030.714458548</v>
      </c>
      <c r="S19" s="44">
        <v>17818001.024886843</v>
      </c>
      <c r="T19" s="44">
        <v>17678155.288284503</v>
      </c>
      <c r="U19" s="44">
        <v>16972399.104253348</v>
      </c>
      <c r="V19" s="44">
        <v>17587835.89054852</v>
      </c>
      <c r="W19" s="44">
        <v>18648391.6209228</v>
      </c>
      <c r="X19" s="44">
        <v>20580691.805783488</v>
      </c>
      <c r="Y19" s="44">
        <v>22776081.657241259</v>
      </c>
      <c r="Z19" s="44">
        <v>23076039.863330547</v>
      </c>
      <c r="AA19" s="44">
        <v>22225308.649488669</v>
      </c>
      <c r="AB19" s="44">
        <v>23091061.215630483</v>
      </c>
      <c r="AC19" s="44">
        <v>24156882.687047753</v>
      </c>
      <c r="AD19" s="44">
        <v>25036870.403128054</v>
      </c>
      <c r="AE19" s="44">
        <v>24549576.616170555</v>
      </c>
      <c r="AF19" s="44">
        <v>24340499.841357533</v>
      </c>
      <c r="AG19" s="44">
        <v>24851160.720602136</v>
      </c>
      <c r="AH19" s="44">
        <v>24800000</v>
      </c>
      <c r="AI19" s="44">
        <v>23160000</v>
      </c>
      <c r="AJ19" s="25">
        <f>TREND($R$19:$AI$19,'Intermediate calcs'!$M$29:$AD$29,'Intermediate calcs'!AE$29,TRUE)</f>
        <v>25672965.531027533</v>
      </c>
      <c r="AK19" s="25">
        <f>TREND($R$19:$AI$19,'Intermediate calcs'!$M$29:$AD$29,'Intermediate calcs'!AF$29,TRUE)</f>
        <v>25917945.824981693</v>
      </c>
      <c r="AL19" s="25">
        <f>TREND($R$19:$AI$19,'Intermediate calcs'!$M$29:$AD$29,'Intermediate calcs'!AG$29,TRUE)</f>
        <v>25801537.998029709</v>
      </c>
      <c r="AM19" s="25">
        <f>TREND($R$19:$AI$19,'Intermediate calcs'!$M$29:$AD$29,'Intermediate calcs'!AH$29,TRUE)</f>
        <v>26103212.804306682</v>
      </c>
      <c r="AN19" s="25">
        <f>TREND($R$19:$AI$19,'Intermediate calcs'!$M$29:$AD$29,'Intermediate calcs'!AI$29,TRUE)</f>
        <v>26401214.007045787</v>
      </c>
      <c r="AO19" s="25">
        <f>TREND($R$19:$AI$19,'Intermediate calcs'!$M$29:$AD$29,'Intermediate calcs'!AJ$29,TRUE)</f>
        <v>26700039.832393941</v>
      </c>
      <c r="AP19" s="25">
        <f>TREND($R$19:$AI$19,'Intermediate calcs'!$M$29:$AD$29,'Intermediate calcs'!AK$29,TRUE)</f>
        <v>26995703.200555492</v>
      </c>
      <c r="AQ19" s="25">
        <f>TREND($R$19:$AI$19,'Intermediate calcs'!$M$29:$AD$29,'Intermediate calcs'!AL$29,TRUE)</f>
        <v>27295034.697232477</v>
      </c>
      <c r="AR19" s="25">
        <f>TREND($R$19:$AI$19,'Intermediate calcs'!$M$29:$AD$29,'Intermediate calcs'!AM$29,TRUE)</f>
        <v>27628636.24784869</v>
      </c>
      <c r="AS19" s="25">
        <f>TREND($R$19:$AI$19,'Intermediate calcs'!$M$29:$AD$29,'Intermediate calcs'!AN$29,TRUE)</f>
        <v>27961265.209865041</v>
      </c>
      <c r="AT19" s="25">
        <f>TREND($R$19:$AI$19,'Intermediate calcs'!$M$29:$AD$29,'Intermediate calcs'!AO$29,TRUE)</f>
        <v>28298859.31529934</v>
      </c>
      <c r="AU19" s="25">
        <f>TREND($R$19:$AI$19,'Intermediate calcs'!$M$29:$AD$29,'Intermediate calcs'!AP$29,TRUE)</f>
        <v>28640140.216606796</v>
      </c>
      <c r="AV19" s="25">
        <f>TREND($R$19:$AI$19,'Intermediate calcs'!$M$29:$AD$29,'Intermediate calcs'!AQ$29,TRUE)</f>
        <v>28985444.417089071</v>
      </c>
      <c r="AW19" s="25">
        <f>TREND($R$19:$AI$19,'Intermediate calcs'!$M$29:$AD$29,'Intermediate calcs'!AR$29,TRUE)</f>
        <v>29346658.493996684</v>
      </c>
      <c r="AX19" s="25">
        <f>TREND($R$19:$AI$19,'Intermediate calcs'!$M$29:$AD$29,'Intermediate calcs'!AS$29,TRUE)</f>
        <v>29701258.178395629</v>
      </c>
      <c r="AY19" s="25">
        <f>TREND($R$19:$AI$19,'Intermediate calcs'!$M$29:$AD$29,'Intermediate calcs'!AT$29,TRUE)</f>
        <v>30070776.600862645</v>
      </c>
      <c r="AZ19" s="25">
        <f>TREND($R$19:$AI$19,'Intermediate calcs'!$M$29:$AD$29,'Intermediate calcs'!AU$29,TRUE)</f>
        <v>30450724.516030375</v>
      </c>
      <c r="BA19" s="25">
        <f>TREND($R$19:$AI$19,'Intermediate calcs'!$M$29:$AD$29,'Intermediate calcs'!AV$29,TRUE)</f>
        <v>30841666.416622464</v>
      </c>
      <c r="BB19" s="25">
        <f>TREND($R$19:$AI$19,'Intermediate calcs'!$M$29:$AD$29,'Intermediate calcs'!AW$29,TRUE)</f>
        <v>31246293.421992641</v>
      </c>
      <c r="BC19" s="25">
        <f>TREND($R$19:$AI$19,'Intermediate calcs'!$M$29:$AD$29,'Intermediate calcs'!AX$29,TRUE)</f>
        <v>31658482.416034795</v>
      </c>
      <c r="BD19" s="25">
        <f>TREND($R$19:$AI$19,'Intermediate calcs'!$M$29:$AD$29,'Intermediate calcs'!AY$29,TRUE)</f>
        <v>32073480.65425162</v>
      </c>
      <c r="BE19" s="25">
        <f>TREND($R$19:$AI$19,'Intermediate calcs'!$M$29:$AD$29,'Intermediate calcs'!AZ$29,TRUE)</f>
        <v>32496112.200689822</v>
      </c>
      <c r="BF19" s="25">
        <f>TREND($R$19:$AI$19,'Intermediate calcs'!$M$29:$AD$29,'Intermediate calcs'!BA$29,TRUE)</f>
        <v>32930648.55166842</v>
      </c>
      <c r="BG19" s="25">
        <f>TREND($R$19:$AI$19,'Intermediate calcs'!$M$29:$AD$29,'Intermediate calcs'!BB$29,TRUE)</f>
        <v>33406000.731296811</v>
      </c>
      <c r="BH19" s="25">
        <f>TREND($R$19:$AI$19,'Intermediate calcs'!$M$29:$AD$29,'Intermediate calcs'!BC$29,TRUE)</f>
        <v>33890491.84256956</v>
      </c>
      <c r="BI19" s="25">
        <f>TREND($R$19:$AI$19,'Intermediate calcs'!$M$29:$AD$29,'Intermediate calcs'!BD$29,TRUE)</f>
        <v>34383600.923789918</v>
      </c>
      <c r="BJ19" s="25">
        <f>TREND($R$19:$AI$19,'Intermediate calcs'!$M$29:$AD$29,'Intermediate calcs'!BE$29,TRUE)</f>
        <v>34886613.89943032</v>
      </c>
      <c r="BK19" s="25">
        <f>TREND($R$19:$AI$19,'Intermediate calcs'!$M$29:$AD$29,'Intermediate calcs'!BF$29,TRUE)</f>
        <v>35404629.138454542</v>
      </c>
      <c r="BL19" s="25">
        <f>TREND($R$19:$AI$19,'Intermediate calcs'!$M$29:$AD$29,'Intermediate calcs'!BG$29,TRUE)</f>
        <v>35926171.35219714</v>
      </c>
      <c r="BM19" s="25">
        <f>TREND($R$19:$AI$19,'Intermediate calcs'!$M$29:$AD$29,'Intermediate calcs'!BH$29,TRUE)</f>
        <v>36460648.938163668</v>
      </c>
      <c r="BN19" s="25">
        <f>TREND($R$19:$AI$19,'Intermediate calcs'!$M$29:$AD$29,'Intermediate calcs'!BI$29,TRUE)</f>
        <v>36998370.268214718</v>
      </c>
      <c r="BO19" s="25">
        <f>TREND($R$19:$AI$19,'Intermediate calcs'!$M$29:$AD$29,'Intermediate calcs'!BJ$29,TRUE)</f>
        <v>37550199.323343024</v>
      </c>
      <c r="BP19" s="25">
        <f>TREND($R$19:$AI$19,'Intermediate calcs'!$M$29:$AD$29,'Intermediate calcs'!BK$29,TRUE)</f>
        <v>38117313.377628803</v>
      </c>
    </row>
    <row r="20" spans="1:72" s="24" customFormat="1" x14ac:dyDescent="0.25">
      <c r="A20" s="24" t="str">
        <f t="shared" si="0"/>
        <v>3A Livestock</v>
      </c>
      <c r="C20" s="24" t="str">
        <f>C19</f>
        <v>3A2i Poultry</v>
      </c>
      <c r="D20" t="str">
        <f>'IPCC Categories'!F51</f>
        <v>Commercial broilers</v>
      </c>
      <c r="E20" s="24" t="str">
        <f t="shared" si="1"/>
        <v>Population</v>
      </c>
      <c r="F20" s="24" t="str">
        <f t="shared" si="2"/>
        <v>Head</v>
      </c>
      <c r="H20" s="44">
        <v>40304488.125775687</v>
      </c>
      <c r="I20" s="44">
        <v>37886218.887128815</v>
      </c>
      <c r="J20" s="44">
        <v>35805187.036307976</v>
      </c>
      <c r="K20" s="44">
        <v>40268107.368938237</v>
      </c>
      <c r="L20" s="44">
        <v>39890443.299430735</v>
      </c>
      <c r="M20" s="44">
        <v>45660443.796231762</v>
      </c>
      <c r="N20" s="44">
        <v>53091326.838711366</v>
      </c>
      <c r="O20" s="44">
        <v>54040901.985378392</v>
      </c>
      <c r="P20" s="44">
        <v>59214394.697576575</v>
      </c>
      <c r="Q20" s="44">
        <v>61819163.842046939</v>
      </c>
      <c r="R20" s="44">
        <v>66512864.907880791</v>
      </c>
      <c r="S20" s="44">
        <v>64225159.968942329</v>
      </c>
      <c r="T20" s="44">
        <v>71182309.580183759</v>
      </c>
      <c r="U20" s="44">
        <v>67705122.244331256</v>
      </c>
      <c r="V20" s="44">
        <v>69339582.95804137</v>
      </c>
      <c r="W20" s="44">
        <v>76722494.212373629</v>
      </c>
      <c r="X20" s="44">
        <v>82061878.307196394</v>
      </c>
      <c r="Y20" s="44">
        <v>85859218.536646262</v>
      </c>
      <c r="Z20" s="44">
        <v>91416754.470852047</v>
      </c>
      <c r="AA20" s="44">
        <v>86261715.79298</v>
      </c>
      <c r="AB20" s="44">
        <v>88431266.728296682</v>
      </c>
      <c r="AC20" s="44">
        <v>91461113.859690607</v>
      </c>
      <c r="AD20" s="44">
        <v>93498642.184348121</v>
      </c>
      <c r="AE20" s="44">
        <v>91051385.328801513</v>
      </c>
      <c r="AF20" s="44">
        <v>95192509.839774087</v>
      </c>
      <c r="AG20" s="44">
        <v>99033153.399708137</v>
      </c>
      <c r="AH20" s="44">
        <v>92093884</v>
      </c>
      <c r="AI20" s="44">
        <v>91976041</v>
      </c>
      <c r="AJ20" s="25">
        <f>TREND($H$20:$AI$20,'Intermediate calcs'!$C$33:$AD$33,'Intermediate calcs'!AE$33,TRUE)</f>
        <v>102037819.1286782</v>
      </c>
      <c r="AK20" s="25">
        <f>TREND($H$20:$AI$20,'Intermediate calcs'!$C$33:$AD$33,'Intermediate calcs'!AF$33,TRUE)</f>
        <v>103876582.8021197</v>
      </c>
      <c r="AL20" s="25">
        <f>TREND($H$20:$AI$20,'Intermediate calcs'!$C$33:$AD$33,'Intermediate calcs'!AG$33,TRUE)</f>
        <v>105715346.47556117</v>
      </c>
      <c r="AM20" s="25">
        <f>TREND($H$20:$AI$20,'Intermediate calcs'!$C$33:$AD$33,'Intermediate calcs'!AH$33,TRUE)</f>
        <v>107579131.86378166</v>
      </c>
      <c r="AN20" s="25">
        <f>TREND($H$20:$AI$20,'Intermediate calcs'!$C$33:$AD$33,'Intermediate calcs'!AI$33,TRUE)</f>
        <v>109442917.21759966</v>
      </c>
      <c r="AO20" s="25">
        <f>TREND($H$20:$AI$20,'Intermediate calcs'!$C$33:$AD$33,'Intermediate calcs'!AJ$33,TRUE)</f>
        <v>111306702.5714176</v>
      </c>
      <c r="AP20" s="25">
        <f>TREND($H$20:$AI$20,'Intermediate calcs'!$C$33:$AD$33,'Intermediate calcs'!AK$33,TRUE)</f>
        <v>113170487.92523554</v>
      </c>
      <c r="AQ20" s="25">
        <f>TREND($H$20:$AI$20,'Intermediate calcs'!$C$33:$AD$33,'Intermediate calcs'!AL$33,TRUE)</f>
        <v>115034273.313456</v>
      </c>
      <c r="AR20" s="25">
        <f>TREND($H$20:$AI$20,'Intermediate calcs'!$C$33:$AD$33,'Intermediate calcs'!AM$33,TRUE)</f>
        <v>117053484.81215692</v>
      </c>
      <c r="AS20" s="25">
        <f>TREND($H$20:$AI$20,'Intermediate calcs'!$C$33:$AD$33,'Intermediate calcs'!AN$33,TRUE)</f>
        <v>119072696.31085777</v>
      </c>
      <c r="AT20" s="25">
        <f>TREND($H$20:$AI$20,'Intermediate calcs'!$C$33:$AD$33,'Intermediate calcs'!AO$33,TRUE)</f>
        <v>121091907.80955863</v>
      </c>
      <c r="AU20" s="25">
        <f>TREND($H$20:$AI$20,'Intermediate calcs'!$C$33:$AD$33,'Intermediate calcs'!AP$33,TRUE)</f>
        <v>123111119.30825949</v>
      </c>
      <c r="AV20" s="25">
        <f>TREND($H$20:$AI$20,'Intermediate calcs'!$C$33:$AD$33,'Intermediate calcs'!AQ$33,TRUE)</f>
        <v>125130330.8069604</v>
      </c>
      <c r="AW20" s="25">
        <f>TREND($H$20:$AI$20,'Intermediate calcs'!$C$33:$AD$33,'Intermediate calcs'!AR$33,TRUE)</f>
        <v>127080989.80051252</v>
      </c>
      <c r="AX20" s="25">
        <f>TREND($H$20:$AI$20,'Intermediate calcs'!$C$33:$AD$33,'Intermediate calcs'!AS$33,TRUE)</f>
        <v>129031648.75966212</v>
      </c>
      <c r="AY20" s="25">
        <f>TREND($H$20:$AI$20,'Intermediate calcs'!$C$33:$AD$33,'Intermediate calcs'!AT$33,TRUE)</f>
        <v>130982307.7532143</v>
      </c>
      <c r="AZ20" s="25">
        <f>TREND($H$20:$AI$20,'Intermediate calcs'!$C$33:$AD$33,'Intermediate calcs'!AU$33,TRUE)</f>
        <v>132932966.71236396</v>
      </c>
      <c r="BA20" s="25">
        <f>TREND($H$20:$AI$20,'Intermediate calcs'!$C$33:$AD$33,'Intermediate calcs'!AV$33,TRUE)</f>
        <v>134883625.67151353</v>
      </c>
      <c r="BB20" s="25">
        <f>TREND($H$20:$AI$20,'Intermediate calcs'!$C$33:$AD$33,'Intermediate calcs'!AW$33,TRUE)</f>
        <v>136910974.19352239</v>
      </c>
      <c r="BC20" s="25">
        <f>TREND($H$20:$AI$20,'Intermediate calcs'!$C$33:$AD$33,'Intermediate calcs'!AX$33,TRUE)</f>
        <v>138938322.71553117</v>
      </c>
      <c r="BD20" s="25">
        <f>TREND($H$20:$AI$20,'Intermediate calcs'!$C$33:$AD$33,'Intermediate calcs'!AY$33,TRUE)</f>
        <v>140965671.20313749</v>
      </c>
      <c r="BE20" s="25">
        <f>TREND($H$20:$AI$20,'Intermediate calcs'!$C$33:$AD$33,'Intermediate calcs'!AZ$33,TRUE)</f>
        <v>142993019.72514626</v>
      </c>
      <c r="BF20" s="25">
        <f>TREND($H$20:$AI$20,'Intermediate calcs'!$C$33:$AD$33,'Intermediate calcs'!BA$33,TRUE)</f>
        <v>145020368.24715507</v>
      </c>
      <c r="BG20" s="25">
        <f>TREND($H$20:$AI$20,'Intermediate calcs'!$C$33:$AD$33,'Intermediate calcs'!BB$33,TRUE)</f>
        <v>147334644.06231058</v>
      </c>
      <c r="BH20" s="25">
        <f>TREND($H$20:$AI$20,'Intermediate calcs'!$C$33:$AD$33,'Intermediate calcs'!BC$33,TRUE)</f>
        <v>149648919.8430635</v>
      </c>
      <c r="BI20" s="25">
        <f>TREND($H$20:$AI$20,'Intermediate calcs'!$C$33:$AD$33,'Intermediate calcs'!BD$33,TRUE)</f>
        <v>151963195.65821901</v>
      </c>
      <c r="BJ20" s="25">
        <f>TREND($H$20:$AI$20,'Intermediate calcs'!$C$33:$AD$33,'Intermediate calcs'!BE$33,TRUE)</f>
        <v>154277471.47337449</v>
      </c>
      <c r="BK20" s="25">
        <f>TREND($H$20:$AI$20,'Intermediate calcs'!$C$33:$AD$33,'Intermediate calcs'!BF$33,TRUE)</f>
        <v>156591747.28852993</v>
      </c>
      <c r="BL20" s="25">
        <f>TREND($H$20:$AI$20,'Intermediate calcs'!$C$33:$AD$33,'Intermediate calcs'!BG$33,TRUE)</f>
        <v>158824342.69742212</v>
      </c>
      <c r="BM20" s="25">
        <f>TREND($H$20:$AI$20,'Intermediate calcs'!$C$33:$AD$33,'Intermediate calcs'!BH$33,TRUE)</f>
        <v>161056938.10631418</v>
      </c>
      <c r="BN20" s="25">
        <f>TREND($H$20:$AI$20,'Intermediate calcs'!$C$33:$AD$33,'Intermediate calcs'!BI$33,TRUE)</f>
        <v>163289533.54960883</v>
      </c>
      <c r="BO20" s="25">
        <f>TREND($H$20:$AI$20,'Intermediate calcs'!$C$33:$AD$33,'Intermediate calcs'!BJ$33,TRUE)</f>
        <v>165522128.95850089</v>
      </c>
      <c r="BP20" s="25">
        <f>TREND($H$20:$AI$20,'Intermediate calcs'!$C$33:$AD$33,'Intermediate calcs'!BK$33,TRUE)</f>
        <v>167754724.36739302</v>
      </c>
    </row>
    <row r="21" spans="1:72" s="24" customFormat="1" x14ac:dyDescent="0.25">
      <c r="A21" s="24" t="str">
        <f t="shared" si="0"/>
        <v>3A Livestock</v>
      </c>
      <c r="C21" s="24" t="str">
        <f>C20</f>
        <v>3A2i Poultry</v>
      </c>
      <c r="D21" t="str">
        <f>'IPCC Categories'!F52</f>
        <v>Subsistence layers</v>
      </c>
      <c r="E21" s="24" t="str">
        <f t="shared" si="1"/>
        <v>Population</v>
      </c>
      <c r="F21" s="24" t="str">
        <f t="shared" si="2"/>
        <v>Head</v>
      </c>
      <c r="H21" s="44">
        <v>615034.34711325122</v>
      </c>
      <c r="I21" s="44">
        <v>597496.65411778213</v>
      </c>
      <c r="J21" s="44">
        <v>566684.0141391959</v>
      </c>
      <c r="K21" s="44">
        <v>557773.90547206544</v>
      </c>
      <c r="L21" s="44">
        <v>533512.74884758983</v>
      </c>
      <c r="M21" s="44">
        <v>582128.81198434683</v>
      </c>
      <c r="N21" s="44">
        <v>614905.68563772005</v>
      </c>
      <c r="O21" s="44">
        <v>616927.72251988086</v>
      </c>
      <c r="P21" s="44">
        <v>694608.55831127299</v>
      </c>
      <c r="Q21" s="44">
        <v>744690.07785922522</v>
      </c>
      <c r="R21" s="44">
        <v>728911.290007259</v>
      </c>
      <c r="S21" s="44">
        <v>748356.04304524744</v>
      </c>
      <c r="T21" s="44">
        <v>742482.52210794913</v>
      </c>
      <c r="U21" s="44">
        <v>712840.76237864071</v>
      </c>
      <c r="V21" s="44">
        <v>738689.10740303784</v>
      </c>
      <c r="W21" s="44">
        <v>783232.44807875762</v>
      </c>
      <c r="X21" s="44">
        <v>864389.05584290659</v>
      </c>
      <c r="Y21" s="44">
        <v>956595.42960413289</v>
      </c>
      <c r="Z21" s="44">
        <v>969193.674259883</v>
      </c>
      <c r="AA21" s="44">
        <v>933462.96327852411</v>
      </c>
      <c r="AB21" s="44">
        <v>969824.57105648029</v>
      </c>
      <c r="AC21" s="44">
        <v>1014589.0728560057</v>
      </c>
      <c r="AD21" s="44">
        <v>1051548.5569313783</v>
      </c>
      <c r="AE21" s="44">
        <v>1031082.2178791633</v>
      </c>
      <c r="AF21" s="44">
        <v>1022300.9933370164</v>
      </c>
      <c r="AG21" s="44">
        <v>1043748.7502652898</v>
      </c>
      <c r="AH21" s="44">
        <v>1041600.0000000001</v>
      </c>
      <c r="AI21" s="44">
        <v>972720.00000000012</v>
      </c>
      <c r="AJ21" s="25">
        <f>AJ19*Constants!$H$22</f>
        <v>1026918.6212411013</v>
      </c>
      <c r="AK21" s="25">
        <f>AK19*Constants!$H$22</f>
        <v>1036717.8329992677</v>
      </c>
      <c r="AL21" s="25">
        <f>AL19*Constants!$H$22</f>
        <v>1032061.5199211884</v>
      </c>
      <c r="AM21" s="25">
        <f>AM19*Constants!$H$22</f>
        <v>1044128.5121722673</v>
      </c>
      <c r="AN21" s="25">
        <f>AN19*Constants!$H$22</f>
        <v>1056048.5602818315</v>
      </c>
      <c r="AO21" s="25">
        <f>AO19*Constants!$H$22</f>
        <v>1068001.5932957577</v>
      </c>
      <c r="AP21" s="25">
        <f>AP19*Constants!$H$22</f>
        <v>1079828.1280222198</v>
      </c>
      <c r="AQ21" s="25">
        <f>AQ19*Constants!$H$22</f>
        <v>1091801.3878892991</v>
      </c>
      <c r="AR21" s="25">
        <f>AR19*Constants!$H$22</f>
        <v>1105145.4499139476</v>
      </c>
      <c r="AS21" s="25">
        <f>AS19*Constants!$H$22</f>
        <v>1118450.6083946016</v>
      </c>
      <c r="AT21" s="25">
        <f>AT19*Constants!$H$22</f>
        <v>1131954.3726119737</v>
      </c>
      <c r="AU21" s="25">
        <f>AU19*Constants!$H$22</f>
        <v>1145605.6086642719</v>
      </c>
      <c r="AV21" s="25">
        <f>AV19*Constants!$H$22</f>
        <v>1159417.7766835629</v>
      </c>
      <c r="AW21" s="25">
        <f>AW19*Constants!$H$22</f>
        <v>1173866.3397598674</v>
      </c>
      <c r="AX21" s="25">
        <f>AX19*Constants!$H$22</f>
        <v>1188050.3271358253</v>
      </c>
      <c r="AY21" s="25">
        <f>AY19*Constants!$H$22</f>
        <v>1202831.0640345057</v>
      </c>
      <c r="AZ21" s="25">
        <f>AZ19*Constants!$H$22</f>
        <v>1218028.9806412151</v>
      </c>
      <c r="BA21" s="25">
        <f>BA19*Constants!$H$22</f>
        <v>1233666.6566648986</v>
      </c>
      <c r="BB21" s="25">
        <f>BB19*Constants!$H$22</f>
        <v>1249851.7368797057</v>
      </c>
      <c r="BC21" s="25">
        <f>BC19*Constants!$H$22</f>
        <v>1266339.2966413919</v>
      </c>
      <c r="BD21" s="25">
        <f>BD19*Constants!$H$22</f>
        <v>1282939.2261700649</v>
      </c>
      <c r="BE21" s="25">
        <f>BE19*Constants!$H$22</f>
        <v>1299844.4880275929</v>
      </c>
      <c r="BF21" s="25">
        <f>BF19*Constants!$H$22</f>
        <v>1317225.9420667368</v>
      </c>
      <c r="BG21" s="25">
        <f>BG19*Constants!$H$22</f>
        <v>1336240.0292518726</v>
      </c>
      <c r="BH21" s="25">
        <f>BH19*Constants!$H$22</f>
        <v>1355619.6737027825</v>
      </c>
      <c r="BI21" s="25">
        <f>BI19*Constants!$H$22</f>
        <v>1375344.0369515968</v>
      </c>
      <c r="BJ21" s="25">
        <f>BJ19*Constants!$H$22</f>
        <v>1395464.5559772127</v>
      </c>
      <c r="BK21" s="25">
        <f>BK19*Constants!$H$22</f>
        <v>1416185.1655381818</v>
      </c>
      <c r="BL21" s="25">
        <f>BL19*Constants!$H$22</f>
        <v>1437046.8540878857</v>
      </c>
      <c r="BM21" s="25">
        <f>BM19*Constants!$H$22</f>
        <v>1458425.9575265467</v>
      </c>
      <c r="BN21" s="25">
        <f>BN19*Constants!$H$22</f>
        <v>1479934.8107285888</v>
      </c>
      <c r="BO21" s="25">
        <f>BO19*Constants!$H$22</f>
        <v>1502007.972933721</v>
      </c>
      <c r="BP21" s="25">
        <f>BP19*Constants!$H$22</f>
        <v>1524692.5351051521</v>
      </c>
    </row>
    <row r="22" spans="1:72" s="24" customFormat="1" x14ac:dyDescent="0.25">
      <c r="A22" s="24" t="str">
        <f t="shared" si="0"/>
        <v>3A Livestock</v>
      </c>
      <c r="C22" s="24" t="str">
        <f>C21</f>
        <v>3A2i Poultry</v>
      </c>
      <c r="D22" t="str">
        <f>'IPCC Categories'!F53</f>
        <v>Subsistence broilers</v>
      </c>
      <c r="E22" s="24" t="str">
        <f t="shared" si="1"/>
        <v>Population</v>
      </c>
      <c r="F22" s="24" t="str">
        <f t="shared" si="2"/>
        <v>Head</v>
      </c>
      <c r="H22" s="44">
        <v>1692788.501282579</v>
      </c>
      <c r="I22" s="44">
        <v>1591221.1932594103</v>
      </c>
      <c r="J22" s="44">
        <v>1503817.8555249351</v>
      </c>
      <c r="K22" s="44">
        <v>1691260.5094954062</v>
      </c>
      <c r="L22" s="44">
        <v>1675398.618576091</v>
      </c>
      <c r="M22" s="44">
        <v>1917738.6394417342</v>
      </c>
      <c r="N22" s="44">
        <v>2229835.7272258773</v>
      </c>
      <c r="O22" s="44">
        <v>2269717.8833858925</v>
      </c>
      <c r="P22" s="44">
        <v>2487004.5772982165</v>
      </c>
      <c r="Q22" s="44">
        <v>2596404.8813659716</v>
      </c>
      <c r="R22" s="44">
        <v>2793540.3261309932</v>
      </c>
      <c r="S22" s="44">
        <v>2697456.7186955782</v>
      </c>
      <c r="T22" s="44">
        <v>2989657.0023677181</v>
      </c>
      <c r="U22" s="44">
        <v>2843615.1342619131</v>
      </c>
      <c r="V22" s="44">
        <v>2912262.4842377375</v>
      </c>
      <c r="W22" s="44">
        <v>3222344.7569196927</v>
      </c>
      <c r="X22" s="44">
        <v>3446598.8889022488</v>
      </c>
      <c r="Y22" s="44">
        <v>3606087.1785391434</v>
      </c>
      <c r="Z22" s="44">
        <v>3839503.687775786</v>
      </c>
      <c r="AA22" s="44">
        <v>3622992.06330516</v>
      </c>
      <c r="AB22" s="44">
        <v>3714113.2025884609</v>
      </c>
      <c r="AC22" s="44">
        <v>3841366.7821070058</v>
      </c>
      <c r="AD22" s="44">
        <v>3926942.9717426212</v>
      </c>
      <c r="AE22" s="44">
        <v>3824158.1838096636</v>
      </c>
      <c r="AF22" s="44">
        <v>3998085.4132705121</v>
      </c>
      <c r="AG22" s="44">
        <v>4159392.4427877418</v>
      </c>
      <c r="AH22" s="44">
        <v>3867943.128</v>
      </c>
      <c r="AI22" s="44">
        <v>3862993.7220000001</v>
      </c>
      <c r="AJ22" s="25">
        <f>AJ20*Constants!$H$23</f>
        <v>4081512.7651471281</v>
      </c>
      <c r="AK22" s="25">
        <f>AK20*Constants!$H$23</f>
        <v>4155063.312084788</v>
      </c>
      <c r="AL22" s="25">
        <f>AL20*Constants!$H$23</f>
        <v>4228613.8590224469</v>
      </c>
      <c r="AM22" s="25">
        <f>AM20*Constants!$H$23</f>
        <v>4303165.2745512668</v>
      </c>
      <c r="AN22" s="25">
        <f>AN20*Constants!$H$23</f>
        <v>4377716.6887039868</v>
      </c>
      <c r="AO22" s="25">
        <f>AO20*Constants!$H$23</f>
        <v>4452268.102856704</v>
      </c>
      <c r="AP22" s="25">
        <f>AP20*Constants!$H$23</f>
        <v>4526819.5170094213</v>
      </c>
      <c r="AQ22" s="25">
        <f>AQ20*Constants!$H$23</f>
        <v>4601370.9325382402</v>
      </c>
      <c r="AR22" s="25">
        <f>AR20*Constants!$H$23</f>
        <v>4682139.392486277</v>
      </c>
      <c r="AS22" s="25">
        <f>AS20*Constants!$H$23</f>
        <v>4762907.8524343111</v>
      </c>
      <c r="AT22" s="25">
        <f>AT20*Constants!$H$23</f>
        <v>4843676.3123823451</v>
      </c>
      <c r="AU22" s="25">
        <f>AU20*Constants!$H$23</f>
        <v>4924444.77233038</v>
      </c>
      <c r="AV22" s="25">
        <f>AV20*Constants!$H$23</f>
        <v>5005213.2322784159</v>
      </c>
      <c r="AW22" s="25">
        <f>AW20*Constants!$H$23</f>
        <v>5083239.5920205014</v>
      </c>
      <c r="AX22" s="25">
        <f>AX20*Constants!$H$23</f>
        <v>5161265.9503864851</v>
      </c>
      <c r="AY22" s="25">
        <f>AY20*Constants!$H$23</f>
        <v>5239292.3101285724</v>
      </c>
      <c r="AZ22" s="25">
        <f>AZ20*Constants!$H$23</f>
        <v>5317318.6684945589</v>
      </c>
      <c r="BA22" s="25">
        <f>BA20*Constants!$H$23</f>
        <v>5395345.0268605417</v>
      </c>
      <c r="BB22" s="25">
        <f>BB20*Constants!$H$23</f>
        <v>5476438.9677408962</v>
      </c>
      <c r="BC22" s="25">
        <f>BC20*Constants!$H$23</f>
        <v>5557532.9086212469</v>
      </c>
      <c r="BD22" s="25">
        <f>BD20*Constants!$H$23</f>
        <v>5638626.8481254997</v>
      </c>
      <c r="BE22" s="25">
        <f>BE20*Constants!$H$23</f>
        <v>5719720.7890058504</v>
      </c>
      <c r="BF22" s="25">
        <f>BF20*Constants!$H$23</f>
        <v>5800814.7298862031</v>
      </c>
      <c r="BG22" s="25">
        <f>BG20*Constants!$H$23</f>
        <v>5893385.7624924229</v>
      </c>
      <c r="BH22" s="25">
        <f>BH20*Constants!$H$23</f>
        <v>5985956.7937225401</v>
      </c>
      <c r="BI22" s="25">
        <f>BI20*Constants!$H$23</f>
        <v>6078527.8263287609</v>
      </c>
      <c r="BJ22" s="25">
        <f>BJ20*Constants!$H$23</f>
        <v>6171098.8589349799</v>
      </c>
      <c r="BK22" s="25">
        <f>BK20*Constants!$H$23</f>
        <v>6263669.8915411979</v>
      </c>
      <c r="BL22" s="25">
        <f>BL20*Constants!$H$23</f>
        <v>6352973.7078968845</v>
      </c>
      <c r="BM22" s="25">
        <f>BM20*Constants!$H$23</f>
        <v>6442277.5242525674</v>
      </c>
      <c r="BN22" s="25">
        <f>BN20*Constants!$H$23</f>
        <v>6531581.341984353</v>
      </c>
      <c r="BO22" s="25">
        <f>BO20*Constants!$H$23</f>
        <v>6620885.1583400359</v>
      </c>
      <c r="BP22" s="25">
        <f>BP20*Constants!$H$23</f>
        <v>6710188.9746957207</v>
      </c>
    </row>
    <row r="23" spans="1:72" ht="18.75" customHeight="1" x14ac:dyDescent="0.25">
      <c r="A23" s="20" t="s">
        <v>102</v>
      </c>
      <c r="B23" s="20"/>
      <c r="C23" s="20"/>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S23" s="16"/>
      <c r="BT23" s="15"/>
    </row>
    <row r="24" spans="1:72" x14ac:dyDescent="0.25">
      <c r="A24" t="str">
        <f>'IPCC Categories'!A59</f>
        <v>3C Aggregated and non-CO2 emissions on land</v>
      </c>
      <c r="B24" t="str">
        <f>'IPCC Categories'!B59</f>
        <v>3C1 Biomass burning (CH4)</v>
      </c>
      <c r="C24" t="str">
        <f>'IPCC Categories'!C59</f>
        <v>3C1a Biomass burning in forest land</v>
      </c>
      <c r="D24" t="s">
        <v>396</v>
      </c>
      <c r="E24" t="str">
        <f t="shared" ref="E24:E39" si="3">D24&amp;" - Burnt area"</f>
        <v>Indigenous forests - Burnt area</v>
      </c>
      <c r="F24" t="s">
        <v>411</v>
      </c>
      <c r="G24" t="s">
        <v>724</v>
      </c>
      <c r="H24" s="45">
        <v>13927.534820378225</v>
      </c>
      <c r="I24" s="22">
        <v>13927.534820378225</v>
      </c>
      <c r="J24" s="22">
        <v>13927.534820378225</v>
      </c>
      <c r="K24" s="22">
        <v>13927.534820378225</v>
      </c>
      <c r="L24" s="22">
        <v>13927.534820378225</v>
      </c>
      <c r="M24" s="22">
        <v>13927.534820378225</v>
      </c>
      <c r="N24" s="22">
        <v>13927.534820378225</v>
      </c>
      <c r="O24" s="22">
        <v>13927.534820378225</v>
      </c>
      <c r="P24" s="22">
        <v>13927.534820378225</v>
      </c>
      <c r="Q24" s="22">
        <v>13927.534820378225</v>
      </c>
      <c r="R24" s="22">
        <v>12852.281138089251</v>
      </c>
      <c r="S24" s="22">
        <v>14305.950279381213</v>
      </c>
      <c r="T24" s="22">
        <v>13083.022271627655</v>
      </c>
      <c r="U24" s="22">
        <v>16497.991047996074</v>
      </c>
      <c r="V24" s="22">
        <v>12898.429364796932</v>
      </c>
      <c r="W24" s="22">
        <v>16959.473315072886</v>
      </c>
      <c r="X24" s="22">
        <v>15136.618360119473</v>
      </c>
      <c r="Y24" s="22">
        <v>19797.589257595289</v>
      </c>
      <c r="Z24" s="22">
        <v>16567.213388057597</v>
      </c>
      <c r="AA24" s="22">
        <v>16336.472254519189</v>
      </c>
      <c r="AB24" s="22">
        <v>13394.88</v>
      </c>
      <c r="AC24" s="22">
        <v>10042.290000000001</v>
      </c>
      <c r="AD24" s="22">
        <v>14744.88</v>
      </c>
      <c r="AE24" s="22">
        <v>14408.73</v>
      </c>
      <c r="AF24" s="22">
        <v>12745.53</v>
      </c>
      <c r="AG24" s="22">
        <v>9438.66</v>
      </c>
      <c r="AH24" s="22">
        <v>7670.07</v>
      </c>
      <c r="AI24" s="22">
        <v>7663.23</v>
      </c>
      <c r="AJ24" s="46">
        <f>'[1]Activity data'!AK544</f>
        <v>12617.901601355257</v>
      </c>
      <c r="AK24" s="46">
        <f>'[1]Activity data'!AL544</f>
        <v>12610.213779834767</v>
      </c>
      <c r="AL24" s="46">
        <f>'[1]Activity data'!AM544</f>
        <v>12602.525958314274</v>
      </c>
      <c r="AM24" s="46">
        <f>'[1]Activity data'!AN544</f>
        <v>12594.838136793784</v>
      </c>
      <c r="AN24" s="46">
        <f>'[1]Activity data'!AO544</f>
        <v>12587.150315273293</v>
      </c>
      <c r="AO24" s="46">
        <f>'[1]Activity data'!AP544</f>
        <v>12579.462493752801</v>
      </c>
      <c r="AP24" s="46">
        <f>'[1]Activity data'!AQ544</f>
        <v>12571.77467223231</v>
      </c>
      <c r="AQ24" s="46">
        <f>'[1]Activity data'!AR544</f>
        <v>12564.086850711819</v>
      </c>
      <c r="AR24" s="46">
        <f>'[1]Activity data'!AS544</f>
        <v>12556.399029191327</v>
      </c>
      <c r="AS24" s="46">
        <f>'[1]Activity data'!AT544</f>
        <v>12548.711207670836</v>
      </c>
      <c r="AT24" s="46">
        <f>'[1]Activity data'!AU544</f>
        <v>12541.023386150346</v>
      </c>
      <c r="AU24" s="46">
        <f>'[1]Activity data'!AV544</f>
        <v>12533.335564629853</v>
      </c>
      <c r="AV24" s="46">
        <f>'[1]Activity data'!AW544</f>
        <v>12525.647743109363</v>
      </c>
      <c r="AW24" s="46">
        <f>'[1]Activity data'!AX544</f>
        <v>12517.959921588872</v>
      </c>
      <c r="AX24" s="46">
        <f>'[1]Activity data'!AY544</f>
        <v>12510.27210006838</v>
      </c>
      <c r="AY24" s="46">
        <f>'[1]Activity data'!AZ544</f>
        <v>12502.584278547889</v>
      </c>
      <c r="AZ24" s="46">
        <f>'[1]Activity data'!BA544</f>
        <v>12494.896457027398</v>
      </c>
      <c r="BA24" s="46">
        <f>'[1]Activity data'!BB544</f>
        <v>12487.208635506906</v>
      </c>
      <c r="BB24" s="46">
        <f>'[1]Activity data'!BC544</f>
        <v>12479.520813986415</v>
      </c>
      <c r="BC24" s="46">
        <f>'[1]Activity data'!BD544</f>
        <v>12471.832992465923</v>
      </c>
      <c r="BD24" s="46">
        <f>'[1]Activity data'!BE544</f>
        <v>12464.145170945432</v>
      </c>
      <c r="BE24" s="46">
        <f>'[1]Activity data'!BF544</f>
        <v>12456.457349424942</v>
      </c>
      <c r="BF24" s="46">
        <f>'[1]Activity data'!BG544</f>
        <v>12448.769527904449</v>
      </c>
      <c r="BG24" s="46">
        <f>'[1]Activity data'!BH544</f>
        <v>12441.081706383959</v>
      </c>
      <c r="BH24" s="46">
        <f>'[1]Activity data'!BI544</f>
        <v>12433.393884863468</v>
      </c>
      <c r="BI24" s="46">
        <f>'[1]Activity data'!BJ544</f>
        <v>12425.706063342976</v>
      </c>
      <c r="BJ24" s="46">
        <f>'[1]Activity data'!BK544</f>
        <v>12418.018241822485</v>
      </c>
      <c r="BK24" s="46">
        <f>'[1]Activity data'!BL544</f>
        <v>12410.330420301994</v>
      </c>
      <c r="BL24" s="46">
        <f>'[1]Activity data'!BM544</f>
        <v>12402.642598781502</v>
      </c>
      <c r="BM24" s="46">
        <f>'[1]Activity data'!BN544</f>
        <v>12394.954777261011</v>
      </c>
      <c r="BN24" s="46">
        <f>'[1]Activity data'!BO544</f>
        <v>12387.266955740521</v>
      </c>
      <c r="BO24" s="46">
        <f>'[1]Activity data'!BP544</f>
        <v>12379.579134220028</v>
      </c>
      <c r="BP24" s="46">
        <f>'[1]Activity data'!BQ544</f>
        <v>12371.891312699538</v>
      </c>
      <c r="BR24" s="24"/>
    </row>
    <row r="25" spans="1:72" x14ac:dyDescent="0.25">
      <c r="A25" t="str">
        <f t="shared" ref="A25:C27" si="4">A24</f>
        <v>3C Aggregated and non-CO2 emissions on land</v>
      </c>
      <c r="B25" t="str">
        <f t="shared" si="4"/>
        <v>3C1 Biomass burning (CH4)</v>
      </c>
      <c r="C25" t="str">
        <f t="shared" si="4"/>
        <v>3C1a Biomass burning in forest land</v>
      </c>
      <c r="D25" t="s">
        <v>397</v>
      </c>
      <c r="E25" t="str">
        <f t="shared" si="3"/>
        <v>Thickets - Burnt area</v>
      </c>
      <c r="F25" t="s">
        <v>411</v>
      </c>
      <c r="G25" t="s">
        <v>726</v>
      </c>
      <c r="H25" s="22">
        <v>401037.31973509229</v>
      </c>
      <c r="I25" s="22">
        <v>401037.31973509229</v>
      </c>
      <c r="J25" s="22">
        <v>401037.31973509229</v>
      </c>
      <c r="K25" s="22">
        <v>401037.31973509229</v>
      </c>
      <c r="L25" s="22">
        <v>401037.31973509229</v>
      </c>
      <c r="M25" s="22">
        <v>401037.31973509229</v>
      </c>
      <c r="N25" s="22">
        <v>401037.31973509229</v>
      </c>
      <c r="O25" s="22">
        <v>401037.31973509229</v>
      </c>
      <c r="P25" s="22">
        <v>401037.31973509229</v>
      </c>
      <c r="Q25" s="22">
        <v>401037.31973509229</v>
      </c>
      <c r="R25" s="22">
        <v>411780.62691264047</v>
      </c>
      <c r="S25" s="22">
        <v>522674.81569119875</v>
      </c>
      <c r="T25" s="22">
        <v>482456.63611545443</v>
      </c>
      <c r="U25" s="22">
        <v>289949.30840436177</v>
      </c>
      <c r="V25" s="22">
        <v>298325.21155180596</v>
      </c>
      <c r="W25" s="22">
        <v>512360.68702203204</v>
      </c>
      <c r="X25" s="22">
        <v>409265.54855707183</v>
      </c>
      <c r="Y25" s="22">
        <v>477841.81344468636</v>
      </c>
      <c r="Z25" s="22">
        <v>525720.59865390568</v>
      </c>
      <c r="AA25" s="22">
        <v>382291.91004643211</v>
      </c>
      <c r="AB25" s="22">
        <v>467157.06</v>
      </c>
      <c r="AC25" s="22">
        <v>371977.65</v>
      </c>
      <c r="AD25" s="22">
        <v>477167.76</v>
      </c>
      <c r="AE25" s="22">
        <v>385280.55</v>
      </c>
      <c r="AF25" s="22">
        <v>487148.4</v>
      </c>
      <c r="AG25" s="22">
        <v>265562.46000000002</v>
      </c>
      <c r="AH25" s="22">
        <v>159944.76</v>
      </c>
      <c r="AI25" s="22">
        <v>141388.47</v>
      </c>
      <c r="AJ25" s="46">
        <f>'[1]Activity data'!AK545</f>
        <v>175110.98682221645</v>
      </c>
      <c r="AK25" s="46">
        <f>'[1]Activity data'!AL545</f>
        <v>171394.01131053091</v>
      </c>
      <c r="AL25" s="46">
        <f>'[1]Activity data'!AM545</f>
        <v>167677.03579884538</v>
      </c>
      <c r="AM25" s="46">
        <f>'[1]Activity data'!AN545</f>
        <v>163960.06028715984</v>
      </c>
      <c r="AN25" s="46">
        <f>'[1]Activity data'!AO545</f>
        <v>160243.08477547427</v>
      </c>
      <c r="AO25" s="46">
        <f>'[1]Activity data'!AP545</f>
        <v>156526.10926378873</v>
      </c>
      <c r="AP25" s="46">
        <f>'[1]Activity data'!AQ545</f>
        <v>152809.1337521032</v>
      </c>
      <c r="AQ25" s="46">
        <f>'[1]Activity data'!AR545</f>
        <v>149092.15824041766</v>
      </c>
      <c r="AR25" s="46">
        <f>'[1]Activity data'!AS545</f>
        <v>145375.18272873212</v>
      </c>
      <c r="AS25" s="46">
        <f>'[1]Activity data'!AT545</f>
        <v>141658.20721704655</v>
      </c>
      <c r="AT25" s="46">
        <f>'[1]Activity data'!AU545</f>
        <v>137941.23170536102</v>
      </c>
      <c r="AU25" s="46">
        <f>'[1]Activity data'!AV545</f>
        <v>134224.25619367548</v>
      </c>
      <c r="AV25" s="46">
        <f>'[1]Activity data'!AW545</f>
        <v>130507.28068198993</v>
      </c>
      <c r="AW25" s="46">
        <f>'[1]Activity data'!AX545</f>
        <v>126790.30517030439</v>
      </c>
      <c r="AX25" s="46">
        <f>'[1]Activity data'!AY545</f>
        <v>123073.32965861885</v>
      </c>
      <c r="AY25" s="46">
        <f>'[1]Activity data'!AZ545</f>
        <v>119356.3541469333</v>
      </c>
      <c r="AZ25" s="46">
        <f>'[1]Activity data'!BA545</f>
        <v>115639.37863524776</v>
      </c>
      <c r="BA25" s="46">
        <f>'[1]Activity data'!BB545</f>
        <v>111922.40312356221</v>
      </c>
      <c r="BB25" s="46">
        <f>'[1]Activity data'!BC545</f>
        <v>108205.42761187667</v>
      </c>
      <c r="BC25" s="46">
        <f>'[1]Activity data'!BD545</f>
        <v>104488.45210019113</v>
      </c>
      <c r="BD25" s="46">
        <f>'[1]Activity data'!BE545</f>
        <v>100771.4765885056</v>
      </c>
      <c r="BE25" s="46">
        <f>'[1]Activity data'!BF545</f>
        <v>97054.501076820059</v>
      </c>
      <c r="BF25" s="46">
        <f>'[1]Activity data'!BG545</f>
        <v>93337.525565134507</v>
      </c>
      <c r="BG25" s="46">
        <f>'[1]Activity data'!BH545</f>
        <v>89620.550053448969</v>
      </c>
      <c r="BH25" s="46">
        <f>'[1]Activity data'!BI545</f>
        <v>85903.574541763417</v>
      </c>
      <c r="BI25" s="46">
        <f>'[1]Activity data'!BJ545</f>
        <v>82186.599030077879</v>
      </c>
      <c r="BJ25" s="46">
        <f>'[1]Activity data'!BK545</f>
        <v>78469.623518392342</v>
      </c>
      <c r="BK25" s="46">
        <f>'[1]Activity data'!BL545</f>
        <v>74752.64800670679</v>
      </c>
      <c r="BL25" s="46">
        <f>'[1]Activity data'!BM545</f>
        <v>71035.672495021252</v>
      </c>
      <c r="BM25" s="46">
        <f>'[1]Activity data'!BN545</f>
        <v>67318.6969833357</v>
      </c>
      <c r="BN25" s="46">
        <f>'[1]Activity data'!BO545</f>
        <v>63601.72147165014</v>
      </c>
      <c r="BO25" s="46">
        <f>'[1]Activity data'!BP545</f>
        <v>59884.745959964595</v>
      </c>
      <c r="BP25" s="46">
        <f>'[1]Activity data'!BQ545</f>
        <v>56167.77044827905</v>
      </c>
      <c r="BR25" s="24"/>
    </row>
    <row r="26" spans="1:72" x14ac:dyDescent="0.25">
      <c r="A26" t="str">
        <f t="shared" si="4"/>
        <v>3C Aggregated and non-CO2 emissions on land</v>
      </c>
      <c r="B26" t="str">
        <f t="shared" si="4"/>
        <v>3C1 Biomass burning (CH4)</v>
      </c>
      <c r="C26" t="str">
        <f t="shared" si="4"/>
        <v>3C1a Biomass burning in forest land</v>
      </c>
      <c r="D26" t="s">
        <v>398</v>
      </c>
      <c r="E26" t="str">
        <f t="shared" si="3"/>
        <v>Woodlands - Burnt area</v>
      </c>
      <c r="F26" t="s">
        <v>411</v>
      </c>
      <c r="G26" t="s">
        <v>727</v>
      </c>
      <c r="H26" s="22">
        <v>698264.20349125541</v>
      </c>
      <c r="I26" s="22">
        <v>698264.20349125541</v>
      </c>
      <c r="J26" s="22">
        <v>698264.20349125541</v>
      </c>
      <c r="K26" s="22">
        <v>698264.20349125541</v>
      </c>
      <c r="L26" s="22">
        <v>698264.20349125541</v>
      </c>
      <c r="M26" s="22">
        <v>698264.20349125541</v>
      </c>
      <c r="N26" s="22">
        <v>698264.20349125541</v>
      </c>
      <c r="O26" s="22">
        <v>698264.20349125541</v>
      </c>
      <c r="P26" s="22">
        <v>698264.20349125541</v>
      </c>
      <c r="Q26" s="22">
        <v>698264.20349125541</v>
      </c>
      <c r="R26" s="22">
        <v>731241.72629656445</v>
      </c>
      <c r="S26" s="22">
        <v>1051602.7161012881</v>
      </c>
      <c r="T26" s="22">
        <v>813247.12515611423</v>
      </c>
      <c r="U26" s="22">
        <v>311846.64197715657</v>
      </c>
      <c r="V26" s="22">
        <v>583382.80792515341</v>
      </c>
      <c r="W26" s="22">
        <v>984987.75084875035</v>
      </c>
      <c r="X26" s="22">
        <v>854549.78805948899</v>
      </c>
      <c r="Y26" s="22">
        <v>491709.35557034455</v>
      </c>
      <c r="Z26" s="22">
        <v>887938.03008249647</v>
      </c>
      <c r="AA26" s="22">
        <v>585090.29231333768</v>
      </c>
      <c r="AB26" s="22">
        <v>824275.8</v>
      </c>
      <c r="AC26" s="22">
        <v>754253.19</v>
      </c>
      <c r="AD26" s="22">
        <v>607940.1</v>
      </c>
      <c r="AE26" s="22">
        <v>474217.29</v>
      </c>
      <c r="AF26" s="22">
        <v>724670.73</v>
      </c>
      <c r="AG26" s="22">
        <v>480060.45</v>
      </c>
      <c r="AH26" s="22">
        <v>128107.71</v>
      </c>
      <c r="AI26" s="22">
        <v>118298.43</v>
      </c>
      <c r="AJ26" s="46">
        <f>'[1]Activity data'!AK546</f>
        <v>796408.0845915816</v>
      </c>
      <c r="AK26" s="46">
        <f>'[1]Activity data'!AL546</f>
        <v>799960.56353632337</v>
      </c>
      <c r="AL26" s="46">
        <f>'[1]Activity data'!AM546</f>
        <v>803513.04248106526</v>
      </c>
      <c r="AM26" s="46">
        <f>'[1]Activity data'!AN546</f>
        <v>807065.52142580703</v>
      </c>
      <c r="AN26" s="46">
        <f>'[1]Activity data'!AO546</f>
        <v>810618.00037054892</v>
      </c>
      <c r="AO26" s="46">
        <f>'[1]Activity data'!AP546</f>
        <v>814170.47931529081</v>
      </c>
      <c r="AP26" s="46">
        <f>'[1]Activity data'!AQ546</f>
        <v>817722.95826003258</v>
      </c>
      <c r="AQ26" s="46">
        <f>'[1]Activity data'!AR546</f>
        <v>821275.43720477447</v>
      </c>
      <c r="AR26" s="46">
        <f>'[1]Activity data'!AS546</f>
        <v>824827.91614951624</v>
      </c>
      <c r="AS26" s="46">
        <f>'[1]Activity data'!AT546</f>
        <v>828380.39509425813</v>
      </c>
      <c r="AT26" s="46">
        <f>'[1]Activity data'!AU546</f>
        <v>831932.8740389999</v>
      </c>
      <c r="AU26" s="46">
        <f>'[1]Activity data'!AV546</f>
        <v>835485.35298374179</v>
      </c>
      <c r="AV26" s="46">
        <f>'[1]Activity data'!AW546</f>
        <v>839037.83192848368</v>
      </c>
      <c r="AW26" s="46">
        <f>'[1]Activity data'!AX546</f>
        <v>842590.31087322545</v>
      </c>
      <c r="AX26" s="46">
        <f>'[1]Activity data'!AY546</f>
        <v>846142.78981796734</v>
      </c>
      <c r="AY26" s="46">
        <f>'[1]Activity data'!AZ546</f>
        <v>849695.26876270911</v>
      </c>
      <c r="AZ26" s="46">
        <f>'[1]Activity data'!BA546</f>
        <v>853247.747707451</v>
      </c>
      <c r="BA26" s="46">
        <f>'[1]Activity data'!BB546</f>
        <v>856800.22665219277</v>
      </c>
      <c r="BB26" s="46">
        <f>'[1]Activity data'!BC546</f>
        <v>860352.70559693465</v>
      </c>
      <c r="BC26" s="46">
        <f>'[1]Activity data'!BD546</f>
        <v>863905.18454167654</v>
      </c>
      <c r="BD26" s="46">
        <f>'[1]Activity data'!BE546</f>
        <v>867457.66348641831</v>
      </c>
      <c r="BE26" s="46">
        <f>'[1]Activity data'!BF546</f>
        <v>871010.1424311602</v>
      </c>
      <c r="BF26" s="46">
        <f>'[1]Activity data'!BG546</f>
        <v>874562.62137590197</v>
      </c>
      <c r="BG26" s="46">
        <f>'[1]Activity data'!BH546</f>
        <v>878115.10032064386</v>
      </c>
      <c r="BH26" s="46">
        <f>'[1]Activity data'!BI546</f>
        <v>881667.57926538563</v>
      </c>
      <c r="BI26" s="46">
        <f>'[1]Activity data'!BJ546</f>
        <v>885220.05821012752</v>
      </c>
      <c r="BJ26" s="46">
        <f>'[1]Activity data'!BK546</f>
        <v>888772.53715486941</v>
      </c>
      <c r="BK26" s="46">
        <f>'[1]Activity data'!BL546</f>
        <v>892325.01609961118</v>
      </c>
      <c r="BL26" s="46">
        <f>'[1]Activity data'!BM546</f>
        <v>895877.49504435307</v>
      </c>
      <c r="BM26" s="46">
        <f>'[1]Activity data'!BN546</f>
        <v>899429.97398909484</v>
      </c>
      <c r="BN26" s="46">
        <f>'[1]Activity data'!BO546</f>
        <v>902982.45293383673</v>
      </c>
      <c r="BO26" s="46">
        <f>'[1]Activity data'!BP546</f>
        <v>906534.9318785785</v>
      </c>
      <c r="BP26" s="46">
        <f>'[1]Activity data'!BQ546</f>
        <v>910087.41082332039</v>
      </c>
      <c r="BR26" s="24"/>
    </row>
    <row r="27" spans="1:72" x14ac:dyDescent="0.25">
      <c r="A27" t="str">
        <f t="shared" si="4"/>
        <v>3C Aggregated and non-CO2 emissions on land</v>
      </c>
      <c r="B27" t="str">
        <f t="shared" si="4"/>
        <v>3C1 Biomass burning (CH4)</v>
      </c>
      <c r="C27" t="str">
        <f t="shared" si="4"/>
        <v>3C1a Biomass burning in forest land</v>
      </c>
      <c r="D27" t="s">
        <v>399</v>
      </c>
      <c r="E27" t="str">
        <f t="shared" si="3"/>
        <v>Plantations - Burnt area</v>
      </c>
      <c r="F27" t="s">
        <v>411</v>
      </c>
      <c r="G27" t="s">
        <v>728</v>
      </c>
      <c r="H27" s="22">
        <v>47772.644287791714</v>
      </c>
      <c r="I27" s="22">
        <v>47772.644287791714</v>
      </c>
      <c r="J27" s="22">
        <v>47772.644287791714</v>
      </c>
      <c r="K27" s="22">
        <v>47772.644287791714</v>
      </c>
      <c r="L27" s="22">
        <v>47772.644287791714</v>
      </c>
      <c r="M27" s="22">
        <v>47772.644287791714</v>
      </c>
      <c r="N27" s="22">
        <v>47772.644287791714</v>
      </c>
      <c r="O27" s="22">
        <v>47772.644287791714</v>
      </c>
      <c r="P27" s="22">
        <v>47772.644287791714</v>
      </c>
      <c r="Q27" s="22">
        <v>47772.644287791714</v>
      </c>
      <c r="R27" s="22">
        <v>43563.926012051175</v>
      </c>
      <c r="S27" s="22">
        <v>53624.239434325704</v>
      </c>
      <c r="T27" s="22">
        <v>47878.785209219379</v>
      </c>
      <c r="U27" s="22">
        <v>55585.539069402163</v>
      </c>
      <c r="V27" s="22">
        <v>38210.731713960144</v>
      </c>
      <c r="W27" s="22">
        <v>56000.873109771281</v>
      </c>
      <c r="X27" s="22">
        <v>43771.593032235731</v>
      </c>
      <c r="Y27" s="22">
        <v>81497.768365765223</v>
      </c>
      <c r="Z27" s="22">
        <v>52655.126673464394</v>
      </c>
      <c r="AA27" s="22">
        <v>44856.076359866252</v>
      </c>
      <c r="AB27" s="22">
        <v>37862.19</v>
      </c>
      <c r="AC27" s="22">
        <v>43074.99</v>
      </c>
      <c r="AD27" s="22">
        <v>40824.089999999997</v>
      </c>
      <c r="AE27" s="22">
        <v>37369.26</v>
      </c>
      <c r="AF27" s="22">
        <v>59586.39</v>
      </c>
      <c r="AG27" s="22">
        <v>44325.36</v>
      </c>
      <c r="AH27" s="22">
        <v>28388.880000000001</v>
      </c>
      <c r="AI27" s="22">
        <v>27557.91</v>
      </c>
      <c r="AJ27" s="46">
        <f>'[1]Activity data'!AK547</f>
        <v>28169.318974342728</v>
      </c>
      <c r="AK27" s="46">
        <f>'[1]Activity data'!AL547</f>
        <v>28327.162105576794</v>
      </c>
      <c r="AL27" s="46">
        <f>'[1]Activity data'!AM547</f>
        <v>28485.005236810859</v>
      </c>
      <c r="AM27" s="46">
        <f>'[1]Activity data'!AN547</f>
        <v>28642.848368044924</v>
      </c>
      <c r="AN27" s="46">
        <f>'[1]Activity data'!AO547</f>
        <v>28800.691499278993</v>
      </c>
      <c r="AO27" s="46">
        <f>'[1]Activity data'!AP547</f>
        <v>28958.534630513059</v>
      </c>
      <c r="AP27" s="46">
        <f>'[1]Activity data'!AQ547</f>
        <v>29116.377761747124</v>
      </c>
      <c r="AQ27" s="46">
        <f>'[1]Activity data'!AR547</f>
        <v>29274.22089298119</v>
      </c>
      <c r="AR27" s="46">
        <f>'[1]Activity data'!AS547</f>
        <v>29432.064024215255</v>
      </c>
      <c r="AS27" s="46">
        <f>'[1]Activity data'!AT547</f>
        <v>29589.90715544932</v>
      </c>
      <c r="AT27" s="46">
        <f>'[1]Activity data'!AU547</f>
        <v>29747.750286683386</v>
      </c>
      <c r="AU27" s="46">
        <f>'[1]Activity data'!AV547</f>
        <v>29905.593417917451</v>
      </c>
      <c r="AV27" s="46">
        <f>'[1]Activity data'!AW547</f>
        <v>30063.43654915152</v>
      </c>
      <c r="AW27" s="46">
        <f>'[1]Activity data'!AX547</f>
        <v>30221.279680385585</v>
      </c>
      <c r="AX27" s="46">
        <f>'[1]Activity data'!AY547</f>
        <v>30379.122811619651</v>
      </c>
      <c r="AY27" s="46">
        <f>'[1]Activity data'!AZ547</f>
        <v>30536.965942853716</v>
      </c>
      <c r="AZ27" s="46">
        <f>'[1]Activity data'!BA547</f>
        <v>30694.809074087781</v>
      </c>
      <c r="BA27" s="46">
        <f>'[1]Activity data'!BB547</f>
        <v>30852.652205321847</v>
      </c>
      <c r="BB27" s="46">
        <f>'[1]Activity data'!BC547</f>
        <v>31010.495336555912</v>
      </c>
      <c r="BC27" s="46">
        <f>'[1]Activity data'!BD547</f>
        <v>31168.338467789981</v>
      </c>
      <c r="BD27" s="46">
        <f>'[1]Activity data'!BE547</f>
        <v>31326.181599024047</v>
      </c>
      <c r="BE27" s="46">
        <f>'[1]Activity data'!BF547</f>
        <v>31484.024730258112</v>
      </c>
      <c r="BF27" s="46">
        <f>'[1]Activity data'!BG547</f>
        <v>31641.867861492177</v>
      </c>
      <c r="BG27" s="46">
        <f>'[1]Activity data'!BH547</f>
        <v>31799.710992726243</v>
      </c>
      <c r="BH27" s="46">
        <f>'[1]Activity data'!BI547</f>
        <v>31957.554123960308</v>
      </c>
      <c r="BI27" s="46">
        <f>'[1]Activity data'!BJ547</f>
        <v>32115.397255194373</v>
      </c>
      <c r="BJ27" s="46">
        <f>'[1]Activity data'!BK547</f>
        <v>32273.240386428439</v>
      </c>
      <c r="BK27" s="46">
        <f>'[1]Activity data'!BL547</f>
        <v>32431.083517662508</v>
      </c>
      <c r="BL27" s="46">
        <f>'[1]Activity data'!BM547</f>
        <v>32588.926648896573</v>
      </c>
      <c r="BM27" s="46">
        <f>'[1]Activity data'!BN547</f>
        <v>32746.769780130639</v>
      </c>
      <c r="BN27" s="46">
        <f>'[1]Activity data'!BO547</f>
        <v>32904.612911364704</v>
      </c>
      <c r="BO27" s="46">
        <f>'[1]Activity data'!BP547</f>
        <v>33062.456042598773</v>
      </c>
      <c r="BP27" s="46">
        <f>'[1]Activity data'!BQ547</f>
        <v>33220.299173832835</v>
      </c>
      <c r="BR27" s="24"/>
    </row>
    <row r="28" spans="1:72" x14ac:dyDescent="0.25">
      <c r="A28" t="str">
        <f t="shared" ref="A28:B34" si="5">A27</f>
        <v>3C Aggregated and non-CO2 emissions on land</v>
      </c>
      <c r="B28" t="str">
        <f t="shared" si="5"/>
        <v>3C1 Biomass burning (CH4)</v>
      </c>
      <c r="C28" t="str">
        <f>'IPCC Categories'!C60</f>
        <v>3C1b Biomass burning in Croplands</v>
      </c>
      <c r="D28" t="s">
        <v>400</v>
      </c>
      <c r="E28" t="str">
        <f t="shared" si="3"/>
        <v>Annual non-pivot - Burnt area</v>
      </c>
      <c r="F28" t="s">
        <v>411</v>
      </c>
      <c r="G28" t="s">
        <v>729</v>
      </c>
      <c r="H28" s="22">
        <v>30047.110409371311</v>
      </c>
      <c r="I28" s="22">
        <v>30047.110409371311</v>
      </c>
      <c r="J28" s="22">
        <v>30047.110409371311</v>
      </c>
      <c r="K28" s="22">
        <v>30047.110409371311</v>
      </c>
      <c r="L28" s="22">
        <v>30047.110409371311</v>
      </c>
      <c r="M28" s="22">
        <v>30047.110409371311</v>
      </c>
      <c r="N28" s="22">
        <v>30047.110409371311</v>
      </c>
      <c r="O28" s="22">
        <v>30047.110409371311</v>
      </c>
      <c r="P28" s="22">
        <v>30047.110409371311</v>
      </c>
      <c r="Q28" s="22">
        <v>30047.110409371311</v>
      </c>
      <c r="R28" s="22">
        <v>30550.126080485039</v>
      </c>
      <c r="S28" s="22">
        <v>23835.559094517404</v>
      </c>
      <c r="T28" s="22">
        <v>30988.534234208011</v>
      </c>
      <c r="U28" s="22">
        <v>28704.197012177781</v>
      </c>
      <c r="V28" s="22">
        <v>36157.13562546832</v>
      </c>
      <c r="W28" s="22">
        <v>39710.549081959784</v>
      </c>
      <c r="X28" s="22">
        <v>29765.606226454456</v>
      </c>
      <c r="Y28" s="22">
        <v>29857.902679869818</v>
      </c>
      <c r="Z28" s="22">
        <v>21089.739605410366</v>
      </c>
      <c r="AA28" s="22">
        <v>21897.333572794789</v>
      </c>
      <c r="AB28" s="22">
        <v>30941.1</v>
      </c>
      <c r="AC28" s="22">
        <v>30919.05</v>
      </c>
      <c r="AD28" s="22">
        <v>30783.69</v>
      </c>
      <c r="AE28" s="22">
        <v>34367.760000000002</v>
      </c>
      <c r="AF28" s="22">
        <v>34298.1</v>
      </c>
      <c r="AG28" s="22">
        <v>30880.080000000002</v>
      </c>
      <c r="AH28" s="22">
        <v>16406.189999999999</v>
      </c>
      <c r="AI28" s="22">
        <v>19612.080000000002</v>
      </c>
      <c r="AJ28" s="46">
        <f>'[1]Activity data'!AK548</f>
        <v>319801.69845069881</v>
      </c>
      <c r="AK28" s="46">
        <f>'[1]Activity data'!AL548</f>
        <v>318498.24651846121</v>
      </c>
      <c r="AL28" s="46">
        <f>'[1]Activity data'!AM548</f>
        <v>317194.79458622355</v>
      </c>
      <c r="AM28" s="46">
        <f>'[1]Activity data'!AN548</f>
        <v>315891.34265398595</v>
      </c>
      <c r="AN28" s="46">
        <f>'[1]Activity data'!AO548</f>
        <v>314587.89072174835</v>
      </c>
      <c r="AO28" s="46">
        <f>'[1]Activity data'!AP548</f>
        <v>313284.43878951075</v>
      </c>
      <c r="AP28" s="46">
        <f>'[1]Activity data'!AQ548</f>
        <v>311980.98685727315</v>
      </c>
      <c r="AQ28" s="46">
        <f>'[1]Activity data'!AR548</f>
        <v>310677.53492503555</v>
      </c>
      <c r="AR28" s="46">
        <f>'[1]Activity data'!AS548</f>
        <v>309374.08299279795</v>
      </c>
      <c r="AS28" s="46">
        <f>'[1]Activity data'!AT548</f>
        <v>308070.63106056035</v>
      </c>
      <c r="AT28" s="46">
        <f>'[1]Activity data'!AU548</f>
        <v>306767.17912832275</v>
      </c>
      <c r="AU28" s="46">
        <f>'[1]Activity data'!AV548</f>
        <v>305463.72719608515</v>
      </c>
      <c r="AV28" s="46">
        <f>'[1]Activity data'!AW548</f>
        <v>304160.27526384749</v>
      </c>
      <c r="AW28" s="46">
        <f>'[1]Activity data'!AX548</f>
        <v>302856.82333160989</v>
      </c>
      <c r="AX28" s="46">
        <f>'[1]Activity data'!AY548</f>
        <v>301553.37139937229</v>
      </c>
      <c r="AY28" s="46">
        <f>'[1]Activity data'!AZ548</f>
        <v>300249.91946713469</v>
      </c>
      <c r="AZ28" s="46">
        <f>'[1]Activity data'!BA548</f>
        <v>298946.46753489709</v>
      </c>
      <c r="BA28" s="46">
        <f>'[1]Activity data'!BB548</f>
        <v>297643.01560265949</v>
      </c>
      <c r="BB28" s="46">
        <f>'[1]Activity data'!BC548</f>
        <v>296339.56367042189</v>
      </c>
      <c r="BC28" s="46">
        <f>'[1]Activity data'!BD548</f>
        <v>295036.11173818429</v>
      </c>
      <c r="BD28" s="46">
        <f>'[1]Activity data'!BE548</f>
        <v>293732.65980594669</v>
      </c>
      <c r="BE28" s="46">
        <f>'[1]Activity data'!BF548</f>
        <v>292429.20787370909</v>
      </c>
      <c r="BF28" s="46">
        <f>'[1]Activity data'!BG548</f>
        <v>291125.75594147149</v>
      </c>
      <c r="BG28" s="46">
        <f>'[1]Activity data'!BH548</f>
        <v>289822.30400923383</v>
      </c>
      <c r="BH28" s="46">
        <f>'[1]Activity data'!BI548</f>
        <v>288518.85207699623</v>
      </c>
      <c r="BI28" s="46">
        <f>'[1]Activity data'!BJ548</f>
        <v>287215.40014475863</v>
      </c>
      <c r="BJ28" s="46">
        <f>'[1]Activity data'!BK548</f>
        <v>285911.94821252103</v>
      </c>
      <c r="BK28" s="46">
        <f>'[1]Activity data'!BL548</f>
        <v>284608.49628028343</v>
      </c>
      <c r="BL28" s="46">
        <f>'[1]Activity data'!BM548</f>
        <v>283305.04434804583</v>
      </c>
      <c r="BM28" s="46">
        <f>'[1]Activity data'!BN548</f>
        <v>282001.59241580829</v>
      </c>
      <c r="BN28" s="46">
        <f>'[1]Activity data'!BO548</f>
        <v>280698.14048357063</v>
      </c>
      <c r="BO28" s="46">
        <f>'[1]Activity data'!BP548</f>
        <v>279394.68855133303</v>
      </c>
      <c r="BP28" s="46">
        <f>'[1]Activity data'!BQ548</f>
        <v>278091.23661909543</v>
      </c>
      <c r="BR28" s="24"/>
    </row>
    <row r="29" spans="1:72" x14ac:dyDescent="0.25">
      <c r="A29" t="str">
        <f t="shared" si="5"/>
        <v>3C Aggregated and non-CO2 emissions on land</v>
      </c>
      <c r="B29" t="str">
        <f t="shared" si="5"/>
        <v>3C1 Biomass burning (CH4)</v>
      </c>
      <c r="C29" t="str">
        <f>C28</f>
        <v>3C1b Biomass burning in Croplands</v>
      </c>
      <c r="D29" t="s">
        <v>401</v>
      </c>
      <c r="E29" t="str">
        <f t="shared" si="3"/>
        <v>Annual pivot - Burnt area</v>
      </c>
      <c r="F29" t="s">
        <v>411</v>
      </c>
      <c r="G29" t="s">
        <v>730</v>
      </c>
      <c r="H29" s="22">
        <v>380372.14381539257</v>
      </c>
      <c r="I29" s="22">
        <v>380372.14381539257</v>
      </c>
      <c r="J29" s="22">
        <v>380372.14381539257</v>
      </c>
      <c r="K29" s="22">
        <v>380372.14381539257</v>
      </c>
      <c r="L29" s="22">
        <v>380372.14381539257</v>
      </c>
      <c r="M29" s="22">
        <v>380372.14381539257</v>
      </c>
      <c r="N29" s="22">
        <v>380372.14381539257</v>
      </c>
      <c r="O29" s="22">
        <v>380372.14381539257</v>
      </c>
      <c r="P29" s="22">
        <v>380372.14381539257</v>
      </c>
      <c r="Q29" s="22">
        <v>380372.14381539257</v>
      </c>
      <c r="R29" s="22">
        <v>411480.66343904054</v>
      </c>
      <c r="S29" s="22">
        <v>381184.35260544776</v>
      </c>
      <c r="T29" s="22">
        <v>466789.31314819655</v>
      </c>
      <c r="U29" s="22">
        <v>348488.33398305555</v>
      </c>
      <c r="V29" s="22">
        <v>293918.05590122234</v>
      </c>
      <c r="W29" s="22">
        <v>497547.10624886618</v>
      </c>
      <c r="X29" s="22">
        <v>507145.93740406388</v>
      </c>
      <c r="Y29" s="22">
        <v>286718.93253482407</v>
      </c>
      <c r="Z29" s="22">
        <v>331713.45357481338</v>
      </c>
      <c r="AA29" s="22">
        <v>328160.04011832189</v>
      </c>
      <c r="AB29" s="22">
        <v>370038.33</v>
      </c>
      <c r="AC29" s="22">
        <v>386575.74</v>
      </c>
      <c r="AD29" s="22">
        <v>284215.77</v>
      </c>
      <c r="AE29" s="22">
        <v>271832.94</v>
      </c>
      <c r="AF29" s="22">
        <v>294145.46999999997</v>
      </c>
      <c r="AG29" s="22">
        <v>217395</v>
      </c>
      <c r="AH29" s="22">
        <v>113448.6</v>
      </c>
      <c r="AI29" s="22">
        <v>109738.08</v>
      </c>
      <c r="AJ29" s="46">
        <f>'[1]Activity data'!AK549</f>
        <v>32310.08453901402</v>
      </c>
      <c r="AK29" s="46">
        <f>'[1]Activity data'!AL549</f>
        <v>33139.615459796332</v>
      </c>
      <c r="AL29" s="46">
        <f>'[1]Activity data'!AM549</f>
        <v>33969.146380578612</v>
      </c>
      <c r="AM29" s="46">
        <f>'[1]Activity data'!AN549</f>
        <v>34798.677301360913</v>
      </c>
      <c r="AN29" s="46">
        <f>'[1]Activity data'!AO549</f>
        <v>35628.208222143192</v>
      </c>
      <c r="AO29" s="46">
        <f>'[1]Activity data'!AP549</f>
        <v>36457.739142925479</v>
      </c>
      <c r="AP29" s="46">
        <f>'[1]Activity data'!AQ549</f>
        <v>37287.270063707765</v>
      </c>
      <c r="AQ29" s="46">
        <f>'[1]Activity data'!AR549</f>
        <v>38116.800984490066</v>
      </c>
      <c r="AR29" s="46">
        <f>'[1]Activity data'!AS549</f>
        <v>38946.331905272353</v>
      </c>
      <c r="AS29" s="46">
        <f>'[1]Activity data'!AT549</f>
        <v>39775.862826054647</v>
      </c>
      <c r="AT29" s="46">
        <f>'[1]Activity data'!AU549</f>
        <v>40605.393746836933</v>
      </c>
      <c r="AU29" s="46">
        <f>'[1]Activity data'!AV549</f>
        <v>41434.924667619227</v>
      </c>
      <c r="AV29" s="46">
        <f>'[1]Activity data'!AW549</f>
        <v>42264.455588401521</v>
      </c>
      <c r="AW29" s="46">
        <f>'[1]Activity data'!AX549</f>
        <v>43093.986509183807</v>
      </c>
      <c r="AX29" s="46">
        <f>'[1]Activity data'!AY549</f>
        <v>43923.517429966101</v>
      </c>
      <c r="AY29" s="46">
        <f>'[1]Activity data'!AZ549</f>
        <v>44753.048350748388</v>
      </c>
      <c r="AZ29" s="46">
        <f>'[1]Activity data'!BA549</f>
        <v>45582.579271530682</v>
      </c>
      <c r="BA29" s="46">
        <f>'[1]Activity data'!BB549</f>
        <v>46412.110192312968</v>
      </c>
      <c r="BB29" s="46">
        <f>'[1]Activity data'!BC549</f>
        <v>47241.641113095262</v>
      </c>
      <c r="BC29" s="46">
        <f>'[1]Activity data'!BD549</f>
        <v>48071.172033877549</v>
      </c>
      <c r="BD29" s="46">
        <f>'[1]Activity data'!BE549</f>
        <v>48900.70295465985</v>
      </c>
      <c r="BE29" s="46">
        <f>'[1]Activity data'!BF549</f>
        <v>49730.233875442143</v>
      </c>
      <c r="BF29" s="46">
        <f>'[1]Activity data'!BG549</f>
        <v>50559.764796224423</v>
      </c>
      <c r="BG29" s="46">
        <f>'[1]Activity data'!BH549</f>
        <v>51389.295717006724</v>
      </c>
      <c r="BH29" s="46">
        <f>'[1]Activity data'!BI549</f>
        <v>52218.826637788996</v>
      </c>
      <c r="BI29" s="46">
        <f>'[1]Activity data'!BJ549</f>
        <v>53048.357558571282</v>
      </c>
      <c r="BJ29" s="46">
        <f>'[1]Activity data'!BK549</f>
        <v>53877.888479353576</v>
      </c>
      <c r="BK29" s="46">
        <f>'[1]Activity data'!BL549</f>
        <v>54707.419400135877</v>
      </c>
      <c r="BL29" s="46">
        <f>'[1]Activity data'!BM549</f>
        <v>55536.950320918157</v>
      </c>
      <c r="BM29" s="46">
        <f>'[1]Activity data'!BN549</f>
        <v>56366.481241700443</v>
      </c>
      <c r="BN29" s="46">
        <f>'[1]Activity data'!BO549</f>
        <v>57196.012162482708</v>
      </c>
      <c r="BO29" s="46">
        <f>'[1]Activity data'!BP549</f>
        <v>58025.543083265002</v>
      </c>
      <c r="BP29" s="46">
        <f>'[1]Activity data'!BQ549</f>
        <v>58855.074004047288</v>
      </c>
      <c r="BR29" s="24"/>
    </row>
    <row r="30" spans="1:72" x14ac:dyDescent="0.25">
      <c r="A30" t="str">
        <f t="shared" si="5"/>
        <v>3C Aggregated and non-CO2 emissions on land</v>
      </c>
      <c r="B30" t="str">
        <f t="shared" si="5"/>
        <v>3C1 Biomass burning (CH4)</v>
      </c>
      <c r="C30" t="str">
        <f>C29</f>
        <v>3C1b Biomass burning in Croplands</v>
      </c>
      <c r="D30" t="s">
        <v>402</v>
      </c>
      <c r="E30" t="str">
        <f t="shared" si="3"/>
        <v>Perennial orchards - Burnt area</v>
      </c>
      <c r="F30" t="s">
        <v>411</v>
      </c>
      <c r="G30" t="s">
        <v>731</v>
      </c>
      <c r="H30" s="22">
        <v>2718.1305530824302</v>
      </c>
      <c r="I30" s="22">
        <v>2718.1305530824302</v>
      </c>
      <c r="J30" s="22">
        <v>2718.1305530824302</v>
      </c>
      <c r="K30" s="22">
        <v>2718.1305530824302</v>
      </c>
      <c r="L30" s="22">
        <v>2718.1305530824302</v>
      </c>
      <c r="M30" s="22">
        <v>2718.1305530824302</v>
      </c>
      <c r="N30" s="22">
        <v>2718.1305530824302</v>
      </c>
      <c r="O30" s="22">
        <v>2718.1305530824302</v>
      </c>
      <c r="P30" s="22">
        <v>2718.1305530824302</v>
      </c>
      <c r="Q30" s="22">
        <v>2718.1305530824302</v>
      </c>
      <c r="R30" s="22">
        <v>2076.6702018456599</v>
      </c>
      <c r="S30" s="22">
        <v>3991.8216102144347</v>
      </c>
      <c r="T30" s="22">
        <v>2907.3382825839235</v>
      </c>
      <c r="U30" s="22">
        <v>2976.5606226454456</v>
      </c>
      <c r="V30" s="22">
        <v>1638.262048122687</v>
      </c>
      <c r="W30" s="22">
        <v>3691.8581366145063</v>
      </c>
      <c r="X30" s="22">
        <v>2561.2265822763138</v>
      </c>
      <c r="Y30" s="22">
        <v>4453.3038772912478</v>
      </c>
      <c r="Z30" s="22">
        <v>5676.2318850448037</v>
      </c>
      <c r="AA30" s="22">
        <v>2422.7819021532696</v>
      </c>
      <c r="AB30" s="22">
        <v>4072.41</v>
      </c>
      <c r="AC30" s="22">
        <v>3114.81</v>
      </c>
      <c r="AD30" s="22">
        <v>5103.72</v>
      </c>
      <c r="AE30" s="22">
        <v>3552.93</v>
      </c>
      <c r="AF30" s="22">
        <v>3170.25</v>
      </c>
      <c r="AG30" s="22">
        <v>2535.12</v>
      </c>
      <c r="AH30" s="22">
        <v>2570.94</v>
      </c>
      <c r="AI30" s="22">
        <v>2579.04</v>
      </c>
      <c r="AJ30" s="46">
        <f>'[1]Activity data'!AK550</f>
        <v>2845.9027047672716</v>
      </c>
      <c r="AK30" s="46">
        <f>'[1]Activity data'!AL550</f>
        <v>2841.4155091463472</v>
      </c>
      <c r="AL30" s="46">
        <f>'[1]Activity data'!AM550</f>
        <v>2836.9283135254232</v>
      </c>
      <c r="AM30" s="46">
        <f>'[1]Activity data'!AN550</f>
        <v>2832.4411179044992</v>
      </c>
      <c r="AN30" s="46">
        <f>'[1]Activity data'!AO550</f>
        <v>2827.9539222835747</v>
      </c>
      <c r="AO30" s="46">
        <f>'[1]Activity data'!AP550</f>
        <v>2823.4667266626507</v>
      </c>
      <c r="AP30" s="46">
        <f>'[1]Activity data'!AQ550</f>
        <v>2818.9795310417262</v>
      </c>
      <c r="AQ30" s="46">
        <f>'[1]Activity data'!AR550</f>
        <v>2814.4923354208022</v>
      </c>
      <c r="AR30" s="46">
        <f>'[1]Activity data'!AS550</f>
        <v>2810.0051397998777</v>
      </c>
      <c r="AS30" s="46">
        <f>'[1]Activity data'!AT550</f>
        <v>2805.5179441789537</v>
      </c>
      <c r="AT30" s="46">
        <f>'[1]Activity data'!AU550</f>
        <v>2801.0307485580297</v>
      </c>
      <c r="AU30" s="46">
        <f>'[1]Activity data'!AV550</f>
        <v>2796.5435529371052</v>
      </c>
      <c r="AV30" s="46">
        <f>'[1]Activity data'!AW550</f>
        <v>2792.0563573161812</v>
      </c>
      <c r="AW30" s="46">
        <f>'[1]Activity data'!AX550</f>
        <v>2787.5691616952568</v>
      </c>
      <c r="AX30" s="46">
        <f>'[1]Activity data'!AY550</f>
        <v>2783.0819660743327</v>
      </c>
      <c r="AY30" s="46">
        <f>'[1]Activity data'!AZ550</f>
        <v>2778.5947704534083</v>
      </c>
      <c r="AZ30" s="46">
        <f>'[1]Activity data'!BA550</f>
        <v>2774.1075748324843</v>
      </c>
      <c r="BA30" s="46">
        <f>'[1]Activity data'!BB550</f>
        <v>2769.6203792115602</v>
      </c>
      <c r="BB30" s="46">
        <f>'[1]Activity data'!BC550</f>
        <v>2765.1331835906358</v>
      </c>
      <c r="BC30" s="46">
        <f>'[1]Activity data'!BD550</f>
        <v>2760.6459879697118</v>
      </c>
      <c r="BD30" s="46">
        <f>'[1]Activity data'!BE550</f>
        <v>2756.1587923487878</v>
      </c>
      <c r="BE30" s="46">
        <f>'[1]Activity data'!BF550</f>
        <v>2751.6715967278633</v>
      </c>
      <c r="BF30" s="46">
        <f>'[1]Activity data'!BG550</f>
        <v>2747.1844011069393</v>
      </c>
      <c r="BG30" s="46">
        <f>'[1]Activity data'!BH550</f>
        <v>2742.6972054860148</v>
      </c>
      <c r="BH30" s="46">
        <f>'[1]Activity data'!BI550</f>
        <v>2738.2100098650908</v>
      </c>
      <c r="BI30" s="46">
        <f>'[1]Activity data'!BJ550</f>
        <v>2733.7228142441663</v>
      </c>
      <c r="BJ30" s="46">
        <f>'[1]Activity data'!BK550</f>
        <v>2729.2356186232423</v>
      </c>
      <c r="BK30" s="46">
        <f>'[1]Activity data'!BL550</f>
        <v>2724.7484230023183</v>
      </c>
      <c r="BL30" s="46">
        <f>'[1]Activity data'!BM550</f>
        <v>2720.2612273813938</v>
      </c>
      <c r="BM30" s="46">
        <f>'[1]Activity data'!BN550</f>
        <v>2715.7740317604698</v>
      </c>
      <c r="BN30" s="46">
        <f>'[1]Activity data'!BO550</f>
        <v>2711.2868361395454</v>
      </c>
      <c r="BO30" s="46">
        <f>'[1]Activity data'!BP550</f>
        <v>2706.7996405186213</v>
      </c>
      <c r="BP30" s="46">
        <f>'[1]Activity data'!BQ550</f>
        <v>2702.3124448976969</v>
      </c>
      <c r="BR30" s="24"/>
    </row>
    <row r="31" spans="1:72" x14ac:dyDescent="0.25">
      <c r="A31" t="str">
        <f t="shared" si="5"/>
        <v>3C Aggregated and non-CO2 emissions on land</v>
      </c>
      <c r="B31" t="str">
        <f t="shared" si="5"/>
        <v>3C1 Biomass burning (CH4)</v>
      </c>
      <c r="C31" t="str">
        <f>C30</f>
        <v>3C1b Biomass burning in Croplands</v>
      </c>
      <c r="D31" t="s">
        <v>403</v>
      </c>
      <c r="E31" t="str">
        <f t="shared" si="3"/>
        <v>Perennial vineyards - Burnt area</v>
      </c>
      <c r="F31" t="s">
        <v>411</v>
      </c>
      <c r="G31" t="s">
        <v>732</v>
      </c>
      <c r="H31" s="22">
        <v>650.6899965783067</v>
      </c>
      <c r="I31" s="22">
        <v>650.6899965783067</v>
      </c>
      <c r="J31" s="22">
        <v>650.6899965783067</v>
      </c>
      <c r="K31" s="22">
        <v>650.6899965783067</v>
      </c>
      <c r="L31" s="22">
        <v>650.6899965783067</v>
      </c>
      <c r="M31" s="22">
        <v>650.6899965783067</v>
      </c>
      <c r="N31" s="22">
        <v>650.6899965783067</v>
      </c>
      <c r="O31" s="22">
        <v>650.6899965783067</v>
      </c>
      <c r="P31" s="22">
        <v>650.6899965783067</v>
      </c>
      <c r="Q31" s="22">
        <v>650.6899965783067</v>
      </c>
      <c r="R31" s="22">
        <v>1015.2609875689892</v>
      </c>
      <c r="S31" s="22">
        <v>669.14928726137919</v>
      </c>
      <c r="T31" s="22">
        <v>530.70460713833518</v>
      </c>
      <c r="U31" s="22">
        <v>830.66808073826394</v>
      </c>
      <c r="V31" s="22">
        <v>207.66702018456598</v>
      </c>
      <c r="W31" s="22">
        <v>576.85283384601667</v>
      </c>
      <c r="X31" s="22">
        <v>1153.7056676920333</v>
      </c>
      <c r="Y31" s="22">
        <v>553.77872049217592</v>
      </c>
      <c r="Z31" s="22">
        <v>415.33404036913197</v>
      </c>
      <c r="AA31" s="22">
        <v>623.00106055369793</v>
      </c>
      <c r="AB31" s="22">
        <v>1034.0999999999999</v>
      </c>
      <c r="AC31" s="22">
        <v>2728.53</v>
      </c>
      <c r="AD31" s="22">
        <v>647.01</v>
      </c>
      <c r="AE31" s="22">
        <v>774</v>
      </c>
      <c r="AF31" s="22">
        <v>294.75</v>
      </c>
      <c r="AG31" s="22">
        <v>1548.63</v>
      </c>
      <c r="AH31" s="22">
        <v>1326.06</v>
      </c>
      <c r="AI31" s="22">
        <v>1339.02</v>
      </c>
      <c r="AJ31" s="46">
        <f>'[1]Activity data'!AK551</f>
        <v>683.49325713740586</v>
      </c>
      <c r="AK31" s="46">
        <f>'[1]Activity data'!AL551</f>
        <v>680.09265718882125</v>
      </c>
      <c r="AL31" s="46">
        <f>'[1]Activity data'!AM551</f>
        <v>676.69205724023664</v>
      </c>
      <c r="AM31" s="46">
        <f>'[1]Activity data'!AN551</f>
        <v>673.29145729165202</v>
      </c>
      <c r="AN31" s="46">
        <f>'[1]Activity data'!AO551</f>
        <v>669.89085734306741</v>
      </c>
      <c r="AO31" s="46">
        <f>'[1]Activity data'!AP551</f>
        <v>666.4902573944828</v>
      </c>
      <c r="AP31" s="46">
        <f>'[1]Activity data'!AQ551</f>
        <v>663.08965744589818</v>
      </c>
      <c r="AQ31" s="46">
        <f>'[1]Activity data'!AR551</f>
        <v>659.68905749731357</v>
      </c>
      <c r="AR31" s="46">
        <f>'[1]Activity data'!AS551</f>
        <v>656.28845754872896</v>
      </c>
      <c r="AS31" s="46">
        <f>'[1]Activity data'!AT551</f>
        <v>652.88785760014434</v>
      </c>
      <c r="AT31" s="46">
        <f>'[1]Activity data'!AU551</f>
        <v>649.48725765155973</v>
      </c>
      <c r="AU31" s="46">
        <f>'[1]Activity data'!AV551</f>
        <v>646.08665770297512</v>
      </c>
      <c r="AV31" s="46">
        <f>'[1]Activity data'!AW551</f>
        <v>642.6860577543905</v>
      </c>
      <c r="AW31" s="46">
        <f>'[1]Activity data'!AX551</f>
        <v>639.28545780580612</v>
      </c>
      <c r="AX31" s="46">
        <f>'[1]Activity data'!AY551</f>
        <v>635.8848578572215</v>
      </c>
      <c r="AY31" s="46">
        <f>'[1]Activity data'!AZ551</f>
        <v>632.48425790863689</v>
      </c>
      <c r="AZ31" s="46">
        <f>'[1]Activity data'!BA551</f>
        <v>629.08365796005228</v>
      </c>
      <c r="BA31" s="46">
        <f>'[1]Activity data'!BB551</f>
        <v>625.68305801146766</v>
      </c>
      <c r="BB31" s="46">
        <f>'[1]Activity data'!BC551</f>
        <v>622.28245806288305</v>
      </c>
      <c r="BC31" s="46">
        <f>'[1]Activity data'!BD551</f>
        <v>618.88185811429844</v>
      </c>
      <c r="BD31" s="46">
        <f>'[1]Activity data'!BE551</f>
        <v>615.48125816571383</v>
      </c>
      <c r="BE31" s="46">
        <f>'[1]Activity data'!BF551</f>
        <v>612.08065821712921</v>
      </c>
      <c r="BF31" s="46">
        <f>'[1]Activity data'!BG551</f>
        <v>608.6800582685446</v>
      </c>
      <c r="BG31" s="46">
        <f>'[1]Activity data'!BH551</f>
        <v>605.27945831995999</v>
      </c>
      <c r="BH31" s="46">
        <f>'[1]Activity data'!BI551</f>
        <v>601.87885837137537</v>
      </c>
      <c r="BI31" s="46">
        <f>'[1]Activity data'!BJ551</f>
        <v>598.47825842279076</v>
      </c>
      <c r="BJ31" s="46">
        <f>'[1]Activity data'!BK551</f>
        <v>595.07765847420615</v>
      </c>
      <c r="BK31" s="46">
        <f>'[1]Activity data'!BL551</f>
        <v>591.67705852562153</v>
      </c>
      <c r="BL31" s="46">
        <f>'[1]Activity data'!BM551</f>
        <v>588.27645857703692</v>
      </c>
      <c r="BM31" s="46">
        <f>'[1]Activity data'!BN551</f>
        <v>584.87585862845231</v>
      </c>
      <c r="BN31" s="46">
        <f>'[1]Activity data'!BO551</f>
        <v>581.47525867986769</v>
      </c>
      <c r="BO31" s="46">
        <f>'[1]Activity data'!BP551</f>
        <v>578.07465873128308</v>
      </c>
      <c r="BP31" s="46">
        <f>'[1]Activity data'!BQ551</f>
        <v>574.67405878269847</v>
      </c>
      <c r="BR31" s="24"/>
    </row>
    <row r="32" spans="1:72" x14ac:dyDescent="0.25">
      <c r="A32" t="str">
        <f t="shared" si="5"/>
        <v>3C Aggregated and non-CO2 emissions on land</v>
      </c>
      <c r="B32" t="str">
        <f t="shared" si="5"/>
        <v>3C1 Biomass burning (CH4)</v>
      </c>
      <c r="C32" t="str">
        <f>C31</f>
        <v>3C1b Biomass burning in Croplands</v>
      </c>
      <c r="D32" t="s">
        <v>404</v>
      </c>
      <c r="E32" t="str">
        <f t="shared" si="3"/>
        <v>Cropland subsistence - Burnt area</v>
      </c>
      <c r="F32" t="s">
        <v>411</v>
      </c>
      <c r="G32" t="s">
        <v>733</v>
      </c>
      <c r="H32" s="22">
        <v>121475.97716262956</v>
      </c>
      <c r="I32" s="22">
        <v>121475.97716262956</v>
      </c>
      <c r="J32" s="22">
        <v>121475.97716262956</v>
      </c>
      <c r="K32" s="22">
        <v>121475.97716262956</v>
      </c>
      <c r="L32" s="22">
        <v>121475.97716262956</v>
      </c>
      <c r="M32" s="22">
        <v>121475.97716262956</v>
      </c>
      <c r="N32" s="22">
        <v>121475.97716262956</v>
      </c>
      <c r="O32" s="22">
        <v>121475.97716262956</v>
      </c>
      <c r="P32" s="22">
        <v>121475.97716262956</v>
      </c>
      <c r="Q32" s="22">
        <v>121475.97716262956</v>
      </c>
      <c r="R32" s="22">
        <v>110986.48523197359</v>
      </c>
      <c r="S32" s="22">
        <v>166133.61614765276</v>
      </c>
      <c r="T32" s="22">
        <v>130807.14860292274</v>
      </c>
      <c r="U32" s="22">
        <v>110963.41111861976</v>
      </c>
      <c r="V32" s="22">
        <v>88489.224711978939</v>
      </c>
      <c r="W32" s="22">
        <v>191815.10431047744</v>
      </c>
      <c r="X32" s="22">
        <v>150304.77438691808</v>
      </c>
      <c r="Y32" s="22">
        <v>232748.58140019077</v>
      </c>
      <c r="Z32" s="22">
        <v>140036.793944459</v>
      </c>
      <c r="AA32" s="22">
        <v>165649.05976722212</v>
      </c>
      <c r="AB32" s="22">
        <v>111287.7</v>
      </c>
      <c r="AC32" s="22">
        <v>75544.47</v>
      </c>
      <c r="AD32" s="22">
        <v>67397.58</v>
      </c>
      <c r="AE32" s="22">
        <v>102509.55</v>
      </c>
      <c r="AF32" s="22">
        <v>104938.02</v>
      </c>
      <c r="AG32" s="22">
        <v>35048.43</v>
      </c>
      <c r="AH32" s="22">
        <v>11156.22</v>
      </c>
      <c r="AI32" s="22">
        <v>10827.09</v>
      </c>
      <c r="AJ32" s="46">
        <f>'[1]Activity data'!AK552</f>
        <v>116878.48968933811</v>
      </c>
      <c r="AK32" s="46">
        <f>'[1]Activity data'!AL552</f>
        <v>117042.45023476906</v>
      </c>
      <c r="AL32" s="46">
        <f>'[1]Activity data'!AM552</f>
        <v>117206.41078020004</v>
      </c>
      <c r="AM32" s="46">
        <f>'[1]Activity data'!AN552</f>
        <v>117370.37132563101</v>
      </c>
      <c r="AN32" s="46">
        <f>'[1]Activity data'!AO552</f>
        <v>117534.33187106196</v>
      </c>
      <c r="AO32" s="46">
        <f>'[1]Activity data'!AP552</f>
        <v>117698.29241649294</v>
      </c>
      <c r="AP32" s="46">
        <f>'[1]Activity data'!AQ552</f>
        <v>117862.25296192389</v>
      </c>
      <c r="AQ32" s="46">
        <f>'[1]Activity data'!AR552</f>
        <v>118026.21350735487</v>
      </c>
      <c r="AR32" s="46">
        <f>'[1]Activity data'!AS552</f>
        <v>118190.17405278582</v>
      </c>
      <c r="AS32" s="46">
        <f>'[1]Activity data'!AT552</f>
        <v>118354.1345982168</v>
      </c>
      <c r="AT32" s="46">
        <f>'[1]Activity data'!AU552</f>
        <v>118518.09514364775</v>
      </c>
      <c r="AU32" s="46">
        <f>'[1]Activity data'!AV552</f>
        <v>118682.05568907873</v>
      </c>
      <c r="AV32" s="46">
        <f>'[1]Activity data'!AW552</f>
        <v>118846.01623450968</v>
      </c>
      <c r="AW32" s="46">
        <f>'[1]Activity data'!AX552</f>
        <v>119009.97677994065</v>
      </c>
      <c r="AX32" s="46">
        <f>'[1]Activity data'!AY552</f>
        <v>119173.9373253716</v>
      </c>
      <c r="AY32" s="46">
        <f>'[1]Activity data'!AZ552</f>
        <v>119337.89787080258</v>
      </c>
      <c r="AZ32" s="46">
        <f>'[1]Activity data'!BA552</f>
        <v>119501.85841623356</v>
      </c>
      <c r="BA32" s="46">
        <f>'[1]Activity data'!BB552</f>
        <v>119665.81896166451</v>
      </c>
      <c r="BB32" s="46">
        <f>'[1]Activity data'!BC552</f>
        <v>119829.77950709549</v>
      </c>
      <c r="BC32" s="46">
        <f>'[1]Activity data'!BD552</f>
        <v>119993.74005252644</v>
      </c>
      <c r="BD32" s="46">
        <f>'[1]Activity data'!BE552</f>
        <v>120157.70059795742</v>
      </c>
      <c r="BE32" s="46">
        <f>'[1]Activity data'!BF552</f>
        <v>120321.66114338837</v>
      </c>
      <c r="BF32" s="46">
        <f>'[1]Activity data'!BG552</f>
        <v>120485.62168881934</v>
      </c>
      <c r="BG32" s="46">
        <f>'[1]Activity data'!BH552</f>
        <v>120649.58223425029</v>
      </c>
      <c r="BH32" s="46">
        <f>'[1]Activity data'!BI552</f>
        <v>120813.54277968127</v>
      </c>
      <c r="BI32" s="46">
        <f>'[1]Activity data'!BJ552</f>
        <v>120977.50332511222</v>
      </c>
      <c r="BJ32" s="46">
        <f>'[1]Activity data'!BK552</f>
        <v>121141.4638705432</v>
      </c>
      <c r="BK32" s="46">
        <f>'[1]Activity data'!BL552</f>
        <v>121305.42441597415</v>
      </c>
      <c r="BL32" s="46">
        <f>'[1]Activity data'!BM552</f>
        <v>121469.38496140513</v>
      </c>
      <c r="BM32" s="46">
        <f>'[1]Activity data'!BN552</f>
        <v>121633.34550683611</v>
      </c>
      <c r="BN32" s="46">
        <f>'[1]Activity data'!BO552</f>
        <v>121797.30605226706</v>
      </c>
      <c r="BO32" s="46">
        <f>'[1]Activity data'!BP552</f>
        <v>121961.26659769804</v>
      </c>
      <c r="BP32" s="46">
        <f>'[1]Activity data'!BQ552</f>
        <v>122125.22714312898</v>
      </c>
      <c r="BR32" s="24"/>
    </row>
    <row r="33" spans="1:72" x14ac:dyDescent="0.25">
      <c r="A33" t="str">
        <f t="shared" si="5"/>
        <v>3C Aggregated and non-CO2 emissions on land</v>
      </c>
      <c r="B33" t="str">
        <f t="shared" si="5"/>
        <v>3C1 Biomass burning (CH4)</v>
      </c>
      <c r="C33" t="str">
        <f>'IPCC Categories'!C61</f>
        <v>3C1c Biomass burning in Grasslands</v>
      </c>
      <c r="D33" t="s">
        <v>405</v>
      </c>
      <c r="E33" t="str">
        <f t="shared" si="3"/>
        <v>Grasslands - Burnt area</v>
      </c>
      <c r="F33" t="s">
        <v>411</v>
      </c>
      <c r="G33" t="s">
        <v>734</v>
      </c>
      <c r="H33" s="22">
        <v>2387838.4648902137</v>
      </c>
      <c r="I33" s="22">
        <v>2387838.4648902137</v>
      </c>
      <c r="J33" s="22">
        <v>2387838.4648902137</v>
      </c>
      <c r="K33" s="22">
        <v>2387838.4648902137</v>
      </c>
      <c r="L33" s="22">
        <v>2387838.4648902137</v>
      </c>
      <c r="M33" s="22">
        <v>2387838.4648902137</v>
      </c>
      <c r="N33" s="22">
        <v>2387838.4648902137</v>
      </c>
      <c r="O33" s="22">
        <v>2387838.4648902137</v>
      </c>
      <c r="P33" s="22">
        <v>2387838.4648902137</v>
      </c>
      <c r="Q33" s="22">
        <v>2387838.4648902137</v>
      </c>
      <c r="R33" s="22">
        <v>2371995.7786614662</v>
      </c>
      <c r="S33" s="22">
        <v>2712685.0623309235</v>
      </c>
      <c r="T33" s="22">
        <v>2759663.9571193433</v>
      </c>
      <c r="U33" s="22">
        <v>2215091.8078553495</v>
      </c>
      <c r="V33" s="22">
        <v>1879755.7184839835</v>
      </c>
      <c r="W33" s="22">
        <v>2920305.9342887821</v>
      </c>
      <c r="X33" s="22">
        <v>2572463.6754796347</v>
      </c>
      <c r="Y33" s="22">
        <v>2423589.496120654</v>
      </c>
      <c r="Z33" s="22">
        <v>2252194.9821283258</v>
      </c>
      <c r="AA33" s="22">
        <v>2329700.9288838757</v>
      </c>
      <c r="AB33" s="22">
        <v>2008702.26</v>
      </c>
      <c r="AC33" s="22">
        <v>2040577.5599999998</v>
      </c>
      <c r="AD33" s="22">
        <v>1700540.0999999999</v>
      </c>
      <c r="AE33" s="22">
        <v>2050201.53</v>
      </c>
      <c r="AF33" s="22">
        <v>1819216.8900000001</v>
      </c>
      <c r="AG33" s="22">
        <v>1302302.1599999999</v>
      </c>
      <c r="AH33" s="22">
        <v>731472.03</v>
      </c>
      <c r="AI33" s="22">
        <v>718396.91999999993</v>
      </c>
      <c r="AJ33" s="46">
        <f>'[1]Activity data'!AK553</f>
        <v>3107756.8462891141</v>
      </c>
      <c r="AK33" s="46">
        <f>'[1]Activity data'!AL553</f>
        <v>3143860.0788158868</v>
      </c>
      <c r="AL33" s="46">
        <f>'[1]Activity data'!AM553</f>
        <v>3179963.3113426594</v>
      </c>
      <c r="AM33" s="46">
        <f>'[1]Activity data'!AN553</f>
        <v>3216066.5438694316</v>
      </c>
      <c r="AN33" s="46">
        <f>'[1]Activity data'!AO553</f>
        <v>3252169.7763962043</v>
      </c>
      <c r="AO33" s="46">
        <f>'[1]Activity data'!AP553</f>
        <v>3288273.0089229769</v>
      </c>
      <c r="AP33" s="46">
        <f>'[1]Activity data'!AQ553</f>
        <v>3324376.2414497496</v>
      </c>
      <c r="AQ33" s="46">
        <f>'[1]Activity data'!AR553</f>
        <v>3360479.4739765218</v>
      </c>
      <c r="AR33" s="46">
        <f>'[1]Activity data'!AS553</f>
        <v>3396582.7065032944</v>
      </c>
      <c r="AS33" s="46">
        <f>'[1]Activity data'!AT553</f>
        <v>3432685.9390300671</v>
      </c>
      <c r="AT33" s="46">
        <f>'[1]Activity data'!AU553</f>
        <v>3468789.1715568393</v>
      </c>
      <c r="AU33" s="46">
        <f>'[1]Activity data'!AV553</f>
        <v>3504892.4040836119</v>
      </c>
      <c r="AV33" s="46">
        <f>'[1]Activity data'!AW553</f>
        <v>3540995.6366103846</v>
      </c>
      <c r="AW33" s="46">
        <f>'[1]Activity data'!AX553</f>
        <v>3577098.8691371572</v>
      </c>
      <c r="AX33" s="46">
        <f>'[1]Activity data'!AY553</f>
        <v>3613202.1016639303</v>
      </c>
      <c r="AY33" s="46">
        <f>'[1]Activity data'!AZ553</f>
        <v>3649305.3341907035</v>
      </c>
      <c r="AZ33" s="46">
        <f>'[1]Activity data'!BA553</f>
        <v>3685408.5667174766</v>
      </c>
      <c r="BA33" s="46">
        <f>'[1]Activity data'!BB553</f>
        <v>3721511.7992442497</v>
      </c>
      <c r="BB33" s="46">
        <f>'[1]Activity data'!BC553</f>
        <v>3757615.0317710228</v>
      </c>
      <c r="BC33" s="46">
        <f>'[1]Activity data'!BD553</f>
        <v>3793718.2642977959</v>
      </c>
      <c r="BD33" s="46">
        <f>'[1]Activity data'!BE553</f>
        <v>3829821.4968245691</v>
      </c>
      <c r="BE33" s="46">
        <f>'[1]Activity data'!BF553</f>
        <v>3865924.7293513422</v>
      </c>
      <c r="BF33" s="46">
        <f>'[1]Activity data'!BG553</f>
        <v>3902027.9618781153</v>
      </c>
      <c r="BG33" s="46">
        <f>'[1]Activity data'!BH553</f>
        <v>3938131.1944048884</v>
      </c>
      <c r="BH33" s="46">
        <f>'[1]Activity data'!BI553</f>
        <v>3974234.4269316616</v>
      </c>
      <c r="BI33" s="46">
        <f>'[1]Activity data'!BJ553</f>
        <v>4010337.6594584347</v>
      </c>
      <c r="BJ33" s="46">
        <f>'[1]Activity data'!BK553</f>
        <v>4046440.8919852078</v>
      </c>
      <c r="BK33" s="46">
        <f>'[1]Activity data'!BL553</f>
        <v>4082544.1245119809</v>
      </c>
      <c r="BL33" s="46">
        <f>'[1]Activity data'!BM553</f>
        <v>4118647.357038754</v>
      </c>
      <c r="BM33" s="46">
        <f>'[1]Activity data'!BN553</f>
        <v>4154750.5895655272</v>
      </c>
      <c r="BN33" s="46">
        <f>'[1]Activity data'!BO553</f>
        <v>4190853.8220923003</v>
      </c>
      <c r="BO33" s="46">
        <f>'[1]Activity data'!BP553</f>
        <v>4226957.0546190729</v>
      </c>
      <c r="BP33" s="46">
        <f>'[1]Activity data'!BQ553</f>
        <v>4263060.2871458447</v>
      </c>
      <c r="BR33" s="24"/>
    </row>
    <row r="34" spans="1:72" x14ac:dyDescent="0.25">
      <c r="A34" t="str">
        <f t="shared" si="5"/>
        <v>3C Aggregated and non-CO2 emissions on land</v>
      </c>
      <c r="B34" t="str">
        <f t="shared" si="5"/>
        <v>3C1 Biomass burning (CH4)</v>
      </c>
      <c r="C34" t="str">
        <f>C33</f>
        <v>3C1c Biomass burning in Grasslands</v>
      </c>
      <c r="D34" t="s">
        <v>406</v>
      </c>
      <c r="E34" t="str">
        <f t="shared" si="3"/>
        <v>Low shrublands - Burnt area</v>
      </c>
      <c r="F34" t="s">
        <v>411</v>
      </c>
      <c r="G34" t="s">
        <v>735</v>
      </c>
      <c r="H34" s="22">
        <v>178542.87430934826</v>
      </c>
      <c r="I34" s="22">
        <v>178542.87430934826</v>
      </c>
      <c r="J34" s="22">
        <v>178542.87430934826</v>
      </c>
      <c r="K34" s="22">
        <v>178542.87430934826</v>
      </c>
      <c r="L34" s="22">
        <v>178542.87430934826</v>
      </c>
      <c r="M34" s="22">
        <v>178542.87430934826</v>
      </c>
      <c r="N34" s="22">
        <v>178542.87430934826</v>
      </c>
      <c r="O34" s="22">
        <v>178542.87430934826</v>
      </c>
      <c r="P34" s="22">
        <v>178542.87430934826</v>
      </c>
      <c r="Q34" s="22">
        <v>178542.87430934826</v>
      </c>
      <c r="R34" s="22">
        <v>150097.10736673351</v>
      </c>
      <c r="S34" s="22">
        <v>126284.62238556995</v>
      </c>
      <c r="T34" s="22">
        <v>307393.3380998653</v>
      </c>
      <c r="U34" s="22">
        <v>191745.88197041591</v>
      </c>
      <c r="V34" s="22">
        <v>117193.42172415672</v>
      </c>
      <c r="W34" s="22">
        <v>198875.78299675265</v>
      </c>
      <c r="X34" s="22">
        <v>154365.81833719404</v>
      </c>
      <c r="Y34" s="22">
        <v>132837.67057806067</v>
      </c>
      <c r="Z34" s="22">
        <v>160872.7183029771</v>
      </c>
      <c r="AA34" s="22">
        <v>215212.25525127185</v>
      </c>
      <c r="AB34" s="22">
        <v>515229.30000000005</v>
      </c>
      <c r="AC34" s="22">
        <v>517662.54000000004</v>
      </c>
      <c r="AD34" s="22">
        <v>709359.12</v>
      </c>
      <c r="AE34" s="22">
        <v>292016.25</v>
      </c>
      <c r="AF34" s="22">
        <v>192490.28999999998</v>
      </c>
      <c r="AG34" s="22">
        <v>262975.32</v>
      </c>
      <c r="AH34" s="22">
        <v>364896.72</v>
      </c>
      <c r="AI34" s="22">
        <v>277452.27</v>
      </c>
      <c r="AJ34" s="46">
        <f>'[1]Activity data'!AK554</f>
        <v>212369.1075494203</v>
      </c>
      <c r="AK34" s="46">
        <f>'[1]Activity data'!AL554</f>
        <v>210015.18866976566</v>
      </c>
      <c r="AL34" s="46">
        <f>'[1]Activity data'!AM554</f>
        <v>207661.26979011102</v>
      </c>
      <c r="AM34" s="46">
        <f>'[1]Activity data'!AN554</f>
        <v>205307.35091045636</v>
      </c>
      <c r="AN34" s="46">
        <f>'[1]Activity data'!AO554</f>
        <v>202953.43203080172</v>
      </c>
      <c r="AO34" s="46">
        <f>'[1]Activity data'!AP554</f>
        <v>200599.51315114705</v>
      </c>
      <c r="AP34" s="46">
        <f>'[1]Activity data'!AQ554</f>
        <v>198245.59427149242</v>
      </c>
      <c r="AQ34" s="46">
        <f>'[1]Activity data'!AR554</f>
        <v>195891.67539183778</v>
      </c>
      <c r="AR34" s="46">
        <f>'[1]Activity data'!AS554</f>
        <v>193537.75651218311</v>
      </c>
      <c r="AS34" s="46">
        <f>'[1]Activity data'!AT554</f>
        <v>191183.83763252848</v>
      </c>
      <c r="AT34" s="46">
        <f>'[1]Activity data'!AU554</f>
        <v>188829.91875287381</v>
      </c>
      <c r="AU34" s="46">
        <f>'[1]Activity data'!AV554</f>
        <v>186475.99987321917</v>
      </c>
      <c r="AV34" s="46">
        <f>'[1]Activity data'!AW554</f>
        <v>184122.08099356454</v>
      </c>
      <c r="AW34" s="46">
        <f>'[1]Activity data'!AX554</f>
        <v>181768.16211390987</v>
      </c>
      <c r="AX34" s="46">
        <f>'[1]Activity data'!AY554</f>
        <v>179414.24323425523</v>
      </c>
      <c r="AY34" s="46">
        <f>'[1]Activity data'!AZ554</f>
        <v>177060.32435460057</v>
      </c>
      <c r="AZ34" s="46">
        <f>'[1]Activity data'!BA554</f>
        <v>174706.40547494593</v>
      </c>
      <c r="BA34" s="46">
        <f>'[1]Activity data'!BB554</f>
        <v>172352.4865952913</v>
      </c>
      <c r="BB34" s="46">
        <f>'[1]Activity data'!BC554</f>
        <v>169998.56771563663</v>
      </c>
      <c r="BC34" s="46">
        <f>'[1]Activity data'!BD554</f>
        <v>167644.64883598199</v>
      </c>
      <c r="BD34" s="46">
        <f>'[1]Activity data'!BE554</f>
        <v>165290.72995632736</v>
      </c>
      <c r="BE34" s="46">
        <f>'[1]Activity data'!BF554</f>
        <v>162936.81107667269</v>
      </c>
      <c r="BF34" s="46">
        <f>'[1]Activity data'!BG554</f>
        <v>160582.89219701805</v>
      </c>
      <c r="BG34" s="46">
        <f>'[1]Activity data'!BH554</f>
        <v>158228.97331736339</v>
      </c>
      <c r="BH34" s="46">
        <f>'[1]Activity data'!BI554</f>
        <v>155875.05443770875</v>
      </c>
      <c r="BI34" s="46">
        <f>'[1]Activity data'!BJ554</f>
        <v>153521.13555805411</v>
      </c>
      <c r="BJ34" s="46">
        <f>'[1]Activity data'!BK554</f>
        <v>151167.21667839951</v>
      </c>
      <c r="BK34" s="46">
        <f>'[1]Activity data'!BL554</f>
        <v>148813.29779874484</v>
      </c>
      <c r="BL34" s="46">
        <f>'[1]Activity data'!BM554</f>
        <v>146459.3789190902</v>
      </c>
      <c r="BM34" s="46">
        <f>'[1]Activity data'!BN554</f>
        <v>144105.46003943554</v>
      </c>
      <c r="BN34" s="46">
        <f>'[1]Activity data'!BO554</f>
        <v>141751.5411597809</v>
      </c>
      <c r="BO34" s="46">
        <f>'[1]Activity data'!BP554</f>
        <v>139397.62228012626</v>
      </c>
      <c r="BP34" s="46">
        <f>'[1]Activity data'!BQ554</f>
        <v>137043.7034004716</v>
      </c>
      <c r="BR34" s="24"/>
    </row>
    <row r="35" spans="1:72" x14ac:dyDescent="0.25">
      <c r="A35" t="str">
        <f>A39</f>
        <v>3C Aggregated and non-CO2 emissions on land</v>
      </c>
      <c r="B35" t="str">
        <f>B39</f>
        <v>3C1 Biomass burning (CH4)</v>
      </c>
      <c r="C35" t="str">
        <f>C39</f>
        <v>3C1f Biomass burning in Other lands</v>
      </c>
      <c r="D35" t="s">
        <v>410</v>
      </c>
      <c r="E35" t="str">
        <f t="shared" si="3"/>
        <v>Degraded land - Burnt area</v>
      </c>
      <c r="F35" t="s">
        <v>411</v>
      </c>
      <c r="G35" t="s">
        <v>725</v>
      </c>
      <c r="H35" s="22">
        <v>61714.023576182241</v>
      </c>
      <c r="I35" s="22">
        <v>61714.023576182241</v>
      </c>
      <c r="J35" s="22">
        <v>61714.023576182241</v>
      </c>
      <c r="K35" s="22">
        <v>61714.023576182241</v>
      </c>
      <c r="L35" s="22">
        <v>61714.023576182241</v>
      </c>
      <c r="M35" s="22">
        <v>61714.023576182241</v>
      </c>
      <c r="N35" s="22">
        <v>61714.023576182241</v>
      </c>
      <c r="O35" s="22">
        <v>61714.023576182241</v>
      </c>
      <c r="P35" s="22">
        <v>61714.023576182241</v>
      </c>
      <c r="Q35" s="22">
        <v>61714.023576182241</v>
      </c>
      <c r="R35" s="22">
        <v>67907.115600353078</v>
      </c>
      <c r="S35" s="22">
        <v>61469.437974631524</v>
      </c>
      <c r="T35" s="22">
        <v>82282.28821979581</v>
      </c>
      <c r="U35" s="22">
        <v>24204.744908178855</v>
      </c>
      <c r="V35" s="22">
        <v>72706.53117795194</v>
      </c>
      <c r="W35" s="22">
        <v>89066.077545824955</v>
      </c>
      <c r="X35" s="22">
        <v>131960.85427061474</v>
      </c>
      <c r="Y35" s="22">
        <v>20074.478617841378</v>
      </c>
      <c r="Z35" s="22">
        <v>93911.641350131511</v>
      </c>
      <c r="AA35" s="22">
        <v>60961.807480847041</v>
      </c>
      <c r="AB35" s="22">
        <v>82046.16</v>
      </c>
      <c r="AC35" s="22">
        <v>96577.74</v>
      </c>
      <c r="AD35" s="22">
        <v>41034.33</v>
      </c>
      <c r="AE35" s="22">
        <v>40923.81</v>
      </c>
      <c r="AF35" s="22">
        <v>35577.18</v>
      </c>
      <c r="AG35" s="22">
        <v>26273.07</v>
      </c>
      <c r="AH35" s="22">
        <v>9902.16</v>
      </c>
      <c r="AI35" s="22">
        <v>6469.38</v>
      </c>
      <c r="AJ35" s="46">
        <f>'[1]Activity data'!AK555</f>
        <v>11355.250847106781</v>
      </c>
      <c r="AK35" s="46">
        <f>'[1]Activity data'!AL555</f>
        <v>11244.363043141348</v>
      </c>
      <c r="AL35" s="46">
        <f>'[1]Activity data'!AM555</f>
        <v>11133.475239175914</v>
      </c>
      <c r="AM35" s="46">
        <f>'[1]Activity data'!AN555</f>
        <v>11022.58743521048</v>
      </c>
      <c r="AN35" s="46">
        <f>'[1]Activity data'!AO555</f>
        <v>10911.699631245046</v>
      </c>
      <c r="AO35" s="46">
        <f>'[1]Activity data'!AP555</f>
        <v>10800.811827279615</v>
      </c>
      <c r="AP35" s="46">
        <f>'[1]Activity data'!AQ555</f>
        <v>10689.924023314181</v>
      </c>
      <c r="AQ35" s="46">
        <f>'[1]Activity data'!AR555</f>
        <v>10579.036219348749</v>
      </c>
      <c r="AR35" s="46">
        <f>'[1]Activity data'!AS555</f>
        <v>10468.148415383315</v>
      </c>
      <c r="AS35" s="46">
        <f>'[1]Activity data'!AT555</f>
        <v>10357.260611417882</v>
      </c>
      <c r="AT35" s="46">
        <f>'[1]Activity data'!AU555</f>
        <v>10246.372807452448</v>
      </c>
      <c r="AU35" s="46">
        <f>'[1]Activity data'!AV555</f>
        <v>10135.485003487016</v>
      </c>
      <c r="AV35" s="46">
        <f>'[1]Activity data'!AW555</f>
        <v>10024.597199521584</v>
      </c>
      <c r="AW35" s="46">
        <f>'[1]Activity data'!AX555</f>
        <v>9913.7093955561504</v>
      </c>
      <c r="AX35" s="46">
        <f>'[1]Activity data'!AY555</f>
        <v>9802.8215915907167</v>
      </c>
      <c r="AY35" s="46">
        <f>'[1]Activity data'!AZ555</f>
        <v>9691.933787625283</v>
      </c>
      <c r="AZ35" s="46">
        <f>'[1]Activity data'!BA555</f>
        <v>9581.0459836598511</v>
      </c>
      <c r="BA35" s="46">
        <f>'[1]Activity data'!BB555</f>
        <v>9470.1581796944174</v>
      </c>
      <c r="BB35" s="46">
        <f>'[1]Activity data'!BC555</f>
        <v>9359.2703757289855</v>
      </c>
      <c r="BC35" s="46">
        <f>'[1]Activity data'!BD555</f>
        <v>9248.3825717635518</v>
      </c>
      <c r="BD35" s="46">
        <f>'[1]Activity data'!BE555</f>
        <v>9137.4947677981181</v>
      </c>
      <c r="BE35" s="46">
        <f>'[1]Activity data'!BF555</f>
        <v>9026.6069638326844</v>
      </c>
      <c r="BF35" s="46">
        <f>'[1]Activity data'!BG555</f>
        <v>8915.7191598672525</v>
      </c>
      <c r="BG35" s="46">
        <f>'[1]Activity data'!BH555</f>
        <v>8804.8313559018206</v>
      </c>
      <c r="BH35" s="46">
        <f>'[1]Activity data'!BI555</f>
        <v>8693.9435519363869</v>
      </c>
      <c r="BI35" s="46">
        <f>'[1]Activity data'!BJ555</f>
        <v>8583.0557479709532</v>
      </c>
      <c r="BJ35" s="46">
        <f>'[1]Activity data'!BK555</f>
        <v>8472.1679440055195</v>
      </c>
      <c r="BK35" s="46">
        <f>'[1]Activity data'!BL555</f>
        <v>8361.2801400400876</v>
      </c>
      <c r="BL35" s="46">
        <f>'[1]Activity data'!BM555</f>
        <v>8250.3923360746521</v>
      </c>
      <c r="BM35" s="46">
        <f>'[1]Activity data'!BN555</f>
        <v>8139.5045321092202</v>
      </c>
      <c r="BN35" s="46">
        <f>'[1]Activity data'!BO555</f>
        <v>8028.6167281437865</v>
      </c>
      <c r="BO35" s="46">
        <f>'[1]Activity data'!BP555</f>
        <v>7917.7289241783528</v>
      </c>
      <c r="BP35" s="46">
        <f>'[1]Activity data'!BQ555</f>
        <v>7806.8411202129209</v>
      </c>
      <c r="BR35" s="24"/>
    </row>
    <row r="36" spans="1:72" x14ac:dyDescent="0.25">
      <c r="A36" t="str">
        <f>A34</f>
        <v>3C Aggregated and non-CO2 emissions on land</v>
      </c>
      <c r="B36" t="str">
        <f>B34</f>
        <v>3C1 Biomass burning (CH4)</v>
      </c>
      <c r="C36" t="str">
        <f>'IPCC Categories'!C62</f>
        <v>3C1d Biomass burning in Wetlands</v>
      </c>
      <c r="D36" t="s">
        <v>110</v>
      </c>
      <c r="E36" t="str">
        <f t="shared" si="3"/>
        <v>Wetlands - Burnt area</v>
      </c>
      <c r="F36" t="s">
        <v>411</v>
      </c>
      <c r="G36" t="s">
        <v>736</v>
      </c>
      <c r="H36" s="22">
        <v>85448.056571942725</v>
      </c>
      <c r="I36" s="22">
        <v>85448.056571942725</v>
      </c>
      <c r="J36" s="22">
        <v>85448.056571942725</v>
      </c>
      <c r="K36" s="22">
        <v>85448.056571942725</v>
      </c>
      <c r="L36" s="22">
        <v>85448.056571942725</v>
      </c>
      <c r="M36" s="22">
        <v>85448.056571942725</v>
      </c>
      <c r="N36" s="22">
        <v>85448.056571942725</v>
      </c>
      <c r="O36" s="22">
        <v>85448.056571942725</v>
      </c>
      <c r="P36" s="22">
        <v>85448.056571942725</v>
      </c>
      <c r="Q36" s="22">
        <v>85448.056571942725</v>
      </c>
      <c r="R36" s="22">
        <v>75590.795347182022</v>
      </c>
      <c r="S36" s="22">
        <v>91304.266541147488</v>
      </c>
      <c r="T36" s="22">
        <v>103348.95371185233</v>
      </c>
      <c r="U36" s="22">
        <v>84543.551328472182</v>
      </c>
      <c r="V36" s="22">
        <v>72452.715931059676</v>
      </c>
      <c r="W36" s="22">
        <v>107202.33064194373</v>
      </c>
      <c r="X36" s="22">
        <v>95157.643471238887</v>
      </c>
      <c r="Y36" s="22">
        <v>83828.253814503129</v>
      </c>
      <c r="Z36" s="22">
        <v>76444.537541274112</v>
      </c>
      <c r="AA36" s="22">
        <v>85858.775789641106</v>
      </c>
      <c r="AB36" s="22">
        <v>114912.98999999999</v>
      </c>
      <c r="AC36" s="22">
        <v>124110.54</v>
      </c>
      <c r="AD36" s="22">
        <v>98892.72</v>
      </c>
      <c r="AE36" s="22">
        <v>115662.69</v>
      </c>
      <c r="AF36" s="22">
        <v>110398.95</v>
      </c>
      <c r="AG36" s="22">
        <v>102558.15</v>
      </c>
      <c r="AH36" s="22">
        <v>53876.07</v>
      </c>
      <c r="AI36" s="22">
        <v>51524.01</v>
      </c>
      <c r="AJ36" s="46">
        <f>'[1]Activity data'!AK556</f>
        <v>50846.369693798872</v>
      </c>
      <c r="AK36" s="46">
        <f>'[1]Activity data'!AL556</f>
        <v>50044.273551145008</v>
      </c>
      <c r="AL36" s="46">
        <f>'[1]Activity data'!AM556</f>
        <v>49242.177408491145</v>
      </c>
      <c r="AM36" s="46">
        <f>'[1]Activity data'!AN556</f>
        <v>48440.081265837274</v>
      </c>
      <c r="AN36" s="46">
        <f>'[1]Activity data'!AO556</f>
        <v>47637.985123183411</v>
      </c>
      <c r="AO36" s="46">
        <f>'[1]Activity data'!AP556</f>
        <v>46835.888980529548</v>
      </c>
      <c r="AP36" s="46">
        <f>'[1]Activity data'!AQ556</f>
        <v>46033.792837875684</v>
      </c>
      <c r="AQ36" s="46">
        <f>'[1]Activity data'!AR556</f>
        <v>45231.696695221821</v>
      </c>
      <c r="AR36" s="46">
        <f>'[1]Activity data'!AS556</f>
        <v>44429.600552567957</v>
      </c>
      <c r="AS36" s="46">
        <f>'[1]Activity data'!AT556</f>
        <v>43627.504409914094</v>
      </c>
      <c r="AT36" s="46">
        <f>'[1]Activity data'!AU556</f>
        <v>42825.408267260231</v>
      </c>
      <c r="AU36" s="46">
        <f>'[1]Activity data'!AV556</f>
        <v>42023.312124606367</v>
      </c>
      <c r="AV36" s="46">
        <f>'[1]Activity data'!AW556</f>
        <v>41221.215981952504</v>
      </c>
      <c r="AW36" s="46">
        <f>'[1]Activity data'!AX556</f>
        <v>40419.119839298641</v>
      </c>
      <c r="AX36" s="46">
        <f>'[1]Activity data'!AY556</f>
        <v>39617.023696644785</v>
      </c>
      <c r="AY36" s="46">
        <f>'[1]Activity data'!AZ556</f>
        <v>38814.927553990929</v>
      </c>
      <c r="AZ36" s="46">
        <f>'[1]Activity data'!BA556</f>
        <v>38012.831411337065</v>
      </c>
      <c r="BA36" s="46">
        <f>'[1]Activity data'!BB556</f>
        <v>37210.735268683209</v>
      </c>
      <c r="BB36" s="46">
        <f>'[1]Activity data'!BC556</f>
        <v>36408.639126029353</v>
      </c>
      <c r="BC36" s="46">
        <f>'[1]Activity data'!BD556</f>
        <v>35606.54298337549</v>
      </c>
      <c r="BD36" s="46">
        <f>'[1]Activity data'!BE556</f>
        <v>34804.446840721634</v>
      </c>
      <c r="BE36" s="46">
        <f>'[1]Activity data'!BF556</f>
        <v>34002.350698067778</v>
      </c>
      <c r="BF36" s="46">
        <f>'[1]Activity data'!BG556</f>
        <v>33200.254555413914</v>
      </c>
      <c r="BG36" s="46">
        <f>'[1]Activity data'!BH556</f>
        <v>32398.158412760058</v>
      </c>
      <c r="BH36" s="46">
        <f>'[1]Activity data'!BI556</f>
        <v>31596.062270106202</v>
      </c>
      <c r="BI36" s="46">
        <f>'[1]Activity data'!BJ556</f>
        <v>30793.966127452342</v>
      </c>
      <c r="BJ36" s="46">
        <f>'[1]Activity data'!BK556</f>
        <v>29991.869984798483</v>
      </c>
      <c r="BK36" s="46">
        <f>'[1]Activity data'!BL556</f>
        <v>29189.773842144627</v>
      </c>
      <c r="BL36" s="46">
        <f>'[1]Activity data'!BM556</f>
        <v>28387.677699490767</v>
      </c>
      <c r="BM36" s="46">
        <f>'[1]Activity data'!BN556</f>
        <v>27585.581556836907</v>
      </c>
      <c r="BN36" s="46">
        <f>'[1]Activity data'!BO556</f>
        <v>26783.485414183051</v>
      </c>
      <c r="BO36" s="46">
        <f>'[1]Activity data'!BP556</f>
        <v>25981.389271529191</v>
      </c>
      <c r="BP36" s="46">
        <f>'[1]Activity data'!BQ556</f>
        <v>25179.293128875332</v>
      </c>
      <c r="BR36" s="24"/>
    </row>
    <row r="37" spans="1:72" x14ac:dyDescent="0.25">
      <c r="A37" t="str">
        <f t="shared" ref="A37:B39" si="6">A36</f>
        <v>3C Aggregated and non-CO2 emissions on land</v>
      </c>
      <c r="B37" t="str">
        <f t="shared" si="6"/>
        <v>3C1 Biomass burning (CH4)</v>
      </c>
      <c r="C37" t="str">
        <f>'IPCC Categories'!C63</f>
        <v>3C1e Biomass burning in Settlements</v>
      </c>
      <c r="D37" t="s">
        <v>407</v>
      </c>
      <c r="E37" t="str">
        <f t="shared" si="3"/>
        <v>Settlements - Burnt area</v>
      </c>
      <c r="F37" t="s">
        <v>411</v>
      </c>
      <c r="G37" t="s">
        <v>737</v>
      </c>
      <c r="H37" s="22">
        <v>51833.688238067662</v>
      </c>
      <c r="I37" s="22">
        <v>51833.688238067662</v>
      </c>
      <c r="J37" s="22">
        <v>51833.688238067662</v>
      </c>
      <c r="K37" s="22">
        <v>51833.688238067662</v>
      </c>
      <c r="L37" s="22">
        <v>51833.688238067662</v>
      </c>
      <c r="M37" s="22">
        <v>51833.688238067662</v>
      </c>
      <c r="N37" s="22">
        <v>51833.688238067662</v>
      </c>
      <c r="O37" s="22">
        <v>51833.688238067662</v>
      </c>
      <c r="P37" s="22">
        <v>51833.688238067662</v>
      </c>
      <c r="Q37" s="22">
        <v>51833.688238067662</v>
      </c>
      <c r="R37" s="22">
        <v>56462.3553768481</v>
      </c>
      <c r="S37" s="22">
        <v>62530.847188908192</v>
      </c>
      <c r="T37" s="22">
        <v>55285.57559580222</v>
      </c>
      <c r="U37" s="22">
        <v>47694.192302388648</v>
      </c>
      <c r="V37" s="22">
        <v>37195.470726391148</v>
      </c>
      <c r="W37" s="22">
        <v>84220.513741518429</v>
      </c>
      <c r="X37" s="22">
        <v>73767.9403922286</v>
      </c>
      <c r="Y37" s="22">
        <v>81590.064819180581</v>
      </c>
      <c r="Z37" s="22">
        <v>50370.789451434168</v>
      </c>
      <c r="AA37" s="22">
        <v>60615.69578053942</v>
      </c>
      <c r="AB37" s="22">
        <v>45329.58</v>
      </c>
      <c r="AC37" s="22">
        <v>31595.4</v>
      </c>
      <c r="AD37" s="22">
        <v>30769.74</v>
      </c>
      <c r="AE37" s="22">
        <v>33084.629999999997</v>
      </c>
      <c r="AF37" s="22">
        <v>34594.199999999997</v>
      </c>
      <c r="AG37" s="22">
        <v>22445.64</v>
      </c>
      <c r="AH37" s="22">
        <v>8212.68</v>
      </c>
      <c r="AI37" s="22">
        <v>7956.63</v>
      </c>
      <c r="AJ37" s="46">
        <f>'[1]Activity data'!AK557</f>
        <v>49131.653143680829</v>
      </c>
      <c r="AK37" s="46">
        <f>'[1]Activity data'!AL557</f>
        <v>49340.224434051517</v>
      </c>
      <c r="AL37" s="46">
        <f>'[1]Activity data'!AM557</f>
        <v>49548.795724422213</v>
      </c>
      <c r="AM37" s="46">
        <f>'[1]Activity data'!AN557</f>
        <v>49757.367014792901</v>
      </c>
      <c r="AN37" s="46">
        <f>'[1]Activity data'!AO557</f>
        <v>49965.938305163589</v>
      </c>
      <c r="AO37" s="46">
        <f>'[1]Activity data'!AP557</f>
        <v>50174.509595534284</v>
      </c>
      <c r="AP37" s="46">
        <f>'[1]Activity data'!AQ557</f>
        <v>50383.080885904972</v>
      </c>
      <c r="AQ37" s="46">
        <f>'[1]Activity data'!AR557</f>
        <v>50591.65217627566</v>
      </c>
      <c r="AR37" s="46">
        <f>'[1]Activity data'!AS557</f>
        <v>50800.223466646356</v>
      </c>
      <c r="AS37" s="46">
        <f>'[1]Activity data'!AT557</f>
        <v>51008.794757017044</v>
      </c>
      <c r="AT37" s="46">
        <f>'[1]Activity data'!AU557</f>
        <v>51217.366047387732</v>
      </c>
      <c r="AU37" s="46">
        <f>'[1]Activity data'!AV557</f>
        <v>51425.937337758427</v>
      </c>
      <c r="AV37" s="46">
        <f>'[1]Activity data'!AW557</f>
        <v>51634.508628129115</v>
      </c>
      <c r="AW37" s="46">
        <f>'[1]Activity data'!AX557</f>
        <v>51843.079918499803</v>
      </c>
      <c r="AX37" s="46">
        <f>'[1]Activity data'!AY557</f>
        <v>52051.651208870499</v>
      </c>
      <c r="AY37" s="46">
        <f>'[1]Activity data'!AZ557</f>
        <v>52260.222499241187</v>
      </c>
      <c r="AZ37" s="46">
        <f>'[1]Activity data'!BA557</f>
        <v>52468.793789611882</v>
      </c>
      <c r="BA37" s="46">
        <f>'[1]Activity data'!BB557</f>
        <v>52677.36507998257</v>
      </c>
      <c r="BB37" s="46">
        <f>'[1]Activity data'!BC557</f>
        <v>52885.936370353258</v>
      </c>
      <c r="BC37" s="46">
        <f>'[1]Activity data'!BD557</f>
        <v>53094.507660723953</v>
      </c>
      <c r="BD37" s="46">
        <f>'[1]Activity data'!BE557</f>
        <v>53303.078951094642</v>
      </c>
      <c r="BE37" s="46">
        <f>'[1]Activity data'!BF557</f>
        <v>53511.65024146533</v>
      </c>
      <c r="BF37" s="46">
        <f>'[1]Activity data'!BG557</f>
        <v>53720.221531836025</v>
      </c>
      <c r="BG37" s="46">
        <f>'[1]Activity data'!BH557</f>
        <v>53928.792822206713</v>
      </c>
      <c r="BH37" s="46">
        <f>'[1]Activity data'!BI557</f>
        <v>54137.364112577401</v>
      </c>
      <c r="BI37" s="46">
        <f>'[1]Activity data'!BJ557</f>
        <v>54345.935402948096</v>
      </c>
      <c r="BJ37" s="46">
        <f>'[1]Activity data'!BK557</f>
        <v>54554.506693318785</v>
      </c>
      <c r="BK37" s="46">
        <f>'[1]Activity data'!BL557</f>
        <v>54763.077983689473</v>
      </c>
      <c r="BL37" s="46">
        <f>'[1]Activity data'!BM557</f>
        <v>54971.649274060168</v>
      </c>
      <c r="BM37" s="46">
        <f>'[1]Activity data'!BN557</f>
        <v>55180.220564430856</v>
      </c>
      <c r="BN37" s="46">
        <f>'[1]Activity data'!BO557</f>
        <v>55388.791854801551</v>
      </c>
      <c r="BO37" s="46">
        <f>'[1]Activity data'!BP557</f>
        <v>55597.363145172239</v>
      </c>
      <c r="BP37" s="46">
        <f>'[1]Activity data'!BQ557</f>
        <v>55805.934435542928</v>
      </c>
      <c r="BR37" s="24"/>
    </row>
    <row r="38" spans="1:72" x14ac:dyDescent="0.25">
      <c r="A38" t="str">
        <f t="shared" si="6"/>
        <v>3C Aggregated and non-CO2 emissions on land</v>
      </c>
      <c r="B38" t="str">
        <f t="shared" si="6"/>
        <v>3C1 Biomass burning (CH4)</v>
      </c>
      <c r="C38" t="str">
        <f>C37</f>
        <v>3C1e Biomass burning in Settlements</v>
      </c>
      <c r="D38" t="s">
        <v>408</v>
      </c>
      <c r="E38" t="str">
        <f t="shared" si="3"/>
        <v>Mines - Burnt area</v>
      </c>
      <c r="F38" t="s">
        <v>411</v>
      </c>
      <c r="G38" t="s">
        <v>738</v>
      </c>
      <c r="H38" s="22">
        <v>0</v>
      </c>
      <c r="I38" s="22">
        <v>0</v>
      </c>
      <c r="J38" s="22">
        <v>0</v>
      </c>
      <c r="K38" s="22">
        <v>0</v>
      </c>
      <c r="L38" s="22">
        <v>0</v>
      </c>
      <c r="M38" s="22">
        <v>0</v>
      </c>
      <c r="N38" s="22">
        <v>0</v>
      </c>
      <c r="O38" s="22">
        <v>0</v>
      </c>
      <c r="P38" s="22">
        <v>0</v>
      </c>
      <c r="Q38" s="22">
        <v>0</v>
      </c>
      <c r="R38" s="22">
        <v>0</v>
      </c>
      <c r="S38" s="22">
        <v>0</v>
      </c>
      <c r="T38" s="22">
        <v>0</v>
      </c>
      <c r="U38" s="22">
        <v>0</v>
      </c>
      <c r="V38" s="22">
        <v>0</v>
      </c>
      <c r="W38" s="22">
        <v>0</v>
      </c>
      <c r="X38" s="22">
        <v>0</v>
      </c>
      <c r="Y38" s="22">
        <v>0</v>
      </c>
      <c r="Z38" s="22">
        <v>0</v>
      </c>
      <c r="AA38" s="22">
        <v>0</v>
      </c>
      <c r="AB38" s="22">
        <v>0</v>
      </c>
      <c r="AC38" s="22">
        <v>0</v>
      </c>
      <c r="AD38" s="22">
        <v>0</v>
      </c>
      <c r="AE38" s="22">
        <v>0</v>
      </c>
      <c r="AF38" s="22">
        <v>0</v>
      </c>
      <c r="AG38" s="22">
        <v>0</v>
      </c>
      <c r="AH38" s="22">
        <v>0</v>
      </c>
      <c r="AI38" s="22">
        <v>0</v>
      </c>
      <c r="AJ38" s="46">
        <f>'[1]Activity data'!AK558</f>
        <v>0</v>
      </c>
      <c r="AK38" s="46">
        <f>'[1]Activity data'!AL558</f>
        <v>0</v>
      </c>
      <c r="AL38" s="46">
        <f>'[1]Activity data'!AM558</f>
        <v>0</v>
      </c>
      <c r="AM38" s="46">
        <f>'[1]Activity data'!AN558</f>
        <v>0</v>
      </c>
      <c r="AN38" s="46">
        <f>'[1]Activity data'!AO558</f>
        <v>0</v>
      </c>
      <c r="AO38" s="46">
        <f>'[1]Activity data'!AP558</f>
        <v>0</v>
      </c>
      <c r="AP38" s="46">
        <f>'[1]Activity data'!AQ558</f>
        <v>0</v>
      </c>
      <c r="AQ38" s="46">
        <f>'[1]Activity data'!AR558</f>
        <v>0</v>
      </c>
      <c r="AR38" s="46">
        <f>'[1]Activity data'!AS558</f>
        <v>0</v>
      </c>
      <c r="AS38" s="46">
        <f>'[1]Activity data'!AT558</f>
        <v>0</v>
      </c>
      <c r="AT38" s="46">
        <f>'[1]Activity data'!AU558</f>
        <v>0</v>
      </c>
      <c r="AU38" s="46">
        <f>'[1]Activity data'!AV558</f>
        <v>0</v>
      </c>
      <c r="AV38" s="46">
        <f>'[1]Activity data'!AW558</f>
        <v>0</v>
      </c>
      <c r="AW38" s="46">
        <f>'[1]Activity data'!AX558</f>
        <v>0</v>
      </c>
      <c r="AX38" s="46">
        <f>'[1]Activity data'!AY558</f>
        <v>0</v>
      </c>
      <c r="AY38" s="46">
        <f>'[1]Activity data'!AZ558</f>
        <v>0</v>
      </c>
      <c r="AZ38" s="46">
        <f>'[1]Activity data'!BA558</f>
        <v>0</v>
      </c>
      <c r="BA38" s="46">
        <f>'[1]Activity data'!BB558</f>
        <v>0</v>
      </c>
      <c r="BB38" s="46">
        <f>'[1]Activity data'!BC558</f>
        <v>0</v>
      </c>
      <c r="BC38" s="46">
        <f>'[1]Activity data'!BD558</f>
        <v>0</v>
      </c>
      <c r="BD38" s="46">
        <f>'[1]Activity data'!BE558</f>
        <v>0</v>
      </c>
      <c r="BE38" s="46">
        <f>'[1]Activity data'!BF558</f>
        <v>0</v>
      </c>
      <c r="BF38" s="46">
        <f>'[1]Activity data'!BG558</f>
        <v>0</v>
      </c>
      <c r="BG38" s="46">
        <f>'[1]Activity data'!BH558</f>
        <v>0</v>
      </c>
      <c r="BH38" s="46">
        <f>'[1]Activity data'!BI558</f>
        <v>0</v>
      </c>
      <c r="BI38" s="46">
        <f>'[1]Activity data'!BJ558</f>
        <v>0</v>
      </c>
      <c r="BJ38" s="46">
        <f>'[1]Activity data'!BK558</f>
        <v>0</v>
      </c>
      <c r="BK38" s="46">
        <f>'[1]Activity data'!BL558</f>
        <v>0</v>
      </c>
      <c r="BL38" s="46">
        <f>'[1]Activity data'!BM558</f>
        <v>0</v>
      </c>
      <c r="BM38" s="46">
        <f>'[1]Activity data'!BN558</f>
        <v>0</v>
      </c>
      <c r="BN38" s="46">
        <f>'[1]Activity data'!BO558</f>
        <v>0</v>
      </c>
      <c r="BO38" s="46">
        <f>'[1]Activity data'!BP558</f>
        <v>0</v>
      </c>
      <c r="BP38" s="46">
        <f>'[1]Activity data'!BQ558</f>
        <v>0</v>
      </c>
      <c r="BR38" s="24"/>
    </row>
    <row r="39" spans="1:72" x14ac:dyDescent="0.25">
      <c r="A39" t="str">
        <f t="shared" si="6"/>
        <v>3C Aggregated and non-CO2 emissions on land</v>
      </c>
      <c r="B39" t="str">
        <f t="shared" si="6"/>
        <v>3C1 Biomass burning (CH4)</v>
      </c>
      <c r="C39" t="str">
        <f>'IPCC Categories'!C64</f>
        <v>3C1f Biomass burning in Other lands</v>
      </c>
      <c r="D39" t="s">
        <v>409</v>
      </c>
      <c r="E39" t="str">
        <f t="shared" si="3"/>
        <v>Bare ground - Burnt area</v>
      </c>
      <c r="F39" t="s">
        <v>411</v>
      </c>
      <c r="G39" t="s">
        <v>739</v>
      </c>
      <c r="H39" s="22">
        <v>0</v>
      </c>
      <c r="I39" s="22">
        <v>0</v>
      </c>
      <c r="J39" s="22">
        <v>0</v>
      </c>
      <c r="K39" s="22">
        <v>0</v>
      </c>
      <c r="L39" s="22">
        <v>0</v>
      </c>
      <c r="M39" s="22">
        <v>0</v>
      </c>
      <c r="N39" s="22">
        <v>0</v>
      </c>
      <c r="O39" s="22">
        <v>0</v>
      </c>
      <c r="P39" s="22">
        <v>0</v>
      </c>
      <c r="Q39" s="22">
        <v>0</v>
      </c>
      <c r="R39" s="22">
        <v>0</v>
      </c>
      <c r="S39" s="22">
        <v>0</v>
      </c>
      <c r="T39" s="22">
        <v>0</v>
      </c>
      <c r="U39" s="22">
        <v>0</v>
      </c>
      <c r="V39" s="22">
        <v>0</v>
      </c>
      <c r="W39" s="22">
        <v>0</v>
      </c>
      <c r="X39" s="22">
        <v>0</v>
      </c>
      <c r="Y39" s="22">
        <v>0</v>
      </c>
      <c r="Z39" s="22">
        <v>0</v>
      </c>
      <c r="AA39" s="22">
        <v>0</v>
      </c>
      <c r="AB39" s="22">
        <v>0</v>
      </c>
      <c r="AC39" s="22">
        <v>0</v>
      </c>
      <c r="AD39" s="22">
        <v>0</v>
      </c>
      <c r="AE39" s="22">
        <v>0</v>
      </c>
      <c r="AF39" s="22">
        <v>0</v>
      </c>
      <c r="AG39" s="22">
        <v>0</v>
      </c>
      <c r="AH39" s="22">
        <v>0</v>
      </c>
      <c r="AI39" s="22">
        <v>0</v>
      </c>
      <c r="AJ39" s="46">
        <f>'[1]Activity data'!AK559</f>
        <v>0</v>
      </c>
      <c r="AK39" s="46">
        <f>'[1]Activity data'!AL559</f>
        <v>0</v>
      </c>
      <c r="AL39" s="46">
        <f>'[1]Activity data'!AM559</f>
        <v>0</v>
      </c>
      <c r="AM39" s="46">
        <f>'[1]Activity data'!AN559</f>
        <v>0</v>
      </c>
      <c r="AN39" s="46">
        <f>'[1]Activity data'!AO559</f>
        <v>0</v>
      </c>
      <c r="AO39" s="46">
        <f>'[1]Activity data'!AP559</f>
        <v>0</v>
      </c>
      <c r="AP39" s="46">
        <f>'[1]Activity data'!AQ559</f>
        <v>0</v>
      </c>
      <c r="AQ39" s="46">
        <f>'[1]Activity data'!AR559</f>
        <v>0</v>
      </c>
      <c r="AR39" s="46">
        <f>'[1]Activity data'!AS559</f>
        <v>0</v>
      </c>
      <c r="AS39" s="46">
        <f>'[1]Activity data'!AT559</f>
        <v>0</v>
      </c>
      <c r="AT39" s="46">
        <f>'[1]Activity data'!AU559</f>
        <v>0</v>
      </c>
      <c r="AU39" s="46">
        <f>'[1]Activity data'!AV559</f>
        <v>0</v>
      </c>
      <c r="AV39" s="46">
        <f>'[1]Activity data'!AW559</f>
        <v>0</v>
      </c>
      <c r="AW39" s="46">
        <f>'[1]Activity data'!AX559</f>
        <v>0</v>
      </c>
      <c r="AX39" s="46">
        <f>'[1]Activity data'!AY559</f>
        <v>0</v>
      </c>
      <c r="AY39" s="46">
        <f>'[1]Activity data'!AZ559</f>
        <v>0</v>
      </c>
      <c r="AZ39" s="46">
        <f>'[1]Activity data'!BA559</f>
        <v>0</v>
      </c>
      <c r="BA39" s="46">
        <f>'[1]Activity data'!BB559</f>
        <v>0</v>
      </c>
      <c r="BB39" s="46">
        <f>'[1]Activity data'!BC559</f>
        <v>0</v>
      </c>
      <c r="BC39" s="46">
        <f>'[1]Activity data'!BD559</f>
        <v>0</v>
      </c>
      <c r="BD39" s="46">
        <f>'[1]Activity data'!BE559</f>
        <v>0</v>
      </c>
      <c r="BE39" s="46">
        <f>'[1]Activity data'!BF559</f>
        <v>0</v>
      </c>
      <c r="BF39" s="46">
        <f>'[1]Activity data'!BG559</f>
        <v>0</v>
      </c>
      <c r="BG39" s="46">
        <f>'[1]Activity data'!BH559</f>
        <v>0</v>
      </c>
      <c r="BH39" s="46">
        <f>'[1]Activity data'!BI559</f>
        <v>0</v>
      </c>
      <c r="BI39" s="46">
        <f>'[1]Activity data'!BJ559</f>
        <v>0</v>
      </c>
      <c r="BJ39" s="46">
        <f>'[1]Activity data'!BK559</f>
        <v>0</v>
      </c>
      <c r="BK39" s="46">
        <f>'[1]Activity data'!BL559</f>
        <v>0</v>
      </c>
      <c r="BL39" s="46">
        <f>'[1]Activity data'!BM559</f>
        <v>0</v>
      </c>
      <c r="BM39" s="46">
        <f>'[1]Activity data'!BN559</f>
        <v>0</v>
      </c>
      <c r="BN39" s="46">
        <f>'[1]Activity data'!BO559</f>
        <v>0</v>
      </c>
      <c r="BO39" s="46">
        <f>'[1]Activity data'!BP559</f>
        <v>0</v>
      </c>
      <c r="BP39" s="46">
        <f>'[1]Activity data'!BQ559</f>
        <v>0</v>
      </c>
      <c r="BR39" s="24"/>
    </row>
    <row r="40" spans="1:72" ht="18.75" customHeight="1" x14ac:dyDescent="0.25">
      <c r="A40" s="20" t="s">
        <v>422</v>
      </c>
      <c r="B40" s="20"/>
      <c r="C40" s="20"/>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S40" s="16"/>
      <c r="BT40" s="15"/>
    </row>
    <row r="41" spans="1:72" x14ac:dyDescent="0.25">
      <c r="A41" t="str">
        <f>'IPCC Categories'!A59</f>
        <v>3C Aggregated and non-CO2 emissions on land</v>
      </c>
      <c r="D41" t="s">
        <v>418</v>
      </c>
      <c r="F41" t="s">
        <v>411</v>
      </c>
      <c r="H41" s="22">
        <v>4163000</v>
      </c>
      <c r="I41" s="22">
        <v>3816000</v>
      </c>
      <c r="J41" s="22">
        <v>4173000</v>
      </c>
      <c r="K41" s="22">
        <v>4377000</v>
      </c>
      <c r="L41" s="22">
        <v>4661000</v>
      </c>
      <c r="M41" s="22">
        <v>3526000</v>
      </c>
      <c r="N41" s="22">
        <v>3761000</v>
      </c>
      <c r="O41" s="22">
        <v>4023000</v>
      </c>
      <c r="P41" s="22">
        <v>3560000</v>
      </c>
      <c r="Q41" s="22">
        <v>3567000</v>
      </c>
      <c r="R41" s="22">
        <v>4013000</v>
      </c>
      <c r="S41" s="22">
        <v>3189000</v>
      </c>
      <c r="T41" s="22">
        <v>3533000</v>
      </c>
      <c r="U41" s="22">
        <v>3651000</v>
      </c>
      <c r="V41" s="22">
        <v>3204000</v>
      </c>
      <c r="W41" s="22">
        <v>3223000</v>
      </c>
      <c r="X41" s="22">
        <v>2032000</v>
      </c>
      <c r="Y41" s="22">
        <v>2897000</v>
      </c>
      <c r="Z41" s="22">
        <v>3297000</v>
      </c>
      <c r="AA41" s="22">
        <v>2896000</v>
      </c>
      <c r="AB41" s="22">
        <v>3263000</v>
      </c>
      <c r="AC41" s="22">
        <v>2859000</v>
      </c>
      <c r="AD41" s="22">
        <v>3141000</v>
      </c>
      <c r="AE41" s="22">
        <v>3238000</v>
      </c>
      <c r="AF41" s="22">
        <v>3096000</v>
      </c>
      <c r="AG41" s="22">
        <v>3048000</v>
      </c>
      <c r="AH41" s="22">
        <v>2213000</v>
      </c>
      <c r="AI41" s="22">
        <v>2997000</v>
      </c>
      <c r="AJ41" s="23">
        <f>TREND($H$41:$AI$41,'Intermediate calcs'!$C$34:$AD$34,'Intermediate calcs'!AE$34,TRUE)</f>
        <v>2862985.6866552215</v>
      </c>
      <c r="AK41" s="23">
        <f>TREND($H$41:$AI$41,'Intermediate calcs'!$C$34:$AD$34,'Intermediate calcs'!AF$34,TRUE)</f>
        <v>2831295.6137529211</v>
      </c>
      <c r="AL41" s="23">
        <f>TREND($H$41:$AI$41,'Intermediate calcs'!$C$34:$AD$34,'Intermediate calcs'!AG$34,TRUE)</f>
        <v>2799605.5408506207</v>
      </c>
      <c r="AM41" s="23">
        <f>TREND($H$41:$AI$41,'Intermediate calcs'!$C$34:$AD$34,'Intermediate calcs'!AH$34,TRUE)</f>
        <v>2767484.2325606844</v>
      </c>
      <c r="AN41" s="23">
        <f>TREND($H$41:$AI$41,'Intermediate calcs'!$C$34:$AD$34,'Intermediate calcs'!AI$34,TRUE)</f>
        <v>2735362.9248636579</v>
      </c>
      <c r="AO41" s="23">
        <f>TREND($H$41:$AI$41,'Intermediate calcs'!$C$34:$AD$34,'Intermediate calcs'!AJ$34,TRUE)</f>
        <v>2703241.61716663</v>
      </c>
      <c r="AP41" s="23">
        <f>TREND($H$41:$AI$41,'Intermediate calcs'!$C$34:$AD$34,'Intermediate calcs'!AK$34,TRUE)</f>
        <v>2671120.309469603</v>
      </c>
      <c r="AQ41" s="23">
        <f>TREND($H$41:$AI$41,'Intermediate calcs'!$C$34:$AD$34,'Intermediate calcs'!AL$34,TRUE)</f>
        <v>2638999.0011796677</v>
      </c>
      <c r="AR41" s="23">
        <f>AQ41</f>
        <v>2638999.0011796677</v>
      </c>
      <c r="AS41" s="23">
        <f t="shared" ref="AS41:BP41" si="7">AR41</f>
        <v>2638999.0011796677</v>
      </c>
      <c r="AT41" s="23">
        <f t="shared" si="7"/>
        <v>2638999.0011796677</v>
      </c>
      <c r="AU41" s="23">
        <f t="shared" si="7"/>
        <v>2638999.0011796677</v>
      </c>
      <c r="AV41" s="23">
        <f t="shared" si="7"/>
        <v>2638999.0011796677</v>
      </c>
      <c r="AW41" s="23">
        <f t="shared" si="7"/>
        <v>2638999.0011796677</v>
      </c>
      <c r="AX41" s="23">
        <f t="shared" si="7"/>
        <v>2638999.0011796677</v>
      </c>
      <c r="AY41" s="23">
        <f t="shared" si="7"/>
        <v>2638999.0011796677</v>
      </c>
      <c r="AZ41" s="23">
        <f t="shared" si="7"/>
        <v>2638999.0011796677</v>
      </c>
      <c r="BA41" s="23">
        <f t="shared" si="7"/>
        <v>2638999.0011796677</v>
      </c>
      <c r="BB41" s="23">
        <f t="shared" si="7"/>
        <v>2638999.0011796677</v>
      </c>
      <c r="BC41" s="23">
        <f t="shared" si="7"/>
        <v>2638999.0011796677</v>
      </c>
      <c r="BD41" s="23">
        <f t="shared" si="7"/>
        <v>2638999.0011796677</v>
      </c>
      <c r="BE41" s="23">
        <f t="shared" si="7"/>
        <v>2638999.0011796677</v>
      </c>
      <c r="BF41" s="23">
        <f t="shared" si="7"/>
        <v>2638999.0011796677</v>
      </c>
      <c r="BG41" s="23">
        <f t="shared" si="7"/>
        <v>2638999.0011796677</v>
      </c>
      <c r="BH41" s="23">
        <f t="shared" si="7"/>
        <v>2638999.0011796677</v>
      </c>
      <c r="BI41" s="23">
        <f t="shared" si="7"/>
        <v>2638999.0011796677</v>
      </c>
      <c r="BJ41" s="23">
        <f t="shared" si="7"/>
        <v>2638999.0011796677</v>
      </c>
      <c r="BK41" s="23">
        <f t="shared" si="7"/>
        <v>2638999.0011796677</v>
      </c>
      <c r="BL41" s="23">
        <f t="shared" si="7"/>
        <v>2638999.0011796677</v>
      </c>
      <c r="BM41" s="23">
        <f t="shared" si="7"/>
        <v>2638999.0011796677</v>
      </c>
      <c r="BN41" s="23">
        <f t="shared" si="7"/>
        <v>2638999.0011796677</v>
      </c>
      <c r="BO41" s="23">
        <f t="shared" si="7"/>
        <v>2638999.0011796677</v>
      </c>
      <c r="BP41" s="23">
        <f t="shared" si="7"/>
        <v>2638999.0011796677</v>
      </c>
      <c r="BR41" s="24"/>
    </row>
    <row r="42" spans="1:72" x14ac:dyDescent="0.25">
      <c r="A42" t="str">
        <f>A41</f>
        <v>3C Aggregated and non-CO2 emissions on land</v>
      </c>
      <c r="D42" t="s">
        <v>432</v>
      </c>
      <c r="F42" t="s">
        <v>411</v>
      </c>
      <c r="H42" s="22">
        <v>1563000</v>
      </c>
      <c r="I42" s="22">
        <v>1436000</v>
      </c>
      <c r="J42" s="22">
        <v>750000</v>
      </c>
      <c r="K42" s="22">
        <v>1075000</v>
      </c>
      <c r="L42" s="22">
        <v>1048000</v>
      </c>
      <c r="M42" s="22">
        <v>1363000</v>
      </c>
      <c r="N42" s="22">
        <v>1294000</v>
      </c>
      <c r="O42" s="22">
        <v>1383000</v>
      </c>
      <c r="P42" s="22">
        <v>745000</v>
      </c>
      <c r="Q42" s="22">
        <v>718000</v>
      </c>
      <c r="R42" s="22">
        <v>934000</v>
      </c>
      <c r="S42" s="22">
        <v>974000</v>
      </c>
      <c r="T42" s="22">
        <v>941000</v>
      </c>
      <c r="U42" s="22">
        <v>748000</v>
      </c>
      <c r="V42" s="22">
        <v>830000</v>
      </c>
      <c r="W42" s="22">
        <v>805000</v>
      </c>
      <c r="X42" s="22">
        <v>765000</v>
      </c>
      <c r="Y42" s="22">
        <v>632000</v>
      </c>
      <c r="Z42" s="22">
        <v>748000</v>
      </c>
      <c r="AA42" s="22">
        <v>642000</v>
      </c>
      <c r="AB42" s="22">
        <v>558000</v>
      </c>
      <c r="AC42" s="22">
        <v>605000</v>
      </c>
      <c r="AD42" s="22">
        <v>511000</v>
      </c>
      <c r="AE42" s="23">
        <f>AD42</f>
        <v>511000</v>
      </c>
      <c r="AF42" s="23">
        <f t="shared" ref="AF42:BP42" si="8">AE42</f>
        <v>511000</v>
      </c>
      <c r="AG42" s="23">
        <f t="shared" si="8"/>
        <v>511000</v>
      </c>
      <c r="AH42" s="23">
        <f t="shared" si="8"/>
        <v>511000</v>
      </c>
      <c r="AI42" s="23">
        <f t="shared" si="8"/>
        <v>511000</v>
      </c>
      <c r="AJ42" s="23">
        <f t="shared" si="8"/>
        <v>511000</v>
      </c>
      <c r="AK42" s="23">
        <f t="shared" si="8"/>
        <v>511000</v>
      </c>
      <c r="AL42" s="23">
        <f t="shared" si="8"/>
        <v>511000</v>
      </c>
      <c r="AM42" s="23">
        <f t="shared" si="8"/>
        <v>511000</v>
      </c>
      <c r="AN42" s="23">
        <f t="shared" si="8"/>
        <v>511000</v>
      </c>
      <c r="AO42" s="23">
        <f t="shared" si="8"/>
        <v>511000</v>
      </c>
      <c r="AP42" s="23">
        <f t="shared" si="8"/>
        <v>511000</v>
      </c>
      <c r="AQ42" s="23">
        <f t="shared" si="8"/>
        <v>511000</v>
      </c>
      <c r="AR42" s="23">
        <f t="shared" si="8"/>
        <v>511000</v>
      </c>
      <c r="AS42" s="23">
        <f t="shared" si="8"/>
        <v>511000</v>
      </c>
      <c r="AT42" s="23">
        <f t="shared" si="8"/>
        <v>511000</v>
      </c>
      <c r="AU42" s="23">
        <f t="shared" si="8"/>
        <v>511000</v>
      </c>
      <c r="AV42" s="23">
        <f t="shared" si="8"/>
        <v>511000</v>
      </c>
      <c r="AW42" s="23">
        <f t="shared" si="8"/>
        <v>511000</v>
      </c>
      <c r="AX42" s="23">
        <f t="shared" si="8"/>
        <v>511000</v>
      </c>
      <c r="AY42" s="23">
        <f t="shared" si="8"/>
        <v>511000</v>
      </c>
      <c r="AZ42" s="23">
        <f t="shared" si="8"/>
        <v>511000</v>
      </c>
      <c r="BA42" s="23">
        <f t="shared" si="8"/>
        <v>511000</v>
      </c>
      <c r="BB42" s="23">
        <f t="shared" si="8"/>
        <v>511000</v>
      </c>
      <c r="BC42" s="23">
        <f t="shared" si="8"/>
        <v>511000</v>
      </c>
      <c r="BD42" s="23">
        <f t="shared" si="8"/>
        <v>511000</v>
      </c>
      <c r="BE42" s="23">
        <f t="shared" si="8"/>
        <v>511000</v>
      </c>
      <c r="BF42" s="23">
        <f t="shared" si="8"/>
        <v>511000</v>
      </c>
      <c r="BG42" s="23">
        <f t="shared" si="8"/>
        <v>511000</v>
      </c>
      <c r="BH42" s="23">
        <f t="shared" si="8"/>
        <v>511000</v>
      </c>
      <c r="BI42" s="23">
        <f t="shared" si="8"/>
        <v>511000</v>
      </c>
      <c r="BJ42" s="23">
        <f t="shared" si="8"/>
        <v>511000</v>
      </c>
      <c r="BK42" s="23">
        <f t="shared" si="8"/>
        <v>511000</v>
      </c>
      <c r="BL42" s="23">
        <f t="shared" si="8"/>
        <v>511000</v>
      </c>
      <c r="BM42" s="23">
        <f t="shared" si="8"/>
        <v>511000</v>
      </c>
      <c r="BN42" s="23">
        <f t="shared" si="8"/>
        <v>511000</v>
      </c>
      <c r="BO42" s="23">
        <f t="shared" si="8"/>
        <v>511000</v>
      </c>
      <c r="BP42" s="23">
        <f t="shared" si="8"/>
        <v>511000</v>
      </c>
      <c r="BR42" s="24"/>
    </row>
    <row r="43" spans="1:72" x14ac:dyDescent="0.25">
      <c r="A43" t="str">
        <f>A42</f>
        <v>3C Aggregated and non-CO2 emissions on land</v>
      </c>
      <c r="D43" t="s">
        <v>441</v>
      </c>
      <c r="F43" t="s">
        <v>411</v>
      </c>
      <c r="H43" s="22">
        <v>341000</v>
      </c>
      <c r="I43" s="22">
        <v>302000</v>
      </c>
      <c r="J43" s="22">
        <v>118000</v>
      </c>
      <c r="K43" s="22">
        <v>515368</v>
      </c>
      <c r="L43" s="22">
        <v>520185</v>
      </c>
      <c r="M43" s="22">
        <v>290557</v>
      </c>
      <c r="N43" s="22">
        <v>535839</v>
      </c>
      <c r="O43" s="22">
        <v>433371</v>
      </c>
      <c r="P43" s="22">
        <v>358469</v>
      </c>
      <c r="Q43" s="22">
        <v>223530</v>
      </c>
      <c r="R43" s="22">
        <v>142000</v>
      </c>
      <c r="S43" s="22">
        <v>88000</v>
      </c>
      <c r="T43" s="22">
        <v>75000</v>
      </c>
      <c r="U43" s="22">
        <v>95000</v>
      </c>
      <c r="V43" s="22">
        <v>130000</v>
      </c>
      <c r="W43" s="22">
        <v>86000</v>
      </c>
      <c r="X43" s="22">
        <v>37000</v>
      </c>
      <c r="Y43" s="22">
        <v>69000</v>
      </c>
      <c r="Z43" s="22">
        <v>87000</v>
      </c>
      <c r="AA43" s="22">
        <v>86000</v>
      </c>
      <c r="AB43" s="22">
        <v>87000</v>
      </c>
      <c r="AC43" s="22">
        <v>69000</v>
      </c>
      <c r="AD43" s="22">
        <v>49000</v>
      </c>
      <c r="AE43" s="22">
        <v>63000</v>
      </c>
      <c r="AF43" s="22">
        <v>78750</v>
      </c>
      <c r="AG43" s="22">
        <v>70000</v>
      </c>
      <c r="AH43" s="22">
        <v>48000</v>
      </c>
      <c r="AI43" s="22">
        <v>42000</v>
      </c>
      <c r="AJ43" s="23">
        <f>TREND($R$43:$AI$43,'Intermediate calcs'!$M$41:$AD$41,'Intermediate calcs'!AE$41,TRUE)</f>
        <v>68519.548290810228</v>
      </c>
      <c r="AK43" s="23">
        <f>TREND($R$43:$AI$43,'Intermediate calcs'!$M$41:$AD$41,'Intermediate calcs'!AF$41,TRUE)</f>
        <v>69625.578481202421</v>
      </c>
      <c r="AL43" s="23">
        <f>TREND($R$43:$AI$43,'Intermediate calcs'!$M$41:$AD$41,'Intermediate calcs'!AG$41,TRUE)</f>
        <v>76721.026403387878</v>
      </c>
      <c r="AM43" s="23">
        <f>TREND($R$43:$AI$43,'Intermediate calcs'!$M$41:$AD$41,'Intermediate calcs'!AH$41,TRUE)</f>
        <v>76957.738515266363</v>
      </c>
      <c r="AN43" s="23">
        <f>TREND($R$43:$AI$43,'Intermediate calcs'!$M$41:$AD$41,'Intermediate calcs'!AI$41,TRUE)</f>
        <v>77255.334507841864</v>
      </c>
      <c r="AO43" s="23">
        <f>TREND($R$43:$AI$43,'Intermediate calcs'!$M$41:$AD$41,'Intermediate calcs'!AJ$41,TRUE)</f>
        <v>77539.263727795376</v>
      </c>
      <c r="AP43" s="23">
        <f>TREND($R$43:$AI$43,'Intermediate calcs'!$M$41:$AD$41,'Intermediate calcs'!AK$41,TRUE)</f>
        <v>77875.605509351706</v>
      </c>
      <c r="AQ43" s="23">
        <f>TREND($R$43:$AI$43,'Intermediate calcs'!$M$41:$AD$41,'Intermediate calcs'!AL$41,TRUE)</f>
        <v>78151.154149763606</v>
      </c>
      <c r="AR43" s="23">
        <f>TREND($R$43:$AI$43,'Intermediate calcs'!$M$41:$AD$41,'Intermediate calcs'!AM$41,TRUE)</f>
        <v>78295.416811124422</v>
      </c>
      <c r="AS43" s="23">
        <f>TREND($R$43:$AI$43,'Intermediate calcs'!$M$41:$AD$41,'Intermediate calcs'!AN$41,TRUE)</f>
        <v>78455.798539683863</v>
      </c>
      <c r="AT43" s="23">
        <f>TREND($R$43:$AI$43,'Intermediate calcs'!$M$41:$AD$41,'Intermediate calcs'!AO$41,TRUE)</f>
        <v>78533.891127267256</v>
      </c>
      <c r="AU43" s="23">
        <f>TREND($R$43:$AI$43,'Intermediate calcs'!$M$41:$AD$41,'Intermediate calcs'!AP$41,TRUE)</f>
        <v>78550.881096090481</v>
      </c>
      <c r="AV43" s="23">
        <f>TREND($R$43:$AI$43,'Intermediate calcs'!$M$41:$AD$41,'Intermediate calcs'!AQ$41,TRUE)</f>
        <v>78501.191453648353</v>
      </c>
      <c r="AW43" s="23">
        <f>TREND($R$43:$AI$43,'Intermediate calcs'!$M$41:$AD$41,'Intermediate calcs'!AR$41,TRUE)</f>
        <v>77995.216931356117</v>
      </c>
      <c r="AX43" s="23">
        <f>TREND($R$43:$AI$43,'Intermediate calcs'!$M$41:$AD$41,'Intermediate calcs'!AS$41,TRUE)</f>
        <v>77598.865062809025</v>
      </c>
      <c r="AY43" s="23">
        <f>TREND($R$43:$AI$43,'Intermediate calcs'!$M$41:$AD$41,'Intermediate calcs'!AT$41,TRUE)</f>
        <v>76955.259579046135</v>
      </c>
      <c r="AZ43" s="23">
        <f>TREND($R$43:$AI$43,'Intermediate calcs'!$M$41:$AD$41,'Intermediate calcs'!AU$41,TRUE)</f>
        <v>76138.802194979071</v>
      </c>
      <c r="BA43" s="23">
        <f>TREND($R$43:$AI$43,'Intermediate calcs'!$M$41:$AD$41,'Intermediate calcs'!AV$41,TRUE)</f>
        <v>75140.137462539045</v>
      </c>
      <c r="BB43" s="23">
        <f>TREND($R$43:$AI$43,'Intermediate calcs'!$M$41:$AD$41,'Intermediate calcs'!AW$41,TRUE)</f>
        <v>74130.130967542267</v>
      </c>
      <c r="BC43" s="23">
        <f>TREND($R$43:$AI$43,'Intermediate calcs'!$M$41:$AD$41,'Intermediate calcs'!AX$41,TRUE)</f>
        <v>72994.796863751792</v>
      </c>
      <c r="BD43" s="23">
        <f>TREND($R$43:$AI$43,'Intermediate calcs'!$M$41:$AD$41,'Intermediate calcs'!AY$41,TRUE)</f>
        <v>71812.904030357226</v>
      </c>
      <c r="BE43" s="23">
        <f>TREND($R$43:$AI$43,'Intermediate calcs'!$M$41:$AD$41,'Intermediate calcs'!AZ$41,TRUE)</f>
        <v>70504.501679804103</v>
      </c>
      <c r="BF43" s="23">
        <f>TREND($R$43:$AI$43,'Intermediate calcs'!$M$41:$AD$41,'Intermediate calcs'!BA$41,TRUE)</f>
        <v>68998.796641965688</v>
      </c>
      <c r="BG43" s="23">
        <f>TREND($R$43:$AI$43,'Intermediate calcs'!$M$41:$AD$41,'Intermediate calcs'!BB$41,TRUE)</f>
        <v>67622.784962927457</v>
      </c>
      <c r="BH43" s="23">
        <f>TREND($R$43:$AI$43,'Intermediate calcs'!$M$41:$AD$41,'Intermediate calcs'!BC$41,TRUE)</f>
        <v>66095.310324802893</v>
      </c>
      <c r="BI43" s="23">
        <f>TREND($R$43:$AI$43,'Intermediate calcs'!$M$41:$AD$41,'Intermediate calcs'!BD$41,TRUE)</f>
        <v>64425.007009974317</v>
      </c>
      <c r="BJ43" s="23">
        <f>TREND($R$43:$AI$43,'Intermediate calcs'!$M$41:$AD$41,'Intermediate calcs'!BE$41,TRUE)</f>
        <v>62590.562824370529</v>
      </c>
      <c r="BK43" s="23">
        <f>TREND($R$43:$AI$43,'Intermediate calcs'!$M$41:$AD$41,'Intermediate calcs'!BF$41,TRUE)</f>
        <v>60507.480631234415</v>
      </c>
      <c r="BL43" s="23">
        <f>TREND($R$43:$AI$43,'Intermediate calcs'!$M$41:$AD$41,'Intermediate calcs'!BG$41,TRUE)</f>
        <v>58136.455860168615</v>
      </c>
      <c r="BM43" s="23">
        <f>TREND($R$43:$AI$43,'Intermediate calcs'!$M$41:$AD$41,'Intermediate calcs'!BH$41,TRUE)</f>
        <v>55551.048426022724</v>
      </c>
      <c r="BN43" s="23">
        <f>TREND($R$43:$AI$43,'Intermediate calcs'!$M$41:$AD$41,'Intermediate calcs'!BI$41,TRUE)</f>
        <v>52911.881329390322</v>
      </c>
      <c r="BO43" s="23">
        <f>TREND($R$43:$AI$43,'Intermediate calcs'!$M$41:$AD$41,'Intermediate calcs'!BJ$41,TRUE)</f>
        <v>50038.901639660457</v>
      </c>
      <c r="BP43" s="23">
        <f>TREND($R$43:$AI$43,'Intermediate calcs'!$M$41:$AD$41,'Intermediate calcs'!BK$41,TRUE)</f>
        <v>46912.598058833362</v>
      </c>
      <c r="BR43" s="24"/>
    </row>
    <row r="44" spans="1:72" ht="18.75" customHeight="1" x14ac:dyDescent="0.25">
      <c r="A44" s="20" t="s">
        <v>445</v>
      </c>
      <c r="B44" s="20"/>
      <c r="C44" s="20"/>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S44" s="16"/>
      <c r="BT44" s="15"/>
    </row>
    <row r="45" spans="1:72" x14ac:dyDescent="0.25">
      <c r="A45" t="str">
        <f>'IPCC Categories'!A59</f>
        <v>3C Aggregated and non-CO2 emissions on land</v>
      </c>
      <c r="B45" t="str">
        <f>'IPCC Categories'!B71</f>
        <v>3C2 Liming (CO2)</v>
      </c>
      <c r="C45" t="s">
        <v>456</v>
      </c>
      <c r="D45" t="s">
        <v>448</v>
      </c>
      <c r="E45" t="str">
        <f>C45&amp;D45</f>
        <v>Lime consumption - total</v>
      </c>
      <c r="F45" t="s">
        <v>327</v>
      </c>
      <c r="H45" s="22">
        <v>780000</v>
      </c>
      <c r="I45" s="22">
        <v>825000</v>
      </c>
      <c r="J45" s="22">
        <v>570000</v>
      </c>
      <c r="K45" s="22">
        <v>900000</v>
      </c>
      <c r="L45" s="22">
        <v>1299451</v>
      </c>
      <c r="M45" s="22">
        <v>1032745</v>
      </c>
      <c r="N45" s="22">
        <v>1263570</v>
      </c>
      <c r="O45" s="22">
        <v>1193985</v>
      </c>
      <c r="P45" s="22">
        <v>1244321</v>
      </c>
      <c r="Q45" s="22">
        <v>1237174</v>
      </c>
      <c r="R45" s="22">
        <v>825252</v>
      </c>
      <c r="S45" s="22">
        <v>1068357</v>
      </c>
      <c r="T45" s="22">
        <v>1467915</v>
      </c>
      <c r="U45" s="22">
        <v>1265742</v>
      </c>
      <c r="V45" s="22">
        <v>1264888</v>
      </c>
      <c r="W45" s="22">
        <v>580444</v>
      </c>
      <c r="X45" s="22">
        <v>963118</v>
      </c>
      <c r="Y45" s="22">
        <v>1137646</v>
      </c>
      <c r="Z45" s="22">
        <v>1429803</v>
      </c>
      <c r="AA45" s="22">
        <v>1517602.3688259386</v>
      </c>
      <c r="AB45" s="22">
        <v>1425245.0325037544</v>
      </c>
      <c r="AC45" s="22">
        <v>1576608.4448095565</v>
      </c>
      <c r="AD45" s="22">
        <v>1810067.2671795222</v>
      </c>
      <c r="AE45" s="22">
        <v>1635614.5207931739</v>
      </c>
      <c r="AF45" s="22">
        <v>1686924.1520832763</v>
      </c>
      <c r="AG45" s="22">
        <v>1702317.0414703069</v>
      </c>
      <c r="AH45" s="22">
        <v>2143579.8705651872</v>
      </c>
      <c r="AI45" s="22">
        <v>2657958.9242484635</v>
      </c>
      <c r="AJ45" s="23">
        <f>TREND($H$45:$AI$45,$H$41:$AI$41,AJ$41,TRUE)</f>
        <v>1502711.7781293734</v>
      </c>
      <c r="AK45" s="23">
        <f t="shared" ref="AK45:BP45" si="9">TREND($H$45:$AI$45,$H$41:$AI$41,AK$41,TRUE)</f>
        <v>1514285.1157511021</v>
      </c>
      <c r="AL45" s="23">
        <f t="shared" si="9"/>
        <v>1525858.4533728305</v>
      </c>
      <c r="AM45" s="23">
        <f t="shared" si="9"/>
        <v>1537589.2798318658</v>
      </c>
      <c r="AN45" s="23">
        <f t="shared" si="9"/>
        <v>1549320.1060743679</v>
      </c>
      <c r="AO45" s="23">
        <f t="shared" si="9"/>
        <v>1561050.9323168707</v>
      </c>
      <c r="AP45" s="23">
        <f t="shared" si="9"/>
        <v>1572781.7585593732</v>
      </c>
      <c r="AQ45" s="23">
        <f t="shared" si="9"/>
        <v>1584512.585018408</v>
      </c>
      <c r="AR45" s="23">
        <f t="shared" si="9"/>
        <v>1584512.585018408</v>
      </c>
      <c r="AS45" s="23">
        <f t="shared" si="9"/>
        <v>1584512.585018408</v>
      </c>
      <c r="AT45" s="23">
        <f t="shared" si="9"/>
        <v>1584512.585018408</v>
      </c>
      <c r="AU45" s="23">
        <f t="shared" si="9"/>
        <v>1584512.585018408</v>
      </c>
      <c r="AV45" s="23">
        <f t="shared" si="9"/>
        <v>1584512.585018408</v>
      </c>
      <c r="AW45" s="23">
        <f t="shared" si="9"/>
        <v>1584512.585018408</v>
      </c>
      <c r="AX45" s="23">
        <f t="shared" si="9"/>
        <v>1584512.585018408</v>
      </c>
      <c r="AY45" s="23">
        <f t="shared" si="9"/>
        <v>1584512.585018408</v>
      </c>
      <c r="AZ45" s="23">
        <f t="shared" si="9"/>
        <v>1584512.585018408</v>
      </c>
      <c r="BA45" s="23">
        <f t="shared" si="9"/>
        <v>1584512.585018408</v>
      </c>
      <c r="BB45" s="23">
        <f t="shared" si="9"/>
        <v>1584512.585018408</v>
      </c>
      <c r="BC45" s="23">
        <f t="shared" si="9"/>
        <v>1584512.585018408</v>
      </c>
      <c r="BD45" s="23">
        <f t="shared" si="9"/>
        <v>1584512.585018408</v>
      </c>
      <c r="BE45" s="23">
        <f t="shared" si="9"/>
        <v>1584512.585018408</v>
      </c>
      <c r="BF45" s="23">
        <f t="shared" si="9"/>
        <v>1584512.585018408</v>
      </c>
      <c r="BG45" s="23">
        <f t="shared" si="9"/>
        <v>1584512.585018408</v>
      </c>
      <c r="BH45" s="23">
        <f t="shared" si="9"/>
        <v>1584512.585018408</v>
      </c>
      <c r="BI45" s="23">
        <f t="shared" si="9"/>
        <v>1584512.585018408</v>
      </c>
      <c r="BJ45" s="23">
        <f t="shared" si="9"/>
        <v>1584512.585018408</v>
      </c>
      <c r="BK45" s="23">
        <f t="shared" si="9"/>
        <v>1584512.585018408</v>
      </c>
      <c r="BL45" s="23">
        <f t="shared" si="9"/>
        <v>1584512.585018408</v>
      </c>
      <c r="BM45" s="23">
        <f t="shared" si="9"/>
        <v>1584512.585018408</v>
      </c>
      <c r="BN45" s="23">
        <f t="shared" si="9"/>
        <v>1584512.585018408</v>
      </c>
      <c r="BO45" s="23">
        <f t="shared" si="9"/>
        <v>1584512.585018408</v>
      </c>
      <c r="BP45" s="23">
        <f t="shared" si="9"/>
        <v>1584512.585018408</v>
      </c>
      <c r="BR45" s="24"/>
    </row>
    <row r="46" spans="1:72" x14ac:dyDescent="0.25">
      <c r="A46" t="str">
        <f>A45</f>
        <v>3C Aggregated and non-CO2 emissions on land</v>
      </c>
      <c r="B46" t="str">
        <f>'IPCC Categories'!B72</f>
        <v>3C3 Urea application (CO2)</v>
      </c>
      <c r="C46" t="s">
        <v>118</v>
      </c>
      <c r="D46" t="s">
        <v>448</v>
      </c>
      <c r="E46" t="str">
        <f>C46&amp;D46</f>
        <v>Urea application - total</v>
      </c>
      <c r="F46" t="s">
        <v>327</v>
      </c>
      <c r="H46" s="22">
        <v>124083.5011138469</v>
      </c>
      <c r="I46" s="22">
        <v>152218.50271143019</v>
      </c>
      <c r="J46" s="22">
        <v>180353.50430901349</v>
      </c>
      <c r="K46" s="22">
        <v>208488.50590658933</v>
      </c>
      <c r="L46" s="22">
        <v>236623.50750417262</v>
      </c>
      <c r="M46" s="22">
        <v>264758.50910175592</v>
      </c>
      <c r="N46" s="22">
        <v>292893.51069933921</v>
      </c>
      <c r="O46" s="22">
        <v>321028.5122969225</v>
      </c>
      <c r="P46" s="22">
        <v>349163.5138945058</v>
      </c>
      <c r="Q46" s="22">
        <v>377298.51549208909</v>
      </c>
      <c r="R46" s="22">
        <v>405433.51708967239</v>
      </c>
      <c r="S46" s="22">
        <v>433568.51868725568</v>
      </c>
      <c r="T46" s="22">
        <v>461703.52028483152</v>
      </c>
      <c r="U46" s="22">
        <v>489838.52188241482</v>
      </c>
      <c r="V46" s="22">
        <v>594407</v>
      </c>
      <c r="W46" s="22">
        <v>484209</v>
      </c>
      <c r="X46" s="22">
        <v>536026</v>
      </c>
      <c r="Y46" s="22">
        <v>660755</v>
      </c>
      <c r="Z46" s="22">
        <v>654808</v>
      </c>
      <c r="AA46" s="22">
        <v>518924</v>
      </c>
      <c r="AB46" s="22">
        <v>683837</v>
      </c>
      <c r="AC46" s="22">
        <v>778897</v>
      </c>
      <c r="AD46" s="22">
        <v>800756</v>
      </c>
      <c r="AE46" s="22">
        <v>726904.59500000009</v>
      </c>
      <c r="AF46" s="22">
        <v>905143.08</v>
      </c>
      <c r="AG46" s="22">
        <v>662862.79909999995</v>
      </c>
      <c r="AH46" s="22">
        <v>877638</v>
      </c>
      <c r="AI46" s="22">
        <v>926747</v>
      </c>
      <c r="AJ46" s="23">
        <f>TREND($H$46:$AI$46,$H$47:$AI$47,AJ$47,TRUE)</f>
        <v>568790.89420828503</v>
      </c>
      <c r="AK46" s="23">
        <f t="shared" ref="AK46:BP46" si="10">TREND($H$46:$AI$46,$H$47:$AI$47,AK$47,TRUE)</f>
        <v>572565.38210806041</v>
      </c>
      <c r="AL46" s="23">
        <f t="shared" si="10"/>
        <v>576339.87000783626</v>
      </c>
      <c r="AM46" s="23">
        <f t="shared" si="10"/>
        <v>580165.72076681373</v>
      </c>
      <c r="AN46" s="23">
        <f t="shared" si="10"/>
        <v>583991.5714551725</v>
      </c>
      <c r="AO46" s="23">
        <f t="shared" si="10"/>
        <v>587817.42214353103</v>
      </c>
      <c r="AP46" s="23">
        <f t="shared" si="10"/>
        <v>591643.27283188957</v>
      </c>
      <c r="AQ46" s="23">
        <f t="shared" si="10"/>
        <v>595469.12359086704</v>
      </c>
      <c r="AR46" s="23">
        <f t="shared" si="10"/>
        <v>595469.12359086704</v>
      </c>
      <c r="AS46" s="23">
        <f t="shared" si="10"/>
        <v>595469.12359086704</v>
      </c>
      <c r="AT46" s="23">
        <f t="shared" si="10"/>
        <v>595469.12359086704</v>
      </c>
      <c r="AU46" s="23">
        <f t="shared" si="10"/>
        <v>595469.12359086704</v>
      </c>
      <c r="AV46" s="23">
        <f t="shared" si="10"/>
        <v>595469.12359086704</v>
      </c>
      <c r="AW46" s="23">
        <f t="shared" si="10"/>
        <v>595469.12359086704</v>
      </c>
      <c r="AX46" s="23">
        <f t="shared" si="10"/>
        <v>595469.12359086704</v>
      </c>
      <c r="AY46" s="23">
        <f t="shared" si="10"/>
        <v>595469.12359086704</v>
      </c>
      <c r="AZ46" s="23">
        <f t="shared" si="10"/>
        <v>595469.12359086704</v>
      </c>
      <c r="BA46" s="23">
        <f t="shared" si="10"/>
        <v>595469.12359086704</v>
      </c>
      <c r="BB46" s="23">
        <f t="shared" si="10"/>
        <v>595469.12359086704</v>
      </c>
      <c r="BC46" s="23">
        <f t="shared" si="10"/>
        <v>595469.12359086704</v>
      </c>
      <c r="BD46" s="23">
        <f t="shared" si="10"/>
        <v>595469.12359086704</v>
      </c>
      <c r="BE46" s="23">
        <f t="shared" si="10"/>
        <v>595469.12359086704</v>
      </c>
      <c r="BF46" s="23">
        <f t="shared" si="10"/>
        <v>595469.12359086704</v>
      </c>
      <c r="BG46" s="23">
        <f t="shared" si="10"/>
        <v>595469.12359086704</v>
      </c>
      <c r="BH46" s="23">
        <f t="shared" si="10"/>
        <v>595469.12359086704</v>
      </c>
      <c r="BI46" s="23">
        <f t="shared" si="10"/>
        <v>595469.12359086704</v>
      </c>
      <c r="BJ46" s="23">
        <f t="shared" si="10"/>
        <v>595469.12359086704</v>
      </c>
      <c r="BK46" s="23">
        <f t="shared" si="10"/>
        <v>595469.12359086704</v>
      </c>
      <c r="BL46" s="23">
        <f t="shared" si="10"/>
        <v>595469.12359086704</v>
      </c>
      <c r="BM46" s="23">
        <f t="shared" si="10"/>
        <v>595469.12359086704</v>
      </c>
      <c r="BN46" s="23">
        <f t="shared" si="10"/>
        <v>595469.12359086704</v>
      </c>
      <c r="BO46" s="23">
        <f t="shared" si="10"/>
        <v>595469.12359086704</v>
      </c>
      <c r="BP46" s="23">
        <f t="shared" si="10"/>
        <v>595469.12359086704</v>
      </c>
      <c r="BR46" s="24"/>
    </row>
    <row r="47" spans="1:72" x14ac:dyDescent="0.25">
      <c r="A47" t="str">
        <f>A45</f>
        <v>3C Aggregated and non-CO2 emissions on land</v>
      </c>
      <c r="B47" t="str">
        <f>'IPCC Categories'!B73</f>
        <v>3C4 Direct N2O from managed soils (N2O)</v>
      </c>
      <c r="C47" t="s">
        <v>457</v>
      </c>
      <c r="D47" t="s">
        <v>448</v>
      </c>
      <c r="E47" t="str">
        <f>C47&amp;D47</f>
        <v>Inorganic N application - total</v>
      </c>
      <c r="F47" t="s">
        <v>327</v>
      </c>
      <c r="H47" s="22">
        <v>343689</v>
      </c>
      <c r="I47" s="22">
        <v>365035</v>
      </c>
      <c r="J47" s="22">
        <v>347525</v>
      </c>
      <c r="K47" s="22">
        <v>408459</v>
      </c>
      <c r="L47" s="22">
        <v>375066</v>
      </c>
      <c r="M47" s="22">
        <v>371491</v>
      </c>
      <c r="N47" s="22">
        <v>415084</v>
      </c>
      <c r="O47" s="22">
        <v>406914</v>
      </c>
      <c r="P47" s="22">
        <v>415521</v>
      </c>
      <c r="Q47" s="22">
        <v>413045</v>
      </c>
      <c r="R47" s="22">
        <v>415933</v>
      </c>
      <c r="S47" s="22">
        <v>395813</v>
      </c>
      <c r="T47" s="22">
        <v>477072</v>
      </c>
      <c r="U47" s="22">
        <v>420827</v>
      </c>
      <c r="V47" s="22">
        <v>427571</v>
      </c>
      <c r="W47" s="22">
        <v>347260</v>
      </c>
      <c r="X47" s="22">
        <v>428719</v>
      </c>
      <c r="Y47" s="22">
        <v>439480</v>
      </c>
      <c r="Z47" s="22">
        <v>424123</v>
      </c>
      <c r="AA47" s="22">
        <v>453777</v>
      </c>
      <c r="AB47" s="22">
        <v>395000</v>
      </c>
      <c r="AC47" s="22">
        <v>419000</v>
      </c>
      <c r="AD47" s="22">
        <v>430000</v>
      </c>
      <c r="AE47" s="22">
        <v>416500</v>
      </c>
      <c r="AF47" s="22">
        <v>447547</v>
      </c>
      <c r="AG47" s="22">
        <v>402792</v>
      </c>
      <c r="AH47" s="22">
        <v>430000</v>
      </c>
      <c r="AI47" s="22">
        <v>442900</v>
      </c>
      <c r="AJ47" s="23">
        <f>TREND($H$47:$AI$47,$H$41:$AI$41,AJ$41,TRUE)</f>
        <v>424539.78744507203</v>
      </c>
      <c r="AK47" s="23">
        <f t="shared" ref="AK47:BP47" si="11">TREND($H$47:$AI$47,$H$41:$AI$41,AK$41,TRUE)</f>
        <v>425393.6103190498</v>
      </c>
      <c r="AL47" s="23">
        <f t="shared" si="11"/>
        <v>426247.43319302762</v>
      </c>
      <c r="AM47" s="23">
        <f t="shared" si="11"/>
        <v>427112.87480449351</v>
      </c>
      <c r="AN47" s="23">
        <f t="shared" si="11"/>
        <v>427978.31639998476</v>
      </c>
      <c r="AO47" s="23">
        <f t="shared" si="11"/>
        <v>428843.75799547601</v>
      </c>
      <c r="AP47" s="23">
        <f t="shared" si="11"/>
        <v>429709.19959096727</v>
      </c>
      <c r="AQ47" s="23">
        <f t="shared" si="11"/>
        <v>430574.64120243315</v>
      </c>
      <c r="AR47" s="23">
        <f t="shared" si="11"/>
        <v>430574.64120243315</v>
      </c>
      <c r="AS47" s="23">
        <f t="shared" si="11"/>
        <v>430574.64120243315</v>
      </c>
      <c r="AT47" s="23">
        <f t="shared" si="11"/>
        <v>430574.64120243315</v>
      </c>
      <c r="AU47" s="23">
        <f t="shared" si="11"/>
        <v>430574.64120243315</v>
      </c>
      <c r="AV47" s="23">
        <f t="shared" si="11"/>
        <v>430574.64120243315</v>
      </c>
      <c r="AW47" s="23">
        <f t="shared" si="11"/>
        <v>430574.64120243315</v>
      </c>
      <c r="AX47" s="23">
        <f t="shared" si="11"/>
        <v>430574.64120243315</v>
      </c>
      <c r="AY47" s="23">
        <f t="shared" si="11"/>
        <v>430574.64120243315</v>
      </c>
      <c r="AZ47" s="23">
        <f t="shared" si="11"/>
        <v>430574.64120243315</v>
      </c>
      <c r="BA47" s="23">
        <f t="shared" si="11"/>
        <v>430574.64120243315</v>
      </c>
      <c r="BB47" s="23">
        <f t="shared" si="11"/>
        <v>430574.64120243315</v>
      </c>
      <c r="BC47" s="23">
        <f t="shared" si="11"/>
        <v>430574.64120243315</v>
      </c>
      <c r="BD47" s="23">
        <f t="shared" si="11"/>
        <v>430574.64120243315</v>
      </c>
      <c r="BE47" s="23">
        <f t="shared" si="11"/>
        <v>430574.64120243315</v>
      </c>
      <c r="BF47" s="23">
        <f t="shared" si="11"/>
        <v>430574.64120243315</v>
      </c>
      <c r="BG47" s="23">
        <f t="shared" si="11"/>
        <v>430574.64120243315</v>
      </c>
      <c r="BH47" s="23">
        <f t="shared" si="11"/>
        <v>430574.64120243315</v>
      </c>
      <c r="BI47" s="23">
        <f t="shared" si="11"/>
        <v>430574.64120243315</v>
      </c>
      <c r="BJ47" s="23">
        <f t="shared" si="11"/>
        <v>430574.64120243315</v>
      </c>
      <c r="BK47" s="23">
        <f t="shared" si="11"/>
        <v>430574.64120243315</v>
      </c>
      <c r="BL47" s="23">
        <f t="shared" si="11"/>
        <v>430574.64120243315</v>
      </c>
      <c r="BM47" s="23">
        <f t="shared" si="11"/>
        <v>430574.64120243315</v>
      </c>
      <c r="BN47" s="23">
        <f t="shared" si="11"/>
        <v>430574.64120243315</v>
      </c>
      <c r="BO47" s="23">
        <f t="shared" si="11"/>
        <v>430574.64120243315</v>
      </c>
      <c r="BP47" s="23">
        <f t="shared" si="11"/>
        <v>430574.64120243315</v>
      </c>
      <c r="BR47" s="24"/>
    </row>
    <row r="48" spans="1:72" x14ac:dyDescent="0.25">
      <c r="A48" t="str">
        <f>A47</f>
        <v>3C Aggregated and non-CO2 emissions on land</v>
      </c>
      <c r="B48" t="str">
        <f>B47</f>
        <v>3C4 Direct N2O from managed soils (N2O)</v>
      </c>
      <c r="C48" t="s">
        <v>465</v>
      </c>
      <c r="D48" t="s">
        <v>448</v>
      </c>
      <c r="E48" t="str">
        <f>C48&amp;D48</f>
        <v>Compost N - total</v>
      </c>
      <c r="F48" t="s">
        <v>327</v>
      </c>
      <c r="H48" s="23">
        <f t="shared" ref="H48:AM48" si="12">H47*0.05*0.33*0.8*0.5</f>
        <v>2268.3474000000001</v>
      </c>
      <c r="I48" s="23">
        <f t="shared" si="12"/>
        <v>2409.2310000000002</v>
      </c>
      <c r="J48" s="23">
        <f t="shared" si="12"/>
        <v>2293.6650000000004</v>
      </c>
      <c r="K48" s="23">
        <f t="shared" si="12"/>
        <v>2695.8294000000005</v>
      </c>
      <c r="L48" s="23">
        <f t="shared" si="12"/>
        <v>2475.4356000000002</v>
      </c>
      <c r="M48" s="23">
        <f t="shared" si="12"/>
        <v>2451.8406</v>
      </c>
      <c r="N48" s="23">
        <f t="shared" si="12"/>
        <v>2739.5544000000004</v>
      </c>
      <c r="O48" s="23">
        <f t="shared" si="12"/>
        <v>2685.6324000000004</v>
      </c>
      <c r="P48" s="23">
        <f t="shared" si="12"/>
        <v>2742.4386000000009</v>
      </c>
      <c r="Q48" s="23">
        <f t="shared" si="12"/>
        <v>2726.0970000000002</v>
      </c>
      <c r="R48" s="23">
        <f t="shared" si="12"/>
        <v>2745.1578000000009</v>
      </c>
      <c r="S48" s="23">
        <f t="shared" si="12"/>
        <v>2612.3658000000005</v>
      </c>
      <c r="T48" s="23">
        <f t="shared" si="12"/>
        <v>3148.6752000000006</v>
      </c>
      <c r="U48" s="23">
        <f t="shared" si="12"/>
        <v>2777.4582000000009</v>
      </c>
      <c r="V48" s="23">
        <f t="shared" si="12"/>
        <v>2821.9686000000006</v>
      </c>
      <c r="W48" s="23">
        <f t="shared" si="12"/>
        <v>2291.9160000000002</v>
      </c>
      <c r="X48" s="23">
        <f t="shared" si="12"/>
        <v>2829.5454000000004</v>
      </c>
      <c r="Y48" s="23">
        <f t="shared" si="12"/>
        <v>2900.5680000000002</v>
      </c>
      <c r="Z48" s="23">
        <f t="shared" si="12"/>
        <v>2799.2118000000005</v>
      </c>
      <c r="AA48" s="23">
        <f t="shared" si="12"/>
        <v>2994.9282000000003</v>
      </c>
      <c r="AB48" s="23">
        <f t="shared" si="12"/>
        <v>2607</v>
      </c>
      <c r="AC48" s="23">
        <f t="shared" si="12"/>
        <v>2765.4</v>
      </c>
      <c r="AD48" s="23">
        <f t="shared" si="12"/>
        <v>2838</v>
      </c>
      <c r="AE48" s="23">
        <f t="shared" si="12"/>
        <v>2748.9</v>
      </c>
      <c r="AF48" s="23">
        <f t="shared" si="12"/>
        <v>2953.8102000000003</v>
      </c>
      <c r="AG48" s="23">
        <f t="shared" si="12"/>
        <v>2658.4272000000005</v>
      </c>
      <c r="AH48" s="23">
        <f t="shared" si="12"/>
        <v>2838</v>
      </c>
      <c r="AI48" s="23">
        <f t="shared" si="12"/>
        <v>2923.1400000000003</v>
      </c>
      <c r="AJ48" s="23">
        <f t="shared" si="12"/>
        <v>2801.9625971374758</v>
      </c>
      <c r="AK48" s="23">
        <f t="shared" si="12"/>
        <v>2807.5978281057291</v>
      </c>
      <c r="AL48" s="23">
        <f t="shared" si="12"/>
        <v>2813.233059073983</v>
      </c>
      <c r="AM48" s="23">
        <f t="shared" si="12"/>
        <v>2818.9449737096579</v>
      </c>
      <c r="AN48" s="23">
        <f t="shared" ref="AN48:BP48" si="13">AN47*0.05*0.33*0.8*0.5</f>
        <v>2824.6568882398997</v>
      </c>
      <c r="AO48" s="23">
        <f t="shared" si="13"/>
        <v>2830.3688027701423</v>
      </c>
      <c r="AP48" s="23">
        <f t="shared" si="13"/>
        <v>2836.080717300385</v>
      </c>
      <c r="AQ48" s="23">
        <f t="shared" si="13"/>
        <v>2841.7926319360595</v>
      </c>
      <c r="AR48" s="23">
        <f t="shared" si="13"/>
        <v>2841.7926319360595</v>
      </c>
      <c r="AS48" s="23">
        <f t="shared" si="13"/>
        <v>2841.7926319360595</v>
      </c>
      <c r="AT48" s="23">
        <f t="shared" si="13"/>
        <v>2841.7926319360595</v>
      </c>
      <c r="AU48" s="23">
        <f t="shared" si="13"/>
        <v>2841.7926319360595</v>
      </c>
      <c r="AV48" s="23">
        <f t="shared" si="13"/>
        <v>2841.7926319360595</v>
      </c>
      <c r="AW48" s="23">
        <f t="shared" si="13"/>
        <v>2841.7926319360595</v>
      </c>
      <c r="AX48" s="23">
        <f t="shared" si="13"/>
        <v>2841.7926319360595</v>
      </c>
      <c r="AY48" s="23">
        <f t="shared" si="13"/>
        <v>2841.7926319360595</v>
      </c>
      <c r="AZ48" s="23">
        <f t="shared" si="13"/>
        <v>2841.7926319360595</v>
      </c>
      <c r="BA48" s="23">
        <f t="shared" si="13"/>
        <v>2841.7926319360595</v>
      </c>
      <c r="BB48" s="23">
        <f t="shared" si="13"/>
        <v>2841.7926319360595</v>
      </c>
      <c r="BC48" s="23">
        <f t="shared" si="13"/>
        <v>2841.7926319360595</v>
      </c>
      <c r="BD48" s="23">
        <f t="shared" si="13"/>
        <v>2841.7926319360595</v>
      </c>
      <c r="BE48" s="23">
        <f t="shared" si="13"/>
        <v>2841.7926319360595</v>
      </c>
      <c r="BF48" s="23">
        <f t="shared" si="13"/>
        <v>2841.7926319360595</v>
      </c>
      <c r="BG48" s="23">
        <f t="shared" si="13"/>
        <v>2841.7926319360595</v>
      </c>
      <c r="BH48" s="23">
        <f t="shared" si="13"/>
        <v>2841.7926319360595</v>
      </c>
      <c r="BI48" s="23">
        <f t="shared" si="13"/>
        <v>2841.7926319360595</v>
      </c>
      <c r="BJ48" s="23">
        <f t="shared" si="13"/>
        <v>2841.7926319360595</v>
      </c>
      <c r="BK48" s="23">
        <f t="shared" si="13"/>
        <v>2841.7926319360595</v>
      </c>
      <c r="BL48" s="23">
        <f t="shared" si="13"/>
        <v>2841.7926319360595</v>
      </c>
      <c r="BM48" s="23">
        <f t="shared" si="13"/>
        <v>2841.7926319360595</v>
      </c>
      <c r="BN48" s="23">
        <f t="shared" si="13"/>
        <v>2841.7926319360595</v>
      </c>
      <c r="BO48" s="23">
        <f t="shared" si="13"/>
        <v>2841.7926319360595</v>
      </c>
      <c r="BP48" s="23">
        <f t="shared" si="13"/>
        <v>2841.7926319360595</v>
      </c>
      <c r="BR48" s="24"/>
    </row>
    <row r="49" spans="1:72" ht="18.75" customHeight="1" x14ac:dyDescent="0.25">
      <c r="A49" s="20" t="s">
        <v>713</v>
      </c>
      <c r="B49" s="20"/>
      <c r="C49" s="20"/>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S49" s="16"/>
      <c r="BT49" s="15"/>
    </row>
    <row r="50" spans="1:72" x14ac:dyDescent="0.25">
      <c r="A50" t="str">
        <f>Constants!A94</f>
        <v>3C Aggregated and non-CO2 emissions on land</v>
      </c>
      <c r="B50" t="str">
        <f>Constants!B94</f>
        <v>3C4 Direct N2O from managed soils (N2O)</v>
      </c>
      <c r="C50" t="s">
        <v>484</v>
      </c>
      <c r="D50" t="str">
        <f>Constants!D79</f>
        <v xml:space="preserve"> - TMR</v>
      </c>
      <c r="E50" t="str">
        <f>C50&amp;D50</f>
        <v>MM N available - TMR</v>
      </c>
      <c r="F50" t="s">
        <v>482</v>
      </c>
      <c r="H50" s="23">
        <f>((H5*Constants!$H27*Constants!$H45*(1-Constants!$H63))+(H5*Constants!$H27*Constants!$H79))</f>
        <v>16768553.295054734</v>
      </c>
      <c r="I50" s="23">
        <f>((I5*Constants!$H27*Constants!$H45*(1-Constants!$H63))+(I5*Constants!$H27*Constants!$H79))</f>
        <v>19304960.418965299</v>
      </c>
      <c r="J50" s="23">
        <f>((J5*Constants!$H27*Constants!$H45*(1-Constants!$H63))+(J5*Constants!$H27*Constants!$H79))</f>
        <v>16701288.624605378</v>
      </c>
      <c r="K50" s="23">
        <f>((K5*Constants!$H27*Constants!$H45*(1-Constants!$H63))+(K5*Constants!$H27*Constants!$H79))</f>
        <v>17713281.812601872</v>
      </c>
      <c r="L50" s="23">
        <f>((L5*Constants!$H27*Constants!$H45*(1-Constants!$H63))+(L5*Constants!$H27*Constants!$H79))</f>
        <v>16432229.94280795</v>
      </c>
      <c r="M50" s="23">
        <f>((M5*Constants!$H27*Constants!$H45*(1-Constants!$H63))+(M5*Constants!$H27*Constants!$H79))</f>
        <v>17578752.471703161</v>
      </c>
      <c r="N50" s="23">
        <f>((N5*Constants!$H27*Constants!$H45*(1-Constants!$H63))+(N5*Constants!$H27*Constants!$H79))</f>
        <v>17646017.142152518</v>
      </c>
      <c r="O50" s="23">
        <f>((O5*Constants!$H27*Constants!$H45*(1-Constants!$H63))+(O5*Constants!$H27*Constants!$H79))</f>
        <v>17011915.361174878</v>
      </c>
      <c r="P50" s="23">
        <f>((P5*Constants!$H27*Constants!$H45*(1-Constants!$H63))+(P5*Constants!$H27*Constants!$H79))</f>
        <v>16810121.349826809</v>
      </c>
      <c r="Q50" s="23">
        <f>((Q5*Constants!$H27*Constants!$H45*(1-Constants!$H63))+(Q5*Constants!$H27*Constants!$H79))</f>
        <v>16512342.921095951</v>
      </c>
      <c r="R50" s="23">
        <f>((R5*Constants!$H27*Constants!$H45*(1-Constants!$H63))+(R5*Constants!$H27*Constants!$H79))</f>
        <v>21261682.124508936</v>
      </c>
      <c r="S50" s="23">
        <f>((S5*Constants!$H27*Constants!$H45*(1-Constants!$H63))+(S5*Constants!$H27*Constants!$H79))</f>
        <v>21194417.454059578</v>
      </c>
      <c r="T50" s="23">
        <f>((T5*Constants!$H27*Constants!$H45*(1-Constants!$H63))+(T5*Constants!$H27*Constants!$H79))</f>
        <v>18481912.934478231</v>
      </c>
      <c r="U50" s="23">
        <f>((U5*Constants!$H27*Constants!$H45*(1-Constants!$H63))+(U5*Constants!$H27*Constants!$H79))</f>
        <v>16810121.349826809</v>
      </c>
      <c r="V50" s="23">
        <f>((V5*Constants!$H27*Constants!$H45*(1-Constants!$H63))+(V5*Constants!$H27*Constants!$H79))</f>
        <v>16230435.931459881</v>
      </c>
      <c r="W50" s="23">
        <f>((W5*Constants!$H27*Constants!$H45*(1-Constants!$H63))+(W5*Constants!$H27*Constants!$H79))</f>
        <v>17376958.460355092</v>
      </c>
      <c r="X50" s="23">
        <f>((X5*Constants!$H27*Constants!$H45*(1-Constants!$H63))+(X5*Constants!$H27*Constants!$H79))</f>
        <v>16999067.053336237</v>
      </c>
      <c r="Y50" s="23">
        <f>((Y5*Constants!$H27*Constants!$H45*(1-Constants!$H63))+(Y5*Constants!$H27*Constants!$H79))</f>
        <v>16877386.020276166</v>
      </c>
      <c r="Z50" s="23">
        <f>((Z5*Constants!$H27*Constants!$H45*(1-Constants!$H63))+(Z5*Constants!$H27*Constants!$H79))</f>
        <v>20669148.398303367</v>
      </c>
      <c r="AA50" s="23">
        <f>((AA5*Constants!$H27*Constants!$H45*(1-Constants!$H63))+(AA5*Constants!$H27*Constants!$H79))</f>
        <v>21181569.146220937</v>
      </c>
      <c r="AB50" s="23">
        <f>((AB5*Constants!$H27*Constants!$H45*(1-Constants!$H63))+(AB5*Constants!$H27*Constants!$H79))</f>
        <v>21181569.146220937</v>
      </c>
      <c r="AC50" s="23">
        <f>((AC5*Constants!$H27*Constants!$H45*(1-Constants!$H63))+(AC5*Constants!$H27*Constants!$H79))</f>
        <v>20412938.024344582</v>
      </c>
      <c r="AD50" s="23">
        <f>((AD5*Constants!$H27*Constants!$H45*(1-Constants!$H63))+(AD5*Constants!$H27*Constants!$H79))</f>
        <v>19657155.210306872</v>
      </c>
      <c r="AE50" s="23">
        <f>((AE5*Constants!$H27*Constants!$H45*(1-Constants!$H63))+(AE5*Constants!$H27*Constants!$H79))</f>
        <v>21194417.454059578</v>
      </c>
      <c r="AF50" s="23">
        <f>((AF5*Constants!$H27*Constants!$H45*(1-Constants!$H63))+(AF5*Constants!$H27*Constants!$H79))</f>
        <v>20035046.617325727</v>
      </c>
      <c r="AG50" s="23">
        <f>((AG5*Constants!$H27*Constants!$H45*(1-Constants!$H63))+(AG5*Constants!$H27*Constants!$H79))</f>
        <v>20278408.683445871</v>
      </c>
      <c r="AH50" s="23">
        <f>((AH5*Constants!$H27*Constants!$H45*(1-Constants!$H63))+(AH5*Constants!$H27*Constants!$H79))</f>
        <v>21034191.497483585</v>
      </c>
      <c r="AI50" s="23">
        <f>((AI5*Constants!$H27*Constants!$H45*(1-Constants!$H63))+(AI5*Constants!$H27*Constants!$H79))</f>
        <v>22625870.103847008</v>
      </c>
      <c r="AJ50" s="23">
        <f>((AJ5*Constants!$H27*Constants!$H45*(1-Constants!$H63))+(AJ5*Constants!$H27*Constants!$H79))</f>
        <v>20652805.158336956</v>
      </c>
      <c r="AK50" s="23">
        <f>((AK5*Constants!$H27*Constants!$H45*(1-Constants!$H63))+(AK5*Constants!$H27*Constants!$H79))</f>
        <v>20725981.019819431</v>
      </c>
      <c r="AL50" s="23">
        <f>((AL5*Constants!$H27*Constants!$H45*(1-Constants!$H63))+(AL5*Constants!$H27*Constants!$H79))</f>
        <v>20684989.187896855</v>
      </c>
      <c r="AM50" s="23">
        <f>((AM5*Constants!$H27*Constants!$H45*(1-Constants!$H63))+(AM5*Constants!$H27*Constants!$H79))</f>
        <v>20776018.275849868</v>
      </c>
      <c r="AN50" s="23">
        <f>((AN5*Constants!$H27*Constants!$H45*(1-Constants!$H63))+(AN5*Constants!$H27*Constants!$H79))</f>
        <v>20865886.81980703</v>
      </c>
      <c r="AO50" s="23">
        <f>((AO5*Constants!$H27*Constants!$H45*(1-Constants!$H63))+(AO5*Constants!$H27*Constants!$H79))</f>
        <v>20956015.873879939</v>
      </c>
      <c r="AP50" s="23">
        <f>((AP5*Constants!$H27*Constants!$H45*(1-Constants!$H63))+(AP5*Constants!$H27*Constants!$H79))</f>
        <v>21045145.862345532</v>
      </c>
      <c r="AQ50" s="23">
        <f>((AQ5*Constants!$H27*Constants!$H45*(1-Constants!$H63))+(AQ5*Constants!$H27*Constants!$H79))</f>
        <v>21135434.665168826</v>
      </c>
      <c r="AR50" s="23">
        <f>((AR5*Constants!$H27*Constants!$H45*(1-Constants!$H63))+(AR5*Constants!$H27*Constants!$H79))</f>
        <v>21236193.423325013</v>
      </c>
      <c r="AS50" s="23">
        <f>((AS5*Constants!$H27*Constants!$H45*(1-Constants!$H63))+(AS5*Constants!$H27*Constants!$H79))</f>
        <v>21336644.926785614</v>
      </c>
      <c r="AT50" s="23">
        <f>((AT5*Constants!$H27*Constants!$H45*(1-Constants!$H63))+(AT5*Constants!$H27*Constants!$H79))</f>
        <v>21438664.990303006</v>
      </c>
      <c r="AU50" s="23">
        <f>((AU5*Constants!$H27*Constants!$H45*(1-Constants!$H63))+(AU5*Constants!$H27*Constants!$H79))</f>
        <v>21541849.765543174</v>
      </c>
      <c r="AV50" s="23">
        <f>((AV5*Constants!$H27*Constants!$H45*(1-Constants!$H63))+(AV5*Constants!$H27*Constants!$H79))</f>
        <v>21646305.558728036</v>
      </c>
      <c r="AW50" s="23">
        <f>((AW5*Constants!$H27*Constants!$H45*(1-Constants!$H63))+(AW5*Constants!$H27*Constants!$H79))</f>
        <v>21755944.725082893</v>
      </c>
      <c r="AX50" s="23">
        <f>((AX5*Constants!$H27*Constants!$H45*(1-Constants!$H63))+(AX5*Constants!$H27*Constants!$H79))</f>
        <v>21863494.31000495</v>
      </c>
      <c r="AY50" s="23">
        <f>((AY5*Constants!$H27*Constants!$H45*(1-Constants!$H63))+(AY5*Constants!$H27*Constants!$H79))</f>
        <v>21975756.938291483</v>
      </c>
      <c r="AZ50" s="23">
        <f>((AZ5*Constants!$H27*Constants!$H45*(1-Constants!$H63))+(AZ5*Constants!$H27*Constants!$H79))</f>
        <v>22091314.393066909</v>
      </c>
      <c r="BA50" s="23">
        <f>((BA5*Constants!$H27*Constants!$H45*(1-Constants!$H63))+(BA5*Constants!$H27*Constants!$H79))</f>
        <v>22210345.005604371</v>
      </c>
      <c r="BB50" s="23">
        <f>((BB5*Constants!$H27*Constants!$H45*(1-Constants!$H63))+(BB5*Constants!$H27*Constants!$H79))</f>
        <v>22333523.063107096</v>
      </c>
      <c r="BC50" s="23">
        <f>((BC5*Constants!$H27*Constants!$H45*(1-Constants!$H63))+(BC5*Constants!$H27*Constants!$H79))</f>
        <v>22459090.061347753</v>
      </c>
      <c r="BD50" s="23">
        <f>((BD5*Constants!$H27*Constants!$H45*(1-Constants!$H63))+(BD5*Constants!$H27*Constants!$H79))</f>
        <v>22585544.54021544</v>
      </c>
      <c r="BE50" s="23">
        <f>((BE5*Constants!$H27*Constants!$H45*(1-Constants!$H63))+(BE5*Constants!$H27*Constants!$H79))</f>
        <v>22714410.490611266</v>
      </c>
      <c r="BF50" s="23">
        <f>((BF5*Constants!$H27*Constants!$H45*(1-Constants!$H63))+(BF5*Constants!$H27*Constants!$H79))</f>
        <v>22847037.339598358</v>
      </c>
      <c r="BG50" s="23">
        <f>((BG5*Constants!$H27*Constants!$H45*(1-Constants!$H63))+(BG5*Constants!$H27*Constants!$H79))</f>
        <v>22991900.469828758</v>
      </c>
      <c r="BH50" s="23">
        <f>((BH5*Constants!$H27*Constants!$H45*(1-Constants!$H63))+(BH5*Constants!$H27*Constants!$H79))</f>
        <v>23139650.719790492</v>
      </c>
      <c r="BI50" s="23">
        <f>((BI5*Constants!$H27*Constants!$H45*(1-Constants!$H63))+(BI5*Constants!$H27*Constants!$H79))</f>
        <v>23290123.510049824</v>
      </c>
      <c r="BJ50" s="23">
        <f>((BJ5*Constants!$H27*Constants!$H45*(1-Constants!$H63))+(BJ5*Constants!$H27*Constants!$H79))</f>
        <v>23443725.082679842</v>
      </c>
      <c r="BK50" s="23">
        <f>((BK5*Constants!$H27*Constants!$H45*(1-Constants!$H63))+(BK5*Constants!$H27*Constants!$H79))</f>
        <v>23602066.085599057</v>
      </c>
      <c r="BL50" s="23">
        <f>((BL5*Constants!$H27*Constants!$H45*(1-Constants!$H63))+(BL5*Constants!$H27*Constants!$H79))</f>
        <v>23761708.632215001</v>
      </c>
      <c r="BM50" s="23">
        <f>((BM5*Constants!$H27*Constants!$H45*(1-Constants!$H63))+(BM5*Constants!$H27*Constants!$H79))</f>
        <v>23925437.64854233</v>
      </c>
      <c r="BN50" s="23">
        <f>((BN5*Constants!$H27*Constants!$H45*(1-Constants!$H63))+(BN5*Constants!$H27*Constants!$H79))</f>
        <v>24090191.410095621</v>
      </c>
      <c r="BO50" s="23">
        <f>((BO5*Constants!$H27*Constants!$H45*(1-Constants!$H63))+(BO5*Constants!$H27*Constants!$H79))</f>
        <v>24259402.004529119</v>
      </c>
      <c r="BP50" s="23">
        <f>((BP5*Constants!$H27*Constants!$H45*(1-Constants!$H63))+(BP5*Constants!$H27*Constants!$H79))</f>
        <v>24433441.349540073</v>
      </c>
    </row>
    <row r="51" spans="1:72" x14ac:dyDescent="0.25">
      <c r="A51" t="str">
        <f t="shared" ref="A51:A65" si="14">A50</f>
        <v>3C Aggregated and non-CO2 emissions on land</v>
      </c>
      <c r="B51" t="str">
        <f t="shared" ref="B51:B65" si="15">B50</f>
        <v>3C4 Direct N2O from managed soils (N2O)</v>
      </c>
      <c r="C51" t="s">
        <v>484</v>
      </c>
      <c r="D51" t="str">
        <f>Constants!D80</f>
        <v xml:space="preserve"> - Pasture</v>
      </c>
      <c r="E51" t="str">
        <f t="shared" ref="E51" si="16">C51&amp;D51</f>
        <v>MM N available - Pasture</v>
      </c>
      <c r="F51" t="str">
        <f>F50</f>
        <v>kg N</v>
      </c>
      <c r="H51" s="23">
        <f>((H6*Constants!$H28*Constants!$H46*(1-Constants!$H64))+(H6*Constants!$H28*Constants!$H80))</f>
        <v>48497097.884958483</v>
      </c>
      <c r="I51" s="23">
        <f>((I6*Constants!$H28*Constants!$H46*(1-Constants!$H64))+(I6*Constants!$H28*Constants!$H80))</f>
        <v>55832756.626650497</v>
      </c>
      <c r="J51" s="23">
        <f>((J6*Constants!$H28*Constants!$H46*(1-Constants!$H64))+(J6*Constants!$H28*Constants!$H80))</f>
        <v>48302558.663262829</v>
      </c>
      <c r="K51" s="23">
        <f>((K6*Constants!$H28*Constants!$H46*(1-Constants!$H64))+(K6*Constants!$H28*Constants!$H80))</f>
        <v>51229390.324504077</v>
      </c>
      <c r="L51" s="23">
        <f>((L6*Constants!$H28*Constants!$H46*(1-Constants!$H64))+(L6*Constants!$H28*Constants!$H80))</f>
        <v>47524401.776480258</v>
      </c>
      <c r="M51" s="23">
        <f>((M6*Constants!$H28*Constants!$H46*(1-Constants!$H64))+(M6*Constants!$H28*Constants!$H80))</f>
        <v>50840311.881112777</v>
      </c>
      <c r="N51" s="23">
        <f>((N6*Constants!$H28*Constants!$H46*(1-Constants!$H64))+(N6*Constants!$H28*Constants!$H80))</f>
        <v>51034851.102808431</v>
      </c>
      <c r="O51" s="23">
        <f>((O6*Constants!$H28*Constants!$H46*(1-Constants!$H64))+(O6*Constants!$H28*Constants!$H80))</f>
        <v>49200936.417385429</v>
      </c>
      <c r="P51" s="23">
        <f>((P6*Constants!$H28*Constants!$H46*(1-Constants!$H64))+(P6*Constants!$H28*Constants!$H80))</f>
        <v>48617318.752298489</v>
      </c>
      <c r="Q51" s="23">
        <f>((Q6*Constants!$H28*Constants!$H46*(1-Constants!$H64))+(Q6*Constants!$H28*Constants!$H80))</f>
        <v>47756100.175353706</v>
      </c>
      <c r="R51" s="23">
        <f>((R6*Constants!$H28*Constants!$H46*(1-Constants!$H64))+(R6*Constants!$H28*Constants!$H80))</f>
        <v>61491880.727437332</v>
      </c>
      <c r="S51" s="23">
        <f>((S6*Constants!$H28*Constants!$H46*(1-Constants!$H64))+(S6*Constants!$H28*Constants!$H80))</f>
        <v>61297341.505741686</v>
      </c>
      <c r="T51" s="23">
        <f>((T6*Constants!$H28*Constants!$H46*(1-Constants!$H64))+(T6*Constants!$H28*Constants!$H80))</f>
        <v>53452383.453318357</v>
      </c>
      <c r="U51" s="23">
        <f>((U6*Constants!$H28*Constants!$H46*(1-Constants!$H64))+(U6*Constants!$H28*Constants!$H80))</f>
        <v>48617318.752298489</v>
      </c>
      <c r="V51" s="23">
        <f>((V6*Constants!$H28*Constants!$H46*(1-Constants!$H64))+(V6*Constants!$H28*Constants!$H80))</f>
        <v>46940784.111393303</v>
      </c>
      <c r="W51" s="23">
        <f>((W6*Constants!$H28*Constants!$H46*(1-Constants!$H64))+(W6*Constants!$H28*Constants!$H80))</f>
        <v>50256694.216025844</v>
      </c>
      <c r="X51" s="23">
        <f>((X6*Constants!$H28*Constants!$H46*(1-Constants!$H64))+(X6*Constants!$H28*Constants!$H80))</f>
        <v>49163777.240207598</v>
      </c>
      <c r="Y51" s="23">
        <f>((Y6*Constants!$H28*Constants!$H46*(1-Constants!$H64))+(Y6*Constants!$H28*Constants!$H80))</f>
        <v>48811857.973994136</v>
      </c>
      <c r="Z51" s="23">
        <f>((Z6*Constants!$H28*Constants!$H46*(1-Constants!$H64))+(Z6*Constants!$H28*Constants!$H80))</f>
        <v>59778186.909354329</v>
      </c>
      <c r="AA51" s="23">
        <f>((AA6*Constants!$H28*Constants!$H46*(1-Constants!$H64))+(AA6*Constants!$H28*Constants!$H80))</f>
        <v>61260182.328563854</v>
      </c>
      <c r="AB51" s="23">
        <f>((AB6*Constants!$H28*Constants!$H46*(1-Constants!$H64))+(AB6*Constants!$H28*Constants!$H80))</f>
        <v>61260182.328563854</v>
      </c>
      <c r="AC51" s="23">
        <f>((AC6*Constants!$H28*Constants!$H46*(1-Constants!$H64))+(AC6*Constants!$H28*Constants!$H80))</f>
        <v>59037189.199749559</v>
      </c>
      <c r="AD51" s="23">
        <f>((AD6*Constants!$H28*Constants!$H46*(1-Constants!$H64))+(AD6*Constants!$H28*Constants!$H80))</f>
        <v>56851355.248113081</v>
      </c>
      <c r="AE51" s="23">
        <f>((AE6*Constants!$H28*Constants!$H46*(1-Constants!$H64))+(AE6*Constants!$H28*Constants!$H80))</f>
        <v>61297341.505741686</v>
      </c>
      <c r="AF51" s="23">
        <f>((AF6*Constants!$H28*Constants!$H46*(1-Constants!$H64))+(AF6*Constants!$H28*Constants!$H80))</f>
        <v>57944272.223931327</v>
      </c>
      <c r="AG51" s="23">
        <f>((AG6*Constants!$H28*Constants!$H46*(1-Constants!$H64))+(AG6*Constants!$H28*Constants!$H80))</f>
        <v>58648110.756358266</v>
      </c>
      <c r="AH51" s="23">
        <f>((AH6*Constants!$H28*Constants!$H46*(1-Constants!$H64))+(AH6*Constants!$H28*Constants!$H80))</f>
        <v>60833944.707994744</v>
      </c>
      <c r="AI51" s="23">
        <f>((AI6*Constants!$H28*Constants!$H46*(1-Constants!$H64))+(AI6*Constants!$H28*Constants!$H80))</f>
        <v>65437311.010141164</v>
      </c>
      <c r="AJ51" s="23">
        <f>((AJ6*Constants!$H28*Constants!$H46*(1-Constants!$H64))+(AJ6*Constants!$H28*Constants!$H80))</f>
        <v>59630979.690123066</v>
      </c>
      <c r="AK51" s="23">
        <f>((AK6*Constants!$H28*Constants!$H46*(1-Constants!$H64))+(AK6*Constants!$H28*Constants!$H80))</f>
        <v>59842260.834568828</v>
      </c>
      <c r="AL51" s="23">
        <f>((AL6*Constants!$H28*Constants!$H46*(1-Constants!$H64))+(AL6*Constants!$H28*Constants!$H80))</f>
        <v>59723904.849602334</v>
      </c>
      <c r="AM51" s="23">
        <f>((AM6*Constants!$H28*Constants!$H46*(1-Constants!$H64))+(AM6*Constants!$H28*Constants!$H80))</f>
        <v>59986733.731844798</v>
      </c>
      <c r="AN51" s="23">
        <f>((AN6*Constants!$H28*Constants!$H46*(1-Constants!$H64))+(AN6*Constants!$H28*Constants!$H80))</f>
        <v>60246211.767801911</v>
      </c>
      <c r="AO51" s="23">
        <f>((AO6*Constants!$H28*Constants!$H46*(1-Constants!$H64))+(AO6*Constants!$H28*Constants!$H80))</f>
        <v>60506441.976323575</v>
      </c>
      <c r="AP51" s="23">
        <f>((AP6*Constants!$H28*Constants!$H46*(1-Constants!$H64))+(AP6*Constants!$H28*Constants!$H80))</f>
        <v>60763787.576169476</v>
      </c>
      <c r="AQ51" s="23">
        <f>((AQ6*Constants!$H28*Constants!$H46*(1-Constants!$H64))+(AQ6*Constants!$H28*Constants!$H80))</f>
        <v>61024479.028305128</v>
      </c>
      <c r="AR51" s="23">
        <f>((AR6*Constants!$H28*Constants!$H46*(1-Constants!$H64))+(AR6*Constants!$H28*Constants!$H80))</f>
        <v>61315400.451092497</v>
      </c>
      <c r="AS51" s="23">
        <f>((AS6*Constants!$H28*Constants!$H46*(1-Constants!$H64))+(AS6*Constants!$H28*Constants!$H80))</f>
        <v>61605434.735383585</v>
      </c>
      <c r="AT51" s="23">
        <f>((AT6*Constants!$H28*Constants!$H46*(1-Constants!$H64))+(AT6*Constants!$H28*Constants!$H80))</f>
        <v>61899997.933406807</v>
      </c>
      <c r="AU51" s="23">
        <f>((AU6*Constants!$H28*Constants!$H46*(1-Constants!$H64))+(AU6*Constants!$H28*Constants!$H80))</f>
        <v>62197924.011220649</v>
      </c>
      <c r="AV51" s="23">
        <f>((AV6*Constants!$H28*Constants!$H46*(1-Constants!$H64))+(AV6*Constants!$H28*Constants!$H80))</f>
        <v>62499519.907476291</v>
      </c>
      <c r="AW51" s="23">
        <f>((AW6*Constants!$H28*Constants!$H46*(1-Constants!$H64))+(AW6*Constants!$H28*Constants!$H80))</f>
        <v>62816081.791057006</v>
      </c>
      <c r="AX51" s="23">
        <f>((AX6*Constants!$H28*Constants!$H46*(1-Constants!$H64))+(AX6*Constants!$H28*Constants!$H80))</f>
        <v>63126610.412471876</v>
      </c>
      <c r="AY51" s="23">
        <f>((AY6*Constants!$H28*Constants!$H46*(1-Constants!$H64))+(AY6*Constants!$H28*Constants!$H80))</f>
        <v>63450747.034881815</v>
      </c>
      <c r="AZ51" s="23">
        <f>((AZ6*Constants!$H28*Constants!$H46*(1-Constants!$H64))+(AZ6*Constants!$H28*Constants!$H80))</f>
        <v>63784396.831407145</v>
      </c>
      <c r="BA51" s="23">
        <f>((BA6*Constants!$H28*Constants!$H46*(1-Constants!$H64))+(BA6*Constants!$H28*Constants!$H80))</f>
        <v>64128074.699101478</v>
      </c>
      <c r="BB51" s="23">
        <f>((BB6*Constants!$H28*Constants!$H46*(1-Constants!$H64))+(BB6*Constants!$H28*Constants!$H80))</f>
        <v>64483727.511825994</v>
      </c>
      <c r="BC51" s="23">
        <f>((BC6*Constants!$H28*Constants!$H46*(1-Constants!$H64))+(BC6*Constants!$H28*Constants!$H80))</f>
        <v>64846277.928800017</v>
      </c>
      <c r="BD51" s="23">
        <f>((BD6*Constants!$H28*Constants!$H46*(1-Constants!$H64))+(BD6*Constants!$H28*Constants!$H80))</f>
        <v>65211390.774404928</v>
      </c>
      <c r="BE51" s="23">
        <f>((BE6*Constants!$H28*Constants!$H46*(1-Constants!$H64))+(BE6*Constants!$H28*Constants!$H80))</f>
        <v>65583466.277557589</v>
      </c>
      <c r="BF51" s="23">
        <f>((BF6*Constants!$H28*Constants!$H46*(1-Constants!$H64))+(BF6*Constants!$H28*Constants!$H80))</f>
        <v>65966400.647861339</v>
      </c>
      <c r="BG51" s="23">
        <f>((BG6*Constants!$H28*Constants!$H46*(1-Constants!$H64))+(BG6*Constants!$H28*Constants!$H80))</f>
        <v>66384664.913194314</v>
      </c>
      <c r="BH51" s="23">
        <f>((BH6*Constants!$H28*Constants!$H46*(1-Constants!$H64))+(BH6*Constants!$H28*Constants!$H80))</f>
        <v>66811265.178249463</v>
      </c>
      <c r="BI51" s="23">
        <f>((BI6*Constants!$H28*Constants!$H46*(1-Constants!$H64))+(BI6*Constants!$H28*Constants!$H80))</f>
        <v>67245726.251749113</v>
      </c>
      <c r="BJ51" s="23">
        <f>((BJ6*Constants!$H28*Constants!$H46*(1-Constants!$H64))+(BJ6*Constants!$H28*Constants!$H80))</f>
        <v>67689221.079093382</v>
      </c>
      <c r="BK51" s="23">
        <f>((BK6*Constants!$H28*Constants!$H46*(1-Constants!$H64))+(BK6*Constants!$H28*Constants!$H80))</f>
        <v>68146400.094573438</v>
      </c>
      <c r="BL51" s="23">
        <f>((BL6*Constants!$H28*Constants!$H46*(1-Constants!$H64))+(BL6*Constants!$H28*Constants!$H80))</f>
        <v>68607337.065699205</v>
      </c>
      <c r="BM51" s="23">
        <f>((BM6*Constants!$H28*Constants!$H46*(1-Constants!$H64))+(BM6*Constants!$H28*Constants!$H80))</f>
        <v>69080072.927605018</v>
      </c>
      <c r="BN51" s="23">
        <f>((BN6*Constants!$H28*Constants!$H46*(1-Constants!$H64))+(BN6*Constants!$H28*Constants!$H80))</f>
        <v>69555767.543117791</v>
      </c>
      <c r="BO51" s="23">
        <f>((BO6*Constants!$H28*Constants!$H46*(1-Constants!$H64))+(BO6*Constants!$H28*Constants!$H80))</f>
        <v>70044330.401415259</v>
      </c>
      <c r="BP51" s="23">
        <f>((BP6*Constants!$H28*Constants!$H46*(1-Constants!$H64))+(BP6*Constants!$H28*Constants!$H80))</f>
        <v>70546835.342902169</v>
      </c>
    </row>
    <row r="52" spans="1:72" x14ac:dyDescent="0.25">
      <c r="A52" t="str">
        <f t="shared" si="14"/>
        <v>3C Aggregated and non-CO2 emissions on land</v>
      </c>
      <c r="B52" t="str">
        <f t="shared" si="15"/>
        <v>3C4 Direct N2O from managed soils (N2O)</v>
      </c>
      <c r="C52" t="s">
        <v>484</v>
      </c>
      <c r="D52" t="str">
        <f>Constants!D81</f>
        <v xml:space="preserve"> - Non-lactating</v>
      </c>
      <c r="E52" t="str">
        <f t="shared" ref="E52:E66" si="17">C52&amp;D52</f>
        <v>MM N available - Non-lactating</v>
      </c>
      <c r="F52" t="str">
        <f t="shared" ref="F52:F66" si="18">F51</f>
        <v>kg N</v>
      </c>
      <c r="H52" s="23">
        <f>((H7*Constants!$H29*Constants!$H47*(1-Constants!$H65))+(H7*Constants!$H29*Constants!$H81))</f>
        <v>3062615.1790069034</v>
      </c>
      <c r="I52" s="23">
        <f>((I7*Constants!$H29*Constants!$H47*(1-Constants!$H65))+(I7*Constants!$H29*Constants!$H81))</f>
        <v>3481151.0311277835</v>
      </c>
      <c r="J52" s="23">
        <f>((J7*Constants!$H29*Constants!$H47*(1-Constants!$H65))+(J7*Constants!$H29*Constants!$H81))</f>
        <v>3011204.707020822</v>
      </c>
      <c r="K52" s="23">
        <f>((K7*Constants!$H29*Constants!$H47*(1-Constants!$H65))+(K7*Constants!$H29*Constants!$H81))</f>
        <v>3151320.9974138029</v>
      </c>
      <c r="L52" s="23">
        <f>((L7*Constants!$H29*Constants!$H47*(1-Constants!$H65))+(L7*Constants!$H29*Constants!$H81))</f>
        <v>2805562.8190765027</v>
      </c>
      <c r="M52" s="23">
        <f>((M7*Constants!$H29*Constants!$H47*(1-Constants!$H65))+(M7*Constants!$H29*Constants!$H81))</f>
        <v>3048500.0534416419</v>
      </c>
      <c r="N52" s="23">
        <f>((N7*Constants!$H29*Constants!$H47*(1-Constants!$H65))+(N7*Constants!$H29*Constants!$H81))</f>
        <v>3099910.5254277219</v>
      </c>
      <c r="O52" s="23">
        <f>((O7*Constants!$H29*Constants!$H47*(1-Constants!$H65))+(O7*Constants!$H29*Constants!$H81))</f>
        <v>2995276.5623975019</v>
      </c>
      <c r="P52" s="23">
        <f>((P7*Constants!$H29*Constants!$H47*(1-Constants!$H65))+(P7*Constants!$H29*Constants!$H81))</f>
        <v>2841045.1464392617</v>
      </c>
      <c r="Q52" s="23">
        <f>((Q7*Constants!$H29*Constants!$H47*(1-Constants!$H65))+(Q7*Constants!$H29*Constants!$H81))</f>
        <v>2993463.5433394425</v>
      </c>
      <c r="R52" s="23">
        <f>((R7*Constants!$H29*Constants!$H47*(1-Constants!$H65))+(R7*Constants!$H29*Constants!$H81))</f>
        <v>3709973.1399276629</v>
      </c>
      <c r="S52" s="23">
        <f>((S7*Constants!$H29*Constants!$H47*(1-Constants!$H65))+(S7*Constants!$H29*Constants!$H81))</f>
        <v>3658562.6679415829</v>
      </c>
      <c r="T52" s="23">
        <f>((T7*Constants!$H29*Constants!$H47*(1-Constants!$H65))+(T7*Constants!$H29*Constants!$H81))</f>
        <v>3358775.904416183</v>
      </c>
      <c r="U52" s="23">
        <f>((U7*Constants!$H29*Constants!$H47*(1-Constants!$H65))+(U7*Constants!$H29*Constants!$H81))</f>
        <v>2841045.1464392617</v>
      </c>
      <c r="V52" s="23">
        <f>((V7*Constants!$H29*Constants!$H47*(1-Constants!$H65))+(V7*Constants!$H29*Constants!$H81))</f>
        <v>2651331.4031182611</v>
      </c>
      <c r="W52" s="23">
        <f>((W7*Constants!$H29*Constants!$H47*(1-Constants!$H65))+(W7*Constants!$H29*Constants!$H81))</f>
        <v>2894268.6374834022</v>
      </c>
      <c r="X52" s="23">
        <f>((X7*Constants!$H29*Constants!$H47*(1-Constants!$H65))+(X7*Constants!$H29*Constants!$H81))</f>
        <v>2858786.3101206413</v>
      </c>
      <c r="Y52" s="23">
        <f>((Y7*Constants!$H29*Constants!$H47*(1-Constants!$H65))+(Y7*Constants!$H29*Constants!$H81))</f>
        <v>2892455.6184253423</v>
      </c>
      <c r="Z52" s="23">
        <f>((Z7*Constants!$H29*Constants!$H47*(1-Constants!$H65))+(Z7*Constants!$H29*Constants!$H81))</f>
        <v>3383769.1443298031</v>
      </c>
      <c r="AA52" s="23">
        <f>((AA7*Constants!$H29*Constants!$H47*(1-Constants!$H65))+(AA7*Constants!$H29*Constants!$H81))</f>
        <v>3522072.4156647222</v>
      </c>
      <c r="AB52" s="23">
        <f>((AB7*Constants!$H29*Constants!$H47*(1-Constants!$H65))+(AB7*Constants!$H29*Constants!$H81))</f>
        <v>3522072.4156647222</v>
      </c>
      <c r="AC52" s="23">
        <f>((AC7*Constants!$H29*Constants!$H47*(1-Constants!$H65))+(AC7*Constants!$H29*Constants!$H81))</f>
        <v>3314617.5086623426</v>
      </c>
      <c r="AD52" s="23">
        <f>((AD7*Constants!$H29*Constants!$H47*(1-Constants!$H65))+(AD7*Constants!$H29*Constants!$H81))</f>
        <v>3243652.8539368217</v>
      </c>
      <c r="AE52" s="23">
        <f>((AE7*Constants!$H29*Constants!$H47*(1-Constants!$H65))+(AE7*Constants!$H29*Constants!$H81))</f>
        <v>3658562.6679415829</v>
      </c>
      <c r="AF52" s="23">
        <f>((AF7*Constants!$H29*Constants!$H47*(1-Constants!$H65))+(AF7*Constants!$H29*Constants!$H81))</f>
        <v>3279135.1812995812</v>
      </c>
      <c r="AG52" s="23">
        <f>((AG7*Constants!$H29*Constants!$H47*(1-Constants!$H65))+(AG7*Constants!$H29*Constants!$H81))</f>
        <v>3211796.5646901811</v>
      </c>
      <c r="AH52" s="23">
        <f>((AH7*Constants!$H29*Constants!$H47*(1-Constants!$H65))+(AH7*Constants!$H29*Constants!$H81))</f>
        <v>3282761.219415701</v>
      </c>
      <c r="AI52" s="23">
        <f>((AI7*Constants!$H29*Constants!$H47*(1-Constants!$H65))+(AI7*Constants!$H29*Constants!$H81))</f>
        <v>3612591.2531296811</v>
      </c>
      <c r="AJ52" s="23">
        <f>((AJ7*Constants!$H29*Constants!$H47*(1-Constants!$H65))+(AJ7*Constants!$H29*Constants!$H81))</f>
        <v>3442799.57556473</v>
      </c>
      <c r="AK52" s="23">
        <f>((AK7*Constants!$H29*Constants!$H47*(1-Constants!$H65))+(AK7*Constants!$H29*Constants!$H81))</f>
        <v>3452686.2049388569</v>
      </c>
      <c r="AL52" s="23">
        <f>((AL7*Constants!$H29*Constants!$H47*(1-Constants!$H65))+(AL7*Constants!$H29*Constants!$H81))</f>
        <v>3447147.8888688497</v>
      </c>
      <c r="AM52" s="23">
        <f>((AM7*Constants!$H29*Constants!$H47*(1-Constants!$H65))+(AM7*Constants!$H29*Constants!$H81))</f>
        <v>3459446.6283250554</v>
      </c>
      <c r="AN52" s="23">
        <f>((AN7*Constants!$H29*Constants!$H47*(1-Constants!$H65))+(AN7*Constants!$H29*Constants!$H81))</f>
        <v>3471588.5692396797</v>
      </c>
      <c r="AO52" s="23">
        <f>((AO7*Constants!$H29*Constants!$H47*(1-Constants!$H65))+(AO7*Constants!$H29*Constants!$H81))</f>
        <v>3483765.7071019085</v>
      </c>
      <c r="AP52" s="23">
        <f>((AP7*Constants!$H29*Constants!$H47*(1-Constants!$H65))+(AP7*Constants!$H29*Constants!$H81))</f>
        <v>3495807.8634117553</v>
      </c>
      <c r="AQ52" s="23">
        <f>((AQ7*Constants!$H29*Constants!$H47*(1-Constants!$H65))+(AQ7*Constants!$H29*Constants!$H81))</f>
        <v>3508006.5845755823</v>
      </c>
      <c r="AR52" s="23">
        <f>((AR7*Constants!$H29*Constants!$H47*(1-Constants!$H65))+(AR7*Constants!$H29*Constants!$H81))</f>
        <v>3521619.8783299187</v>
      </c>
      <c r="AS52" s="23">
        <f>((AS7*Constants!$H29*Constants!$H47*(1-Constants!$H65))+(AS7*Constants!$H29*Constants!$H81))</f>
        <v>3535191.6595794866</v>
      </c>
      <c r="AT52" s="23">
        <f>((AT7*Constants!$H29*Constants!$H47*(1-Constants!$H65))+(AT7*Constants!$H29*Constants!$H81))</f>
        <v>3548975.3655214109</v>
      </c>
      <c r="AU52" s="23">
        <f>((AU7*Constants!$H29*Constants!$H47*(1-Constants!$H65))+(AU7*Constants!$H29*Constants!$H81))</f>
        <v>3562916.433097315</v>
      </c>
      <c r="AV52" s="23">
        <f>((AV7*Constants!$H29*Constants!$H47*(1-Constants!$H65))+(AV7*Constants!$H29*Constants!$H81))</f>
        <v>3577029.225106556</v>
      </c>
      <c r="AW52" s="23">
        <f>((AW7*Constants!$H29*Constants!$H47*(1-Constants!$H65))+(AW7*Constants!$H29*Constants!$H81))</f>
        <v>3591842.3312412663</v>
      </c>
      <c r="AX52" s="23">
        <f>((AX7*Constants!$H29*Constants!$H47*(1-Constants!$H65))+(AX7*Constants!$H29*Constants!$H81))</f>
        <v>3606373.1186337769</v>
      </c>
      <c r="AY52" s="23">
        <f>((AY7*Constants!$H29*Constants!$H47*(1-Constants!$H65))+(AY7*Constants!$H29*Constants!$H81))</f>
        <v>3621540.6749282815</v>
      </c>
      <c r="AZ52" s="23">
        <f>((AZ7*Constants!$H29*Constants!$H47*(1-Constants!$H65))+(AZ7*Constants!$H29*Constants!$H81))</f>
        <v>3637153.3879683018</v>
      </c>
      <c r="BA52" s="23">
        <f>((BA7*Constants!$H29*Constants!$H47*(1-Constants!$H65))+(BA7*Constants!$H29*Constants!$H81))</f>
        <v>3653235.3516991292</v>
      </c>
      <c r="BB52" s="23">
        <f>((BB7*Constants!$H29*Constants!$H47*(1-Constants!$H65))+(BB7*Constants!$H29*Constants!$H81))</f>
        <v>3669877.6675787456</v>
      </c>
      <c r="BC52" s="23">
        <f>((BC7*Constants!$H29*Constants!$H47*(1-Constants!$H65))+(BC7*Constants!$H29*Constants!$H81))</f>
        <v>3686842.7479765275</v>
      </c>
      <c r="BD52" s="23">
        <f>((BD7*Constants!$H29*Constants!$H47*(1-Constants!$H65))+(BD7*Constants!$H29*Constants!$H81))</f>
        <v>3703927.7339259265</v>
      </c>
      <c r="BE52" s="23">
        <f>((BE7*Constants!$H29*Constants!$H47*(1-Constants!$H65))+(BE7*Constants!$H29*Constants!$H81))</f>
        <v>3721338.528478899</v>
      </c>
      <c r="BF52" s="23">
        <f>((BF7*Constants!$H29*Constants!$H47*(1-Constants!$H65))+(BF7*Constants!$H29*Constants!$H81))</f>
        <v>3739257.4497519722</v>
      </c>
      <c r="BG52" s="23">
        <f>((BG7*Constants!$H29*Constants!$H47*(1-Constants!$H65))+(BG7*Constants!$H29*Constants!$H81))</f>
        <v>3758829.5880165407</v>
      </c>
      <c r="BH52" s="23">
        <f>((BH7*Constants!$H29*Constants!$H47*(1-Constants!$H65))+(BH7*Constants!$H29*Constants!$H81))</f>
        <v>3778791.7986651468</v>
      </c>
      <c r="BI52" s="23">
        <f>((BI7*Constants!$H29*Constants!$H47*(1-Constants!$H65))+(BI7*Constants!$H29*Constants!$H81))</f>
        <v>3799121.8457332095</v>
      </c>
      <c r="BJ52" s="23">
        <f>((BJ7*Constants!$H29*Constants!$H47*(1-Constants!$H65))+(BJ7*Constants!$H29*Constants!$H81))</f>
        <v>3819874.6156919184</v>
      </c>
      <c r="BK52" s="23">
        <f>((BK7*Constants!$H29*Constants!$H47*(1-Constants!$H65))+(BK7*Constants!$H29*Constants!$H81))</f>
        <v>3841267.7196318666</v>
      </c>
      <c r="BL52" s="23">
        <f>((BL7*Constants!$H29*Constants!$H47*(1-Constants!$H65))+(BL7*Constants!$H29*Constants!$H81))</f>
        <v>3862836.6722722361</v>
      </c>
      <c r="BM52" s="23">
        <f>((BM7*Constants!$H29*Constants!$H47*(1-Constants!$H65))+(BM7*Constants!$H29*Constants!$H81))</f>
        <v>3884957.7388292234</v>
      </c>
      <c r="BN52" s="23">
        <f>((BN7*Constants!$H29*Constants!$H47*(1-Constants!$H65))+(BN7*Constants!$H29*Constants!$H81))</f>
        <v>3907217.2564552762</v>
      </c>
      <c r="BO52" s="23">
        <f>((BO7*Constants!$H29*Constants!$H47*(1-Constants!$H65))+(BO7*Constants!$H29*Constants!$H81))</f>
        <v>3930078.9269494526</v>
      </c>
      <c r="BP52" s="23">
        <f>((BP7*Constants!$H29*Constants!$H47*(1-Constants!$H65))+(BP7*Constants!$H29*Constants!$H81))</f>
        <v>3953592.999292165</v>
      </c>
    </row>
    <row r="53" spans="1:72" x14ac:dyDescent="0.25">
      <c r="A53" t="str">
        <f t="shared" si="14"/>
        <v>3C Aggregated and non-CO2 emissions on land</v>
      </c>
      <c r="B53" t="str">
        <f t="shared" si="15"/>
        <v>3C4 Direct N2O from managed soils (N2O)</v>
      </c>
      <c r="C53" t="s">
        <v>484</v>
      </c>
      <c r="D53" t="str">
        <f>Constants!D82</f>
        <v xml:space="preserve"> - Commercial cattle</v>
      </c>
      <c r="E53" t="str">
        <f t="shared" si="17"/>
        <v>MM N available - Commercial cattle</v>
      </c>
      <c r="F53" t="str">
        <f t="shared" si="18"/>
        <v>kg N</v>
      </c>
      <c r="H53" s="23">
        <f>((H8*Constants!$H30*Constants!$H48*(1-Constants!$H66))+(H8*Constants!$H30*Constants!$H82))</f>
        <v>29140148.242835071</v>
      </c>
      <c r="I53" s="23">
        <f>((I8*Constants!$H30*Constants!$H48*(1-Constants!$H66))+(I8*Constants!$H30*Constants!$H82))</f>
        <v>27882399.754625745</v>
      </c>
      <c r="J53" s="23">
        <f>((J8*Constants!$H30*Constants!$H48*(1-Constants!$H66))+(J8*Constants!$H30*Constants!$H82))</f>
        <v>27872269.031688493</v>
      </c>
      <c r="K53" s="23">
        <f>((K8*Constants!$H30*Constants!$H48*(1-Constants!$H66))+(K8*Constants!$H30*Constants!$H82))</f>
        <v>26075497.690151285</v>
      </c>
      <c r="L53" s="23">
        <f>((L8*Constants!$H30*Constants!$H48*(1-Constants!$H66))+(L8*Constants!$H30*Constants!$H82))</f>
        <v>26861590.495282121</v>
      </c>
      <c r="M53" s="23">
        <f>((M8*Constants!$H30*Constants!$H48*(1-Constants!$H66))+(M8*Constants!$H30*Constants!$H82))</f>
        <v>27472340.576832376</v>
      </c>
      <c r="N53" s="23">
        <f>((N8*Constants!$H30*Constants!$H48*(1-Constants!$H66))+(N8*Constants!$H30*Constants!$H82))</f>
        <v>28611982.788773268</v>
      </c>
      <c r="O53" s="23">
        <f>((O8*Constants!$H30*Constants!$H48*(1-Constants!$H66))+(O8*Constants!$H30*Constants!$H82))</f>
        <v>29695841.906059686</v>
      </c>
      <c r="P53" s="23">
        <f>((P8*Constants!$H30*Constants!$H48*(1-Constants!$H66))+(P8*Constants!$H30*Constants!$H82))</f>
        <v>29953042.580799885</v>
      </c>
      <c r="Q53" s="23">
        <f>((Q8*Constants!$H30*Constants!$H48*(1-Constants!$H66))+(Q8*Constants!$H30*Constants!$H82))</f>
        <v>29468349.46946881</v>
      </c>
      <c r="R53" s="23">
        <f>((R8*Constants!$H30*Constants!$H48*(1-Constants!$H66))+(R8*Constants!$H30*Constants!$H82))</f>
        <v>27466527.166201718</v>
      </c>
      <c r="S53" s="23">
        <f>((S8*Constants!$H30*Constants!$H48*(1-Constants!$H66))+(S8*Constants!$H30*Constants!$H82))</f>
        <v>27609254.946317643</v>
      </c>
      <c r="T53" s="23">
        <f>((T8*Constants!$H30*Constants!$H48*(1-Constants!$H66))+(T8*Constants!$H30*Constants!$H82))</f>
        <v>25732079.006278474</v>
      </c>
      <c r="U53" s="23">
        <f>((U8*Constants!$H30*Constants!$H48*(1-Constants!$H66))+(U8*Constants!$H30*Constants!$H82))</f>
        <v>26405152.269442696</v>
      </c>
      <c r="V53" s="23">
        <f>((V8*Constants!$H30*Constants!$H48*(1-Constants!$H66))+(V8*Constants!$H30*Constants!$H82))</f>
        <v>26648588.839601479</v>
      </c>
      <c r="W53" s="23">
        <f>((W8*Constants!$H30*Constants!$H48*(1-Constants!$H66))+(W8*Constants!$H30*Constants!$H82))</f>
        <v>26874627.923534695</v>
      </c>
      <c r="X53" s="23">
        <f>((X8*Constants!$H30*Constants!$H48*(1-Constants!$H66))+(X8*Constants!$H30*Constants!$H82))</f>
        <v>26262424.489326771</v>
      </c>
      <c r="Y53" s="23">
        <f>((Y8*Constants!$H30*Constants!$H48*(1-Constants!$H66))+(Y8*Constants!$H30*Constants!$H82))</f>
        <v>27031846.484560855</v>
      </c>
      <c r="Z53" s="23">
        <f>((Z8*Constants!$H30*Constants!$H48*(1-Constants!$H66))+(Z8*Constants!$H30*Constants!$H82))</f>
        <v>26280686.506655321</v>
      </c>
      <c r="AA53" s="23">
        <f>((AA8*Constants!$H30*Constants!$H48*(1-Constants!$H66))+(AA8*Constants!$H30*Constants!$H82))</f>
        <v>25839415.868110832</v>
      </c>
      <c r="AB53" s="23">
        <f>((AB8*Constants!$H30*Constants!$H48*(1-Constants!$H66))+(AB8*Constants!$H30*Constants!$H82))</f>
        <v>25758186.634461202</v>
      </c>
      <c r="AC53" s="23">
        <f>((AC8*Constants!$H30*Constants!$H48*(1-Constants!$H66))+(AC8*Constants!$H30*Constants!$H82))</f>
        <v>25665694.273928557</v>
      </c>
      <c r="AD53" s="23">
        <f>((AD8*Constants!$H30*Constants!$H48*(1-Constants!$H66))+(AD8*Constants!$H30*Constants!$H82))</f>
        <v>30372361.89479145</v>
      </c>
      <c r="AE53" s="23">
        <f>((AE8*Constants!$H30*Constants!$H48*(1-Constants!$H66))+(AE8*Constants!$H30*Constants!$H82))</f>
        <v>25204174.300781723</v>
      </c>
      <c r="AF53" s="23">
        <f>((AF8*Constants!$H30*Constants!$H48*(1-Constants!$H66))+(AF8*Constants!$H30*Constants!$H82))</f>
        <v>25783480.670126751</v>
      </c>
      <c r="AG53" s="23">
        <f>((AG8*Constants!$H30*Constants!$H48*(1-Constants!$H66))+(AG8*Constants!$H30*Constants!$H82))</f>
        <v>25191987.511290543</v>
      </c>
      <c r="AH53" s="23">
        <f>((AH8*Constants!$H30*Constants!$H48*(1-Constants!$H66))+(AH8*Constants!$H30*Constants!$H82))</f>
        <v>23985294.44703164</v>
      </c>
      <c r="AI53" s="23">
        <f>((AI8*Constants!$H30*Constants!$H48*(1-Constants!$H66))+(AI8*Constants!$H30*Constants!$H82))</f>
        <v>22315054.55261068</v>
      </c>
      <c r="AJ53" s="23">
        <f>((AJ8*Constants!$H30*Constants!$H48*(1-Constants!$H66))+(AJ8*Constants!$H30*Constants!$H82))</f>
        <v>25002988.326941703</v>
      </c>
      <c r="AK53" s="23">
        <f>((AK8*Constants!$H30*Constants!$H48*(1-Constants!$H66))+(AK8*Constants!$H30*Constants!$H82))</f>
        <v>24927060.182555314</v>
      </c>
      <c r="AL53" s="23">
        <f>((AL8*Constants!$H30*Constants!$H48*(1-Constants!$H66))+(AL8*Constants!$H30*Constants!$H82))</f>
        <v>24961410.360640924</v>
      </c>
      <c r="AM53" s="23">
        <f>((AM8*Constants!$H30*Constants!$H48*(1-Constants!$H66))+(AM8*Constants!$H30*Constants!$H82))</f>
        <v>24868165.822933391</v>
      </c>
      <c r="AN53" s="23">
        <f>((AN8*Constants!$H30*Constants!$H48*(1-Constants!$H66))+(AN8*Constants!$H30*Constants!$H82))</f>
        <v>24776042.292862993</v>
      </c>
      <c r="AO53" s="23">
        <f>((AO8*Constants!$H30*Constants!$H48*(1-Constants!$H66))+(AO8*Constants!$H30*Constants!$H82))</f>
        <v>24683667.127520885</v>
      </c>
      <c r="AP53" s="23">
        <f>((AP8*Constants!$H30*Constants!$H48*(1-Constants!$H66))+(AP8*Constants!$H30*Constants!$H82))</f>
        <v>24592256.99244196</v>
      </c>
      <c r="AQ53" s="23">
        <f>((AQ8*Constants!$H30*Constants!$H48*(1-Constants!$H66))+(AQ8*Constants!$H30*Constants!$H82))</f>
        <v>24499727.520440154</v>
      </c>
      <c r="AR53" s="23">
        <f>((AR8*Constants!$H30*Constants!$H48*(1-Constants!$H66))+(AR8*Constants!$H30*Constants!$H82))</f>
        <v>24396641.413106196</v>
      </c>
      <c r="AS53" s="23">
        <f>((AS8*Constants!$H30*Constants!$H48*(1-Constants!$H66))+(AS8*Constants!$H30*Constants!$H82))</f>
        <v>24293852.093167957</v>
      </c>
      <c r="AT53" s="23">
        <f>((AT8*Constants!$H30*Constants!$H48*(1-Constants!$H66))+(AT8*Constants!$H30*Constants!$H82))</f>
        <v>24189547.649584837</v>
      </c>
      <c r="AU53" s="23">
        <f>((AU8*Constants!$H30*Constants!$H48*(1-Constants!$H66))+(AU8*Constants!$H30*Constants!$H82))</f>
        <v>24084118.172718469</v>
      </c>
      <c r="AV53" s="23">
        <f>((AV8*Constants!$H30*Constants!$H48*(1-Constants!$H66))+(AV8*Constants!$H30*Constants!$H82))</f>
        <v>23977460.977899764</v>
      </c>
      <c r="AW53" s="23">
        <f>((AW8*Constants!$H30*Constants!$H48*(1-Constants!$H66))+(AW8*Constants!$H30*Constants!$H82))</f>
        <v>23865992.542715117</v>
      </c>
      <c r="AX53" s="23">
        <f>((AX8*Constants!$H30*Constants!$H48*(1-Constants!$H66))+(AX8*Constants!$H30*Constants!$H82))</f>
        <v>23756542.502922446</v>
      </c>
      <c r="AY53" s="23">
        <f>((AY8*Constants!$H30*Constants!$H48*(1-Constants!$H66))+(AY8*Constants!$H30*Constants!$H82))</f>
        <v>23642539.979746141</v>
      </c>
      <c r="AZ53" s="23">
        <f>((AZ8*Constants!$H30*Constants!$H48*(1-Constants!$H66))+(AZ8*Constants!$H30*Constants!$H82))</f>
        <v>23525354.875613764</v>
      </c>
      <c r="BA53" s="23">
        <f>((BA8*Constants!$H30*Constants!$H48*(1-Constants!$H66))+(BA8*Constants!$H30*Constants!$H82))</f>
        <v>23404814.934396982</v>
      </c>
      <c r="BB53" s="23">
        <f>((BB8*Constants!$H30*Constants!$H48*(1-Constants!$H66))+(BB8*Constants!$H30*Constants!$H82))</f>
        <v>23280050.078617271</v>
      </c>
      <c r="BC53" s="23">
        <f>((BC8*Constants!$H30*Constants!$H48*(1-Constants!$H66))+(BC8*Constants!$H30*Constants!$H82))</f>
        <v>23152977.6665648</v>
      </c>
      <c r="BD53" s="23">
        <f>((BD8*Constants!$H30*Constants!$H48*(1-Constants!$H66))+(BD8*Constants!$H30*Constants!$H82))</f>
        <v>23025048.00794236</v>
      </c>
      <c r="BE53" s="23">
        <f>((BE8*Constants!$H30*Constants!$H48*(1-Constants!$H66))+(BE8*Constants!$H30*Constants!$H82))</f>
        <v>22894789.029719219</v>
      </c>
      <c r="BF53" s="23">
        <f>((BF8*Constants!$H30*Constants!$H48*(1-Constants!$H66))+(BF8*Constants!$H30*Constants!$H82))</f>
        <v>22760897.276099976</v>
      </c>
      <c r="BG53" s="23">
        <f>((BG8*Constants!$H30*Constants!$H48*(1-Constants!$H66))+(BG8*Constants!$H30*Constants!$H82))</f>
        <v>22614367.62037757</v>
      </c>
      <c r="BH53" s="23">
        <f>((BH8*Constants!$H30*Constants!$H48*(1-Constants!$H66))+(BH8*Constants!$H30*Constants!$H82))</f>
        <v>22465049.201038714</v>
      </c>
      <c r="BI53" s="23">
        <f>((BI8*Constants!$H30*Constants!$H48*(1-Constants!$H66))+(BI8*Constants!$H30*Constants!$H82))</f>
        <v>22313100.990564283</v>
      </c>
      <c r="BJ53" s="23">
        <f>((BJ8*Constants!$H30*Constants!$H48*(1-Constants!$H66))+(BJ8*Constants!$H30*Constants!$H82))</f>
        <v>22158130.586499631</v>
      </c>
      <c r="BK53" s="23">
        <f>((BK8*Constants!$H30*Constants!$H48*(1-Constants!$H66))+(BK8*Constants!$H30*Constants!$H82))</f>
        <v>21998582.211152755</v>
      </c>
      <c r="BL53" s="23">
        <f>((BL8*Constants!$H30*Constants!$H48*(1-Constants!$H66))+(BL8*Constants!$H30*Constants!$H82))</f>
        <v>21838009.630028378</v>
      </c>
      <c r="BM53" s="23">
        <f>((BM8*Constants!$H30*Constants!$H48*(1-Constants!$H66))+(BM8*Constants!$H30*Constants!$H82))</f>
        <v>21673489.793676488</v>
      </c>
      <c r="BN53" s="23">
        <f>((BN8*Constants!$H30*Constants!$H48*(1-Constants!$H66))+(BN8*Constants!$H30*Constants!$H82))</f>
        <v>21507980.122176737</v>
      </c>
      <c r="BO53" s="23">
        <f>((BO8*Constants!$H30*Constants!$H48*(1-Constants!$H66))+(BO8*Constants!$H30*Constants!$H82))</f>
        <v>21338165.449606143</v>
      </c>
      <c r="BP53" s="23">
        <f>((BP8*Constants!$H30*Constants!$H48*(1-Constants!$H66))+(BP8*Constants!$H30*Constants!$H82))</f>
        <v>21163686.528355077</v>
      </c>
    </row>
    <row r="54" spans="1:72" x14ac:dyDescent="0.25">
      <c r="A54" t="str">
        <f t="shared" si="14"/>
        <v>3C Aggregated and non-CO2 emissions on land</v>
      </c>
      <c r="B54" t="str">
        <f t="shared" si="15"/>
        <v>3C4 Direct N2O from managed soils (N2O)</v>
      </c>
      <c r="C54" t="s">
        <v>484</v>
      </c>
      <c r="D54" t="str">
        <f>Constants!D83</f>
        <v xml:space="preserve"> - Subsistence cattle</v>
      </c>
      <c r="E54" t="str">
        <f t="shared" si="17"/>
        <v>MM N available - Subsistence cattle</v>
      </c>
      <c r="F54" t="str">
        <f t="shared" si="18"/>
        <v>kg N</v>
      </c>
      <c r="H54" s="23">
        <f>((H9*Constants!$H31*Constants!$H49*(1-Constants!$H67))+(H9*Constants!$H31*Constants!$H83))</f>
        <v>182411844.37290692</v>
      </c>
      <c r="I54" s="23">
        <f>((I9*Constants!$H31*Constants!$H49*(1-Constants!$H67))+(I9*Constants!$H31*Constants!$H83))</f>
        <v>196517505.44919503</v>
      </c>
      <c r="J54" s="23">
        <f>((J9*Constants!$H31*Constants!$H49*(1-Constants!$H67))+(J9*Constants!$H31*Constants!$H83))</f>
        <v>198441004.68687069</v>
      </c>
      <c r="K54" s="23">
        <f>((K9*Constants!$H31*Constants!$H49*(1-Constants!$H67))+(K9*Constants!$H31*Constants!$H83))</f>
        <v>198441004.68687063</v>
      </c>
      <c r="L54" s="23">
        <f>((L9*Constants!$H31*Constants!$H49*(1-Constants!$H67))+(L9*Constants!$H31*Constants!$H83))</f>
        <v>174397264.2159251</v>
      </c>
      <c r="M54" s="23">
        <f>((M9*Constants!$H31*Constants!$H49*(1-Constants!$H67))+(M9*Constants!$H31*Constants!$H83))</f>
        <v>172153181.77197015</v>
      </c>
      <c r="N54" s="23">
        <f>((N9*Constants!$H31*Constants!$H49*(1-Constants!$H67))+(N9*Constants!$H31*Constants!$H83))</f>
        <v>176320763.45360076</v>
      </c>
      <c r="O54" s="23">
        <f>((O9*Constants!$H31*Constants!$H49*(1-Constants!$H67))+(O9*Constants!$H31*Constants!$H83))</f>
        <v>181450094.75406912</v>
      </c>
      <c r="P54" s="23">
        <f>((P9*Constants!$H31*Constants!$H49*(1-Constants!$H67))+(P9*Constants!$H31*Constants!$H83))</f>
        <v>189464674.91105106</v>
      </c>
      <c r="Q54" s="23">
        <f>((Q9*Constants!$H31*Constants!$H49*(1-Constants!$H67))+(Q9*Constants!$H31*Constants!$H83))</f>
        <v>196196922.24291572</v>
      </c>
      <c r="R54" s="23">
        <f>((R9*Constants!$H31*Constants!$H49*(1-Constants!$H67))+(R9*Constants!$H31*Constants!$H83))</f>
        <v>201646836.74966344</v>
      </c>
      <c r="S54" s="23">
        <f>((S9*Constants!$H31*Constants!$H49*(1-Constants!$H67))+(S9*Constants!$H31*Constants!$H83))</f>
        <v>197479255.06803286</v>
      </c>
      <c r="T54" s="23">
        <f>((T9*Constants!$H31*Constants!$H49*(1-Constants!$H67))+(T9*Constants!$H31*Constants!$H83))</f>
        <v>213187832.17571726</v>
      </c>
      <c r="U54" s="23">
        <f>((U9*Constants!$H31*Constants!$H49*(1-Constants!$H67))+(U9*Constants!$H31*Constants!$H83))</f>
        <v>212867248.96943805</v>
      </c>
      <c r="V54" s="23">
        <f>((V9*Constants!$H31*Constants!$H49*(1-Constants!$H67))+(V9*Constants!$H31*Constants!$H83))</f>
        <v>208379084.08152822</v>
      </c>
      <c r="W54" s="23">
        <f>((W9*Constants!$H31*Constants!$H49*(1-Constants!$H67))+(W9*Constants!$H31*Constants!$H83))</f>
        <v>205814418.43129396</v>
      </c>
      <c r="X54" s="23">
        <f>((X9*Constants!$H31*Constants!$H49*(1-Constants!$H67))+(X9*Constants!$H31*Constants!$H83))</f>
        <v>210623166.5254831</v>
      </c>
      <c r="Y54" s="23">
        <f>((Y9*Constants!$H31*Constants!$H49*(1-Constants!$H67))+(Y9*Constants!$H31*Constants!$H83))</f>
        <v>217675997.06362709</v>
      </c>
      <c r="Z54" s="23">
        <f>((Z9*Constants!$H31*Constants!$H49*(1-Constants!$H67))+(Z9*Constants!$H31*Constants!$H83))</f>
        <v>221843578.74525771</v>
      </c>
      <c r="AA54" s="23">
        <f>((AA9*Constants!$H31*Constants!$H49*(1-Constants!$H67))+(AA9*Constants!$H31*Constants!$H83))</f>
        <v>221202412.33269918</v>
      </c>
      <c r="AB54" s="23">
        <f>((AB9*Constants!$H31*Constants!$H49*(1-Constants!$H67))+(AB9*Constants!$H31*Constants!$H83))</f>
        <v>218637746.68246496</v>
      </c>
      <c r="AC54" s="23">
        <f>((AC9*Constants!$H31*Constants!$H49*(1-Constants!$H67))+(AC9*Constants!$H31*Constants!$H83))</f>
        <v>217996580.2699064</v>
      </c>
      <c r="AD54" s="23">
        <f>((AD9*Constants!$H31*Constants!$H49*(1-Constants!$H67))+(AD9*Constants!$H31*Constants!$H83))</f>
        <v>188823508.49849245</v>
      </c>
      <c r="AE54" s="23">
        <f>((AE9*Constants!$H31*Constants!$H49*(1-Constants!$H67))+(AE9*Constants!$H31*Constants!$H83))</f>
        <v>225690577.22060901</v>
      </c>
      <c r="AF54" s="23">
        <f>((AF9*Constants!$H31*Constants!$H49*(1-Constants!$H67))+(AF9*Constants!$H31*Constants!$H83))</f>
        <v>221843578.74525768</v>
      </c>
      <c r="AG54" s="23">
        <f>((AG9*Constants!$H31*Constants!$H49*(1-Constants!$H67))+(AG9*Constants!$H31*Constants!$H83))</f>
        <v>219278913.09502348</v>
      </c>
      <c r="AH54" s="23">
        <f>((AH9*Constants!$H31*Constants!$H49*(1-Constants!$H67))+(AH9*Constants!$H31*Constants!$H83))</f>
        <v>217355413.85734788</v>
      </c>
      <c r="AI54" s="23">
        <f>((AI9*Constants!$H31*Constants!$H49*(1-Constants!$H67))+(AI9*Constants!$H31*Constants!$H83))</f>
        <v>215111331.41339293</v>
      </c>
      <c r="AJ54" s="23">
        <f>((AJ9*Constants!$H31*Constants!$H49*(1-Constants!$H67))+(AJ9*Constants!$H31*Constants!$H83))</f>
        <v>223409692.80658743</v>
      </c>
      <c r="AK54" s="23">
        <f>((AK9*Constants!$H31*Constants!$H49*(1-Constants!$H67))+(AK9*Constants!$H31*Constants!$H83))</f>
        <v>245476068.32693645</v>
      </c>
      <c r="AL54" s="23">
        <f>((AL9*Constants!$H31*Constants!$H49*(1-Constants!$H67))+(AL9*Constants!$H31*Constants!$H83))</f>
        <v>247187824.20002571</v>
      </c>
      <c r="AM54" s="23">
        <f>((AM9*Constants!$H31*Constants!$H49*(1-Constants!$H67))+(AM9*Constants!$H31*Constants!$H83))</f>
        <v>248922873.47826886</v>
      </c>
      <c r="AN54" s="23">
        <f>((AN9*Constants!$H31*Constants!$H49*(1-Constants!$H67))+(AN9*Constants!$H31*Constants!$H83))</f>
        <v>250657922.72448575</v>
      </c>
      <c r="AO54" s="23">
        <f>((AO9*Constants!$H31*Constants!$H49*(1-Constants!$H67))+(AO9*Constants!$H31*Constants!$H83))</f>
        <v>252392971.97070265</v>
      </c>
      <c r="AP54" s="23">
        <f>((AP9*Constants!$H31*Constants!$H49*(1-Constants!$H67))+(AP9*Constants!$H31*Constants!$H83))</f>
        <v>254128021.21691951</v>
      </c>
      <c r="AQ54" s="23">
        <f>((AQ9*Constants!$H31*Constants!$H49*(1-Constants!$H67))+(AQ9*Constants!$H31*Constants!$H83))</f>
        <v>255863070.49516264</v>
      </c>
      <c r="AR54" s="23">
        <f>((AR9*Constants!$H31*Constants!$H49*(1-Constants!$H67))+(AR9*Constants!$H31*Constants!$H83))</f>
        <v>257742810.2310698</v>
      </c>
      <c r="AS54" s="23">
        <f>((AS9*Constants!$H31*Constants!$H49*(1-Constants!$H67))+(AS9*Constants!$H31*Constants!$H83))</f>
        <v>259622549.96697697</v>
      </c>
      <c r="AT54" s="23">
        <f>((AT9*Constants!$H31*Constants!$H49*(1-Constants!$H67))+(AT9*Constants!$H31*Constants!$H83))</f>
        <v>261502289.70288411</v>
      </c>
      <c r="AU54" s="23">
        <f>((AU9*Constants!$H31*Constants!$H49*(1-Constants!$H67))+(AU9*Constants!$H31*Constants!$H83))</f>
        <v>263382029.43879128</v>
      </c>
      <c r="AV54" s="23">
        <f>((AV9*Constants!$H31*Constants!$H49*(1-Constants!$H67))+(AV9*Constants!$H31*Constants!$H83))</f>
        <v>265261769.17469844</v>
      </c>
      <c r="AW54" s="23">
        <f>((AW9*Constants!$H31*Constants!$H49*(1-Constants!$H67))+(AW9*Constants!$H31*Constants!$H83))</f>
        <v>267077691.49078262</v>
      </c>
      <c r="AX54" s="23">
        <f>((AX9*Constants!$H31*Constants!$H49*(1-Constants!$H67))+(AX9*Constants!$H31*Constants!$H83))</f>
        <v>268893613.77484047</v>
      </c>
      <c r="AY54" s="23">
        <f>((AY9*Constants!$H31*Constants!$H49*(1-Constants!$H67))+(AY9*Constants!$H31*Constants!$H83))</f>
        <v>270709536.09092462</v>
      </c>
      <c r="AZ54" s="23">
        <f>((AZ9*Constants!$H31*Constants!$H49*(1-Constants!$H67))+(AZ9*Constants!$H31*Constants!$H83))</f>
        <v>272525458.3749826</v>
      </c>
      <c r="BA54" s="23">
        <f>((BA9*Constants!$H31*Constants!$H49*(1-Constants!$H67))+(BA9*Constants!$H31*Constants!$H83))</f>
        <v>274341380.65904045</v>
      </c>
      <c r="BB54" s="23">
        <f>((BB9*Constants!$H31*Constants!$H49*(1-Constants!$H67))+(BB9*Constants!$H31*Constants!$H83))</f>
        <v>276228695.37461352</v>
      </c>
      <c r="BC54" s="23">
        <f>((BC9*Constants!$H31*Constants!$H49*(1-Constants!$H67))+(BC9*Constants!$H31*Constants!$H83))</f>
        <v>278116010.09018672</v>
      </c>
      <c r="BD54" s="23">
        <f>((BD9*Constants!$H31*Constants!$H49*(1-Constants!$H67))+(BD9*Constants!$H31*Constants!$H83))</f>
        <v>280003324.77373356</v>
      </c>
      <c r="BE54" s="23">
        <f>((BE9*Constants!$H31*Constants!$H49*(1-Constants!$H67))+(BE9*Constants!$H31*Constants!$H83))</f>
        <v>281890639.48930663</v>
      </c>
      <c r="BF54" s="23">
        <f>((BF9*Constants!$H31*Constants!$H49*(1-Constants!$H67))+(BF9*Constants!$H31*Constants!$H83))</f>
        <v>283777954.20487982</v>
      </c>
      <c r="BG54" s="23">
        <f>((BG9*Constants!$H31*Constants!$H49*(1-Constants!$H67))+(BG9*Constants!$H31*Constants!$H83))</f>
        <v>285932377.45989573</v>
      </c>
      <c r="BH54" s="23">
        <f>((BH9*Constants!$H31*Constants!$H49*(1-Constants!$H67))+(BH9*Constants!$H31*Constants!$H83))</f>
        <v>288086800.68288535</v>
      </c>
      <c r="BI54" s="23">
        <f>((BI9*Constants!$H31*Constants!$H49*(1-Constants!$H67))+(BI9*Constants!$H31*Constants!$H83))</f>
        <v>290241223.93790132</v>
      </c>
      <c r="BJ54" s="23">
        <f>((BJ9*Constants!$H31*Constants!$H49*(1-Constants!$H67))+(BJ9*Constants!$H31*Constants!$H83))</f>
        <v>292395647.19291717</v>
      </c>
      <c r="BK54" s="23">
        <f>((BK9*Constants!$H31*Constants!$H49*(1-Constants!$H67))+(BK9*Constants!$H31*Constants!$H83))</f>
        <v>294550070.44793308</v>
      </c>
      <c r="BL54" s="23">
        <f>((BL9*Constants!$H31*Constants!$H49*(1-Constants!$H67))+(BL9*Constants!$H31*Constants!$H83))</f>
        <v>296628455.15750843</v>
      </c>
      <c r="BM54" s="23">
        <f>((BM9*Constants!$H31*Constants!$H49*(1-Constants!$H67))+(BM9*Constants!$H31*Constants!$H83))</f>
        <v>298706839.86708355</v>
      </c>
      <c r="BN54" s="23">
        <f>((BN9*Constants!$H31*Constants!$H49*(1-Constants!$H67))+(BN9*Constants!$H31*Constants!$H83))</f>
        <v>300785224.60868514</v>
      </c>
      <c r="BO54" s="23">
        <f>((BO9*Constants!$H31*Constants!$H49*(1-Constants!$H67))+(BO9*Constants!$H31*Constants!$H83))</f>
        <v>302863609.31826031</v>
      </c>
      <c r="BP54" s="23">
        <f>((BP9*Constants!$H31*Constants!$H49*(1-Constants!$H67))+(BP9*Constants!$H31*Constants!$H83))</f>
        <v>304941994.02783555</v>
      </c>
    </row>
    <row r="55" spans="1:72" x14ac:dyDescent="0.25">
      <c r="A55" t="str">
        <f t="shared" si="14"/>
        <v>3C Aggregated and non-CO2 emissions on land</v>
      </c>
      <c r="B55" t="str">
        <f t="shared" si="15"/>
        <v>3C4 Direct N2O from managed soils (N2O)</v>
      </c>
      <c r="C55" t="s">
        <v>484</v>
      </c>
      <c r="D55" t="str">
        <f>Constants!D84</f>
        <v xml:space="preserve"> - Feedlot</v>
      </c>
      <c r="E55" t="str">
        <f t="shared" si="17"/>
        <v>MM N available - Feedlot</v>
      </c>
      <c r="F55" t="str">
        <f t="shared" si="18"/>
        <v>kg N</v>
      </c>
      <c r="H55" s="23">
        <f>((H10*Constants!$H32*Constants!$H50*(1-Constants!$H68))+(H10*Constants!$H32*Constants!$H84))</f>
        <v>16959658.715999998</v>
      </c>
      <c r="I55" s="23">
        <f>((I10*Constants!$H32*Constants!$H50*(1-Constants!$H68))+(I10*Constants!$H32*Constants!$H84))</f>
        <v>16959658.715999998</v>
      </c>
      <c r="J55" s="23">
        <f>((J10*Constants!$H32*Constants!$H50*(1-Constants!$H68))+(J10*Constants!$H32*Constants!$H84))</f>
        <v>16959658.715999998</v>
      </c>
      <c r="K55" s="23">
        <f>((K10*Constants!$H32*Constants!$H50*(1-Constants!$H68))+(K10*Constants!$H32*Constants!$H84))</f>
        <v>16959658.715999998</v>
      </c>
      <c r="L55" s="23">
        <f>((L10*Constants!$H32*Constants!$H50*(1-Constants!$H68))+(L10*Constants!$H32*Constants!$H84))</f>
        <v>16959658.715999998</v>
      </c>
      <c r="M55" s="23">
        <f>((M10*Constants!$H32*Constants!$H50*(1-Constants!$H68))+(M10*Constants!$H32*Constants!$H84))</f>
        <v>16959658.715999998</v>
      </c>
      <c r="N55" s="23">
        <f>((N10*Constants!$H32*Constants!$H50*(1-Constants!$H68))+(N10*Constants!$H32*Constants!$H84))</f>
        <v>16959658.715999998</v>
      </c>
      <c r="O55" s="23">
        <f>((O10*Constants!$H32*Constants!$H50*(1-Constants!$H68))+(O10*Constants!$H32*Constants!$H84))</f>
        <v>16959658.715999998</v>
      </c>
      <c r="P55" s="23">
        <f>((P10*Constants!$H32*Constants!$H50*(1-Constants!$H68))+(P10*Constants!$H32*Constants!$H84))</f>
        <v>16959658.715999998</v>
      </c>
      <c r="Q55" s="23">
        <f>((Q10*Constants!$H32*Constants!$H50*(1-Constants!$H68))+(Q10*Constants!$H32*Constants!$H84))</f>
        <v>16959658.715999998</v>
      </c>
      <c r="R55" s="23">
        <f>((R10*Constants!$H32*Constants!$H50*(1-Constants!$H68))+(R10*Constants!$H32*Constants!$H84))</f>
        <v>16959658.715999998</v>
      </c>
      <c r="S55" s="23">
        <f>((S10*Constants!$H32*Constants!$H50*(1-Constants!$H68))+(S10*Constants!$H32*Constants!$H84))</f>
        <v>16959658.715999998</v>
      </c>
      <c r="T55" s="23">
        <f>((T10*Constants!$H32*Constants!$H50*(1-Constants!$H68))+(T10*Constants!$H32*Constants!$H84))</f>
        <v>16959658.715999998</v>
      </c>
      <c r="U55" s="23">
        <f>((U10*Constants!$H32*Constants!$H50*(1-Constants!$H68))+(U10*Constants!$H32*Constants!$H84))</f>
        <v>16959658.715999998</v>
      </c>
      <c r="V55" s="23">
        <f>((V10*Constants!$H32*Constants!$H50*(1-Constants!$H68))+(V10*Constants!$H32*Constants!$H84))</f>
        <v>16959658.715999998</v>
      </c>
      <c r="W55" s="23">
        <f>((W10*Constants!$H32*Constants!$H50*(1-Constants!$H68))+(W10*Constants!$H32*Constants!$H84))</f>
        <v>16959658.715999998</v>
      </c>
      <c r="X55" s="23">
        <f>((X10*Constants!$H32*Constants!$H50*(1-Constants!$H68))+(X10*Constants!$H32*Constants!$H84))</f>
        <v>16959658.715999998</v>
      </c>
      <c r="Y55" s="23">
        <f>((Y10*Constants!$H32*Constants!$H50*(1-Constants!$H68))+(Y10*Constants!$H32*Constants!$H84))</f>
        <v>16959658.715999998</v>
      </c>
      <c r="Z55" s="23">
        <f>((Z10*Constants!$H32*Constants!$H50*(1-Constants!$H68))+(Z10*Constants!$H32*Constants!$H84))</f>
        <v>15794600.827455448</v>
      </c>
      <c r="AA55" s="23">
        <f>((AA10*Constants!$H32*Constants!$H50*(1-Constants!$H68))+(AA10*Constants!$H32*Constants!$H84))</f>
        <v>16185144.079554448</v>
      </c>
      <c r="AB55" s="23">
        <f>((AB10*Constants!$H32*Constants!$H50*(1-Constants!$H68))+(AB10*Constants!$H32*Constants!$H84))</f>
        <v>16144881.715162199</v>
      </c>
      <c r="AC55" s="23">
        <f>((AC10*Constants!$H32*Constants!$H50*(1-Constants!$H68))+(AC10*Constants!$H32*Constants!$H84))</f>
        <v>18647555.2896633</v>
      </c>
      <c r="AD55" s="23">
        <f>((AD10*Constants!$H32*Constants!$H50*(1-Constants!$H68))+(AD10*Constants!$H32*Constants!$H84))</f>
        <v>19555038.3614586</v>
      </c>
      <c r="AE55" s="23">
        <f>((AE10*Constants!$H32*Constants!$H50*(1-Constants!$H68))+(AE10*Constants!$H32*Constants!$H84))</f>
        <v>20297036.890330199</v>
      </c>
      <c r="AF55" s="23">
        <f>((AF10*Constants!$H32*Constants!$H50*(1-Constants!$H68))+(AF10*Constants!$H32*Constants!$H84))</f>
        <v>21039062.339295</v>
      </c>
      <c r="AG55" s="23">
        <f>((AG10*Constants!$H32*Constants!$H50*(1-Constants!$H68))+(AG10*Constants!$H32*Constants!$H84))</f>
        <v>21781047.408119999</v>
      </c>
      <c r="AH55" s="23">
        <f>((AH10*Constants!$H32*Constants!$H50*(1-Constants!$H68))+(AH10*Constants!$H32*Constants!$H84))</f>
        <v>22941411.105412796</v>
      </c>
      <c r="AI55" s="23">
        <f>((AI10*Constants!$H32*Constants!$H50*(1-Constants!$H68))+(AI10*Constants!$H32*Constants!$H84))</f>
        <v>23888285.003582999</v>
      </c>
      <c r="AJ55" s="23">
        <f>((AJ10*Constants!$H32*Constants!$H50*(1-Constants!$H68))+(AJ10*Constants!$H32*Constants!$H84))</f>
        <v>21297867.086419277</v>
      </c>
      <c r="AK55" s="23">
        <f>((AK10*Constants!$H32*Constants!$H50*(1-Constants!$H68))+(AK10*Constants!$H32*Constants!$H84))</f>
        <v>21541612.492871407</v>
      </c>
      <c r="AL55" s="23">
        <f>((AL10*Constants!$H32*Constants!$H50*(1-Constants!$H68))+(AL10*Constants!$H32*Constants!$H84))</f>
        <v>21431341.15426774</v>
      </c>
      <c r="AM55" s="23">
        <f>((AM10*Constants!$H32*Constants!$H50*(1-Constants!$H68))+(AM10*Constants!$H32*Constants!$H84))</f>
        <v>21730675.846648801</v>
      </c>
      <c r="AN55" s="23">
        <f>((AN10*Constants!$H32*Constants!$H50*(1-Constants!$H68))+(AN10*Constants!$H32*Constants!$H84))</f>
        <v>22026411.867359985</v>
      </c>
      <c r="AO55" s="23">
        <f>((AO10*Constants!$H32*Constants!$H50*(1-Constants!$H68))+(AO10*Constants!$H32*Constants!$H84))</f>
        <v>22322955.690528035</v>
      </c>
      <c r="AP55" s="23">
        <f>((AP10*Constants!$H32*Constants!$H50*(1-Constants!$H68))+(AP10*Constants!$H32*Constants!$H84))</f>
        <v>22616401.562394399</v>
      </c>
      <c r="AQ55" s="23">
        <f>((AQ10*Constants!$H32*Constants!$H50*(1-Constants!$H68))+(AQ10*Constants!$H32*Constants!$H84))</f>
        <v>22913440.742584404</v>
      </c>
      <c r="AR55" s="23">
        <f>((AR10*Constants!$H32*Constants!$H50*(1-Constants!$H68))+(AR10*Constants!$H32*Constants!$H84))</f>
        <v>23244368.955498677</v>
      </c>
      <c r="AS55" s="23">
        <f>((AS10*Constants!$H32*Constants!$H50*(1-Constants!$H68))+(AS10*Constants!$H32*Constants!$H84))</f>
        <v>23574344.418085862</v>
      </c>
      <c r="AT55" s="23">
        <f>((AT10*Constants!$H32*Constants!$H50*(1-Constants!$H68))+(AT10*Constants!$H32*Constants!$H84))</f>
        <v>23909183.748104956</v>
      </c>
      <c r="AU55" s="23">
        <f>((AU10*Constants!$H32*Constants!$H50*(1-Constants!$H68))+(AU10*Constants!$H32*Constants!$H84))</f>
        <v>24247634.672969591</v>
      </c>
      <c r="AV55" s="23">
        <f>((AV10*Constants!$H32*Constants!$H50*(1-Constants!$H68))+(AV10*Constants!$H32*Constants!$H84))</f>
        <v>24590026.832191009</v>
      </c>
      <c r="AW55" s="23">
        <f>((AW10*Constants!$H32*Constants!$H50*(1-Constants!$H68))+(AW10*Constants!$H32*Constants!$H84))</f>
        <v>24947864.090828612</v>
      </c>
      <c r="AX55" s="23">
        <f>((AX10*Constants!$H32*Constants!$H50*(1-Constants!$H68))+(AX10*Constants!$H32*Constants!$H84))</f>
        <v>25299221.873256519</v>
      </c>
      <c r="AY55" s="23">
        <f>((AY10*Constants!$H32*Constants!$H50*(1-Constants!$H68))+(AY10*Constants!$H32*Constants!$H84))</f>
        <v>25665194.090446118</v>
      </c>
      <c r="AZ55" s="23">
        <f>((AZ10*Constants!$H32*Constants!$H50*(1-Constants!$H68))+(AZ10*Constants!$H32*Constants!$H84))</f>
        <v>26041383.065795325</v>
      </c>
      <c r="BA55" s="23">
        <f>((BA10*Constants!$H32*Constants!$H50*(1-Constants!$H68))+(BA10*Constants!$H32*Constants!$H84))</f>
        <v>26428341.777917735</v>
      </c>
      <c r="BB55" s="23">
        <f>((BB10*Constants!$H32*Constants!$H50*(1-Constants!$H68))+(BB10*Constants!$H32*Constants!$H84))</f>
        <v>26828863.359588582</v>
      </c>
      <c r="BC55" s="23">
        <f>((BC10*Constants!$H32*Constants!$H50*(1-Constants!$H68))+(BC10*Constants!$H32*Constants!$H84))</f>
        <v>27236792.68506984</v>
      </c>
      <c r="BD55" s="23">
        <f>((BD10*Constants!$H32*Constants!$H50*(1-Constants!$H68))+(BD10*Constants!$H32*Constants!$H84))</f>
        <v>27647473.953395419</v>
      </c>
      <c r="BE55" s="23">
        <f>((BE10*Constants!$H32*Constants!$H50*(1-Constants!$H68))+(BE10*Constants!$H32*Constants!$H84))</f>
        <v>28065632.830418251</v>
      </c>
      <c r="BF55" s="23">
        <f>((BF10*Constants!$H32*Constants!$H50*(1-Constants!$H68))+(BF10*Constants!$H32*Constants!$H84))</f>
        <v>28495453.684994057</v>
      </c>
      <c r="BG55" s="23">
        <f>((BG10*Constants!$H32*Constants!$H50*(1-Constants!$H68))+(BG10*Constants!$H32*Constants!$H84))</f>
        <v>28965844.878931262</v>
      </c>
      <c r="BH55" s="23">
        <f>((BH10*Constants!$H32*Constants!$H50*(1-Constants!$H68))+(BH10*Constants!$H32*Constants!$H84))</f>
        <v>29445188.594053905</v>
      </c>
      <c r="BI55" s="23">
        <f>((BI10*Constants!$H32*Constants!$H50*(1-Constants!$H68))+(BI10*Constants!$H32*Constants!$H84))</f>
        <v>29932974.495066978</v>
      </c>
      <c r="BJ55" s="23">
        <f>((BJ10*Constants!$H32*Constants!$H50*(1-Constants!$H68))+(BJ10*Constants!$H32*Constants!$H84))</f>
        <v>30430462.276864558</v>
      </c>
      <c r="BK55" s="23">
        <f>((BK10*Constants!$H32*Constants!$H50*(1-Constants!$H68))+(BK10*Constants!$H32*Constants!$H84))</f>
        <v>30942646.314970396</v>
      </c>
      <c r="BL55" s="23">
        <f>((BL10*Constants!$H32*Constants!$H50*(1-Constants!$H68))+(BL10*Constants!$H32*Constants!$H84))</f>
        <v>31458118.270297777</v>
      </c>
      <c r="BM55" s="23">
        <f>((BM10*Constants!$H32*Constants!$H50*(1-Constants!$H68))+(BM10*Constants!$H32*Constants!$H84))</f>
        <v>31986261.749966674</v>
      </c>
      <c r="BN55" s="23">
        <f>((BN10*Constants!$H32*Constants!$H50*(1-Constants!$H68))+(BN10*Constants!$H32*Constants!$H84))</f>
        <v>32517582.809864707</v>
      </c>
      <c r="BO55" s="23">
        <f>((BO10*Constants!$H32*Constants!$H50*(1-Constants!$H68))+(BO10*Constants!$H32*Constants!$H84))</f>
        <v>33062723.833944257</v>
      </c>
      <c r="BP55" s="23">
        <f>((BP10*Constants!$H32*Constants!$H50*(1-Constants!$H68))+(BP10*Constants!$H32*Constants!$H84))</f>
        <v>33622838.083032839</v>
      </c>
    </row>
    <row r="56" spans="1:72" x14ac:dyDescent="0.25">
      <c r="A56" t="str">
        <f t="shared" si="14"/>
        <v>3C Aggregated and non-CO2 emissions on land</v>
      </c>
      <c r="B56" t="str">
        <f t="shared" si="15"/>
        <v>3C4 Direct N2O from managed soils (N2O)</v>
      </c>
      <c r="C56" t="s">
        <v>484</v>
      </c>
      <c r="D56" t="str">
        <f>Constants!D85</f>
        <v xml:space="preserve"> - Commercial sheep</v>
      </c>
      <c r="E56" t="str">
        <f t="shared" si="17"/>
        <v>MM N available - Commercial sheep</v>
      </c>
      <c r="F56" t="str">
        <f t="shared" si="18"/>
        <v>kg N</v>
      </c>
      <c r="H56" s="23">
        <f>((H11*Constants!$H33*Constants!$H51*(1-Constants!$H69))+(H11*Constants!$H33*Constants!$H85))</f>
        <v>5854027.4791245274</v>
      </c>
      <c r="I56" s="23">
        <f>((I11*Constants!$H33*Constants!$H51*(1-Constants!$H69))+(I11*Constants!$H33*Constants!$H85))</f>
        <v>5590802.2534045279</v>
      </c>
      <c r="J56" s="23">
        <f>((J11*Constants!$H33*Constants!$H51*(1-Constants!$H69))+(J11*Constants!$H33*Constants!$H85))</f>
        <v>5359796.7326131631</v>
      </c>
      <c r="K56" s="23">
        <f>((K11*Constants!$H33*Constants!$H51*(1-Constants!$H69))+(K11*Constants!$H33*Constants!$H85))</f>
        <v>5012605.003139752</v>
      </c>
      <c r="L56" s="23">
        <f>((L11*Constants!$H33*Constants!$H51*(1-Constants!$H69))+(L11*Constants!$H33*Constants!$H85))</f>
        <v>5047949.0430917693</v>
      </c>
      <c r="M56" s="23">
        <f>((M11*Constants!$H33*Constants!$H51*(1-Constants!$H69))+(M11*Constants!$H33*Constants!$H85))</f>
        <v>4975698.7956760423</v>
      </c>
      <c r="N56" s="23">
        <f>((N11*Constants!$H33*Constants!$H51*(1-Constants!$H69))+(N11*Constants!$H33*Constants!$H85))</f>
        <v>4992296.8254877636</v>
      </c>
      <c r="O56" s="23">
        <f>((O11*Constants!$H33*Constants!$H51*(1-Constants!$H69))+(O11*Constants!$H33*Constants!$H85))</f>
        <v>4883726.1834252123</v>
      </c>
      <c r="P56" s="23">
        <f>((P11*Constants!$H33*Constants!$H51*(1-Constants!$H69))+(P11*Constants!$H33*Constants!$H85))</f>
        <v>4897199.8782135509</v>
      </c>
      <c r="Q56" s="23">
        <f>((Q11*Constants!$H33*Constants!$H51*(1-Constants!$H69))+(Q11*Constants!$H33*Constants!$H85))</f>
        <v>4776912.9798133131</v>
      </c>
      <c r="R56" s="23">
        <f>((R11*Constants!$H33*Constants!$H51*(1-Constants!$H69))+(R11*Constants!$H33*Constants!$H85))</f>
        <v>4605660.3663441446</v>
      </c>
      <c r="S56" s="23">
        <f>((S11*Constants!$H33*Constants!$H51*(1-Constants!$H69))+(S11*Constants!$H33*Constants!$H85))</f>
        <v>4490841.0542348269</v>
      </c>
      <c r="T56" s="23">
        <f>((T11*Constants!$H33*Constants!$H51*(1-Constants!$H69))+(T11*Constants!$H33*Constants!$H85))</f>
        <v>4415857.0136736408</v>
      </c>
      <c r="U56" s="23">
        <f>((U11*Constants!$H33*Constants!$H51*(1-Constants!$H69))+(U11*Constants!$H33*Constants!$H85))</f>
        <v>4431283.4178515924</v>
      </c>
      <c r="V56" s="23">
        <f>((V11*Constants!$H33*Constants!$H51*(1-Constants!$H69))+(V11*Constants!$H33*Constants!$H85))</f>
        <v>4352393.9585111775</v>
      </c>
      <c r="W56" s="23">
        <f>((W11*Constants!$H33*Constants!$H51*(1-Constants!$H69))+(W11*Constants!$H33*Constants!$H85))</f>
        <v>4342044.5987462224</v>
      </c>
      <c r="X56" s="23">
        <f>((X11*Constants!$H33*Constants!$H51*(1-Constants!$H69))+(X11*Constants!$H33*Constants!$H85))</f>
        <v>4285220.7555084471</v>
      </c>
      <c r="Y56" s="23">
        <f>((Y11*Constants!$H33*Constants!$H51*(1-Constants!$H69))+(Y11*Constants!$H33*Constants!$H85))</f>
        <v>4281120.0657902574</v>
      </c>
      <c r="Z56" s="23">
        <f>((Z11*Constants!$H33*Constants!$H51*(1-Constants!$H69))+(Z11*Constants!$H33*Constants!$H85))</f>
        <v>4294984.3024565196</v>
      </c>
      <c r="AA56" s="23">
        <f>((AA11*Constants!$H33*Constants!$H51*(1-Constants!$H69))+(AA11*Constants!$H33*Constants!$H85))</f>
        <v>4279753.1692175278</v>
      </c>
      <c r="AB56" s="23">
        <f>((AB11*Constants!$H33*Constants!$H51*(1-Constants!$H69))+(AB11*Constants!$H33*Constants!$H85))</f>
        <v>4196958.2910978841</v>
      </c>
      <c r="AC56" s="23">
        <f>((AC11*Constants!$H33*Constants!$H51*(1-Constants!$H69))+(AC11*Constants!$H33*Constants!$H85))</f>
        <v>4164152.7733523645</v>
      </c>
      <c r="AD56" s="23">
        <f>((AD11*Constants!$H33*Constants!$H51*(1-Constants!$H69))+(AD11*Constants!$H33*Constants!$H85))</f>
        <v>4184070.4091264303</v>
      </c>
      <c r="AE56" s="23">
        <f>((AE11*Constants!$H33*Constants!$H51*(1-Constants!$H69))+(AE11*Constants!$H33*Constants!$H85))</f>
        <v>4215704.3012381801</v>
      </c>
      <c r="AF56" s="23">
        <f>((AF11*Constants!$H33*Constants!$H51*(1-Constants!$H69))+(AF11*Constants!$H33*Constants!$H85))</f>
        <v>4140134.4478601096</v>
      </c>
      <c r="AG56" s="23">
        <f>((AG11*Constants!$H33*Constants!$H51*(1-Constants!$H69))+(AG11*Constants!$H33*Constants!$H85))</f>
        <v>4107133.6591756293</v>
      </c>
      <c r="AH56" s="23">
        <f>((AH11*Constants!$H33*Constants!$H51*(1-Constants!$H69))+(AH11*Constants!$H33*Constants!$H85))</f>
        <v>3990947.4504935821</v>
      </c>
      <c r="AI56" s="23">
        <f>((AI11*Constants!$H33*Constants!$H51*(1-Constants!$H69))+(AI11*Constants!$H33*Constants!$H85))</f>
        <v>3894093.0647687158</v>
      </c>
      <c r="AJ56" s="23">
        <f>((AJ11*Constants!$H33*Constants!$H51*(1-Constants!$H69))+(AJ11*Constants!$H33*Constants!$H85))</f>
        <v>4141263.7088895743</v>
      </c>
      <c r="AK56" s="23">
        <f>((AK11*Constants!$H33*Constants!$H51*(1-Constants!$H69))+(AK11*Constants!$H33*Constants!$H85))</f>
        <v>4128319.0578514524</v>
      </c>
      <c r="AL56" s="23">
        <f>((AL11*Constants!$H33*Constants!$H51*(1-Constants!$H69))+(AL11*Constants!$H33*Constants!$H85))</f>
        <v>4085327.4944996391</v>
      </c>
      <c r="AM56" s="23">
        <f>((AM11*Constants!$H33*Constants!$H51*(1-Constants!$H69))+(AM11*Constants!$H33*Constants!$H85))</f>
        <v>4076643.2775522233</v>
      </c>
      <c r="AN56" s="23">
        <f>((AN11*Constants!$H33*Constants!$H51*(1-Constants!$H69))+(AN11*Constants!$H33*Constants!$H85))</f>
        <v>4067653.6266080914</v>
      </c>
      <c r="AO56" s="23">
        <f>((AO11*Constants!$H33*Constants!$H51*(1-Constants!$H69))+(AO11*Constants!$H33*Constants!$H85))</f>
        <v>4058732.5373066724</v>
      </c>
      <c r="AP56" s="23">
        <f>((AP11*Constants!$H33*Constants!$H51*(1-Constants!$H69))+(AP11*Constants!$H33*Constants!$H85))</f>
        <v>4049548.5116543192</v>
      </c>
      <c r="AQ56" s="23">
        <f>((AQ11*Constants!$H33*Constants!$H51*(1-Constants!$H69))+(AQ11*Constants!$H33*Constants!$H85))</f>
        <v>4040669.4647885934</v>
      </c>
      <c r="AR56" s="23">
        <f>((AR11*Constants!$H33*Constants!$H51*(1-Constants!$H69))+(AR11*Constants!$H33*Constants!$H85))</f>
        <v>4031823.8648722172</v>
      </c>
      <c r="AS56" s="23">
        <f>((AS11*Constants!$H33*Constants!$H51*(1-Constants!$H69))+(AS11*Constants!$H33*Constants!$H85))</f>
        <v>4022897.4009686592</v>
      </c>
      <c r="AT56" s="23">
        <f>((AT11*Constants!$H33*Constants!$H51*(1-Constants!$H69))+(AT11*Constants!$H33*Constants!$H85))</f>
        <v>4014383.7542560198</v>
      </c>
      <c r="AU56" s="23">
        <f>((AU11*Constants!$H33*Constants!$H51*(1-Constants!$H69))+(AU11*Constants!$H33*Constants!$H85))</f>
        <v>4006176.6390144248</v>
      </c>
      <c r="AV56" s="23">
        <f>((AV11*Constants!$H33*Constants!$H51*(1-Constants!$H69))+(AV11*Constants!$H33*Constants!$H85))</f>
        <v>3998304.0331562976</v>
      </c>
      <c r="AW56" s="23">
        <f>((AW11*Constants!$H33*Constants!$H51*(1-Constants!$H69))+(AW11*Constants!$H33*Constants!$H85))</f>
        <v>3992996.1954543409</v>
      </c>
      <c r="AX56" s="23">
        <f>((AX11*Constants!$H33*Constants!$H51*(1-Constants!$H69))+(AX11*Constants!$H33*Constants!$H85))</f>
        <v>3987138.4175773328</v>
      </c>
      <c r="AY56" s="23">
        <f>((AY11*Constants!$H33*Constants!$H51*(1-Constants!$H69))+(AY11*Constants!$H33*Constants!$H85))</f>
        <v>3982521.0285326815</v>
      </c>
      <c r="AZ56" s="23">
        <f>((AZ11*Constants!$H33*Constants!$H51*(1-Constants!$H69))+(AZ11*Constants!$H33*Constants!$H85))</f>
        <v>3978770.7799936789</v>
      </c>
      <c r="BA56" s="23">
        <f>((BA11*Constants!$H33*Constants!$H51*(1-Constants!$H69))+(BA11*Constants!$H33*Constants!$H85))</f>
        <v>3975934.6049864688</v>
      </c>
      <c r="BB56" s="23">
        <f>((BB11*Constants!$H33*Constants!$H51*(1-Constants!$H69))+(BB11*Constants!$H33*Constants!$H85))</f>
        <v>3972846.8590957727</v>
      </c>
      <c r="BC56" s="23">
        <f>((BC11*Constants!$H33*Constants!$H51*(1-Constants!$H69))+(BC11*Constants!$H33*Constants!$H85))</f>
        <v>3970387.8400430675</v>
      </c>
      <c r="BD56" s="23">
        <f>((BD11*Constants!$H33*Constants!$H51*(1-Constants!$H69))+(BD11*Constants!$H33*Constants!$H85))</f>
        <v>3968162.3907557875</v>
      </c>
      <c r="BE56" s="23">
        <f>((BE11*Constants!$H33*Constants!$H51*(1-Constants!$H69))+(BE11*Constants!$H33*Constants!$H85))</f>
        <v>3966571.5974084223</v>
      </c>
      <c r="BF56" s="23">
        <f>((BF11*Constants!$H33*Constants!$H51*(1-Constants!$H69))+(BF11*Constants!$H33*Constants!$H85))</f>
        <v>3965970.605876456</v>
      </c>
      <c r="BG56" s="23">
        <f>((BG11*Constants!$H33*Constants!$H51*(1-Constants!$H69))+(BG11*Constants!$H33*Constants!$H85))</f>
        <v>3963564.877231509</v>
      </c>
      <c r="BH56" s="23">
        <f>((BH11*Constants!$H33*Constants!$H51*(1-Constants!$H69))+(BH11*Constants!$H33*Constants!$H85))</f>
        <v>3961918.987903676</v>
      </c>
      <c r="BI56" s="23">
        <f>((BI11*Constants!$H33*Constants!$H51*(1-Constants!$H69))+(BI11*Constants!$H33*Constants!$H85))</f>
        <v>3960989.6222995478</v>
      </c>
      <c r="BJ56" s="23">
        <f>((BJ11*Constants!$H33*Constants!$H51*(1-Constants!$H69))+(BJ11*Constants!$H33*Constants!$H85))</f>
        <v>3960883.6967311841</v>
      </c>
      <c r="BK56" s="23">
        <f>((BK11*Constants!$H33*Constants!$H51*(1-Constants!$H69))+(BK11*Constants!$H33*Constants!$H85))</f>
        <v>3962025.1051683486</v>
      </c>
      <c r="BL56" s="23">
        <f>((BL11*Constants!$H33*Constants!$H51*(1-Constants!$H69))+(BL11*Constants!$H33*Constants!$H85))</f>
        <v>3964939.5689538145</v>
      </c>
      <c r="BM56" s="23">
        <f>((BM11*Constants!$H33*Constants!$H51*(1-Constants!$H69))+(BM11*Constants!$H33*Constants!$H85))</f>
        <v>3968929.5190999941</v>
      </c>
      <c r="BN56" s="23">
        <f>((BN11*Constants!$H33*Constants!$H51*(1-Constants!$H69))+(BN11*Constants!$H33*Constants!$H85))</f>
        <v>3973189.1634148331</v>
      </c>
      <c r="BO56" s="23">
        <f>((BO11*Constants!$H33*Constants!$H51*(1-Constants!$H69))+(BO11*Constants!$H33*Constants!$H85))</f>
        <v>3978621.7677111002</v>
      </c>
      <c r="BP56" s="23">
        <f>((BP11*Constants!$H33*Constants!$H51*(1-Constants!$H69))+(BP11*Constants!$H33*Constants!$H85))</f>
        <v>3985325.2135287989</v>
      </c>
    </row>
    <row r="57" spans="1:72" x14ac:dyDescent="0.25">
      <c r="A57" t="str">
        <f t="shared" si="14"/>
        <v>3C Aggregated and non-CO2 emissions on land</v>
      </c>
      <c r="B57" t="str">
        <f t="shared" si="15"/>
        <v>3C4 Direct N2O from managed soils (N2O)</v>
      </c>
      <c r="C57" t="s">
        <v>484</v>
      </c>
      <c r="D57" t="str">
        <f>Constants!D86</f>
        <v xml:space="preserve"> - Subsistence sheep</v>
      </c>
      <c r="E57" t="str">
        <f t="shared" si="17"/>
        <v>MM N available - Subsistence sheep</v>
      </c>
      <c r="F57" t="str">
        <f t="shared" si="18"/>
        <v>kg N</v>
      </c>
      <c r="H57" s="23">
        <f>((H12*Constants!$H34*Constants!$H52*(1-Constants!$H70))+(H12*Constants!$H34*Constants!$H86))</f>
        <v>4449823.866729687</v>
      </c>
      <c r="I57" s="23">
        <f>((I12*Constants!$H34*Constants!$H52*(1-Constants!$H70))+(I12*Constants!$H34*Constants!$H86))</f>
        <v>4249738.3878160603</v>
      </c>
      <c r="J57" s="23">
        <f>((J12*Constants!$H34*Constants!$H52*(1-Constants!$H70))+(J12*Constants!$H34*Constants!$H86))</f>
        <v>4074144.0839920086</v>
      </c>
      <c r="K57" s="23">
        <f>((K12*Constants!$H34*Constants!$H52*(1-Constants!$H70))+(K12*Constants!$H34*Constants!$H86))</f>
        <v>3810233.1184813054</v>
      </c>
      <c r="L57" s="23">
        <f>((L12*Constants!$H34*Constants!$H52*(1-Constants!$H70))+(L12*Constants!$H34*Constants!$H86))</f>
        <v>3837099.1953977491</v>
      </c>
      <c r="M57" s="23">
        <f>((M12*Constants!$H34*Constants!$H52*(1-Constants!$H70))+(M12*Constants!$H34*Constants!$H86))</f>
        <v>3782179.5906514279</v>
      </c>
      <c r="N57" s="23">
        <f>((N12*Constants!$H34*Constants!$H52*(1-Constants!$H70))+(N12*Constants!$H34*Constants!$H86))</f>
        <v>3794796.2566066636</v>
      </c>
      <c r="O57" s="23">
        <f>((O12*Constants!$H34*Constants!$H52*(1-Constants!$H70))+(O12*Constants!$H34*Constants!$H86))</f>
        <v>3712268.4181230017</v>
      </c>
      <c r="P57" s="23">
        <f>((P12*Constants!$H34*Constants!$H52*(1-Constants!$H70))+(P12*Constants!$H34*Constants!$H86))</f>
        <v>3722510.1822513817</v>
      </c>
      <c r="Q57" s="23">
        <f>((Q12*Constants!$H34*Constants!$H52*(1-Constants!$H70))+(Q12*Constants!$H34*Constants!$H86))</f>
        <v>3631076.4619169645</v>
      </c>
      <c r="R57" s="23">
        <f>((R12*Constants!$H34*Constants!$H52*(1-Constants!$H70))+(R12*Constants!$H34*Constants!$H86))</f>
        <v>3500902.1555317631</v>
      </c>
      <c r="S57" s="23">
        <f>((S12*Constants!$H34*Constants!$H52*(1-Constants!$H70))+(S12*Constants!$H34*Constants!$H86))</f>
        <v>3413624.5133943642</v>
      </c>
      <c r="T57" s="23">
        <f>((T12*Constants!$H34*Constants!$H52*(1-Constants!$H70))+(T12*Constants!$H34*Constants!$H86))</f>
        <v>3356626.8695495329</v>
      </c>
      <c r="U57" s="23">
        <f>((U12*Constants!$H34*Constants!$H52*(1-Constants!$H70))+(U12*Constants!$H34*Constants!$H86))</f>
        <v>3368352.9473196943</v>
      </c>
      <c r="V57" s="23">
        <f>((V12*Constants!$H34*Constants!$H52*(1-Constants!$H70))+(V12*Constants!$H34*Constants!$H86))</f>
        <v>3308386.6761912769</v>
      </c>
      <c r="W57" s="23">
        <f>((W12*Constants!$H34*Constants!$H52*(1-Constants!$H70))+(W12*Constants!$H34*Constants!$H86))</f>
        <v>3300519.8138897773</v>
      </c>
      <c r="X57" s="23">
        <f>((X12*Constants!$H34*Constants!$H52*(1-Constants!$H70))+(X12*Constants!$H34*Constants!$H86))</f>
        <v>3257326.2869136157</v>
      </c>
      <c r="Y57" s="23">
        <f>((Y12*Constants!$H34*Constants!$H52*(1-Constants!$H70))+(Y12*Constants!$H34*Constants!$H86))</f>
        <v>3254209.2282658513</v>
      </c>
      <c r="Z57" s="23">
        <f>((Z12*Constants!$H34*Constants!$H52*(1-Constants!$H70))+(Z12*Constants!$H34*Constants!$H86))</f>
        <v>3264747.8551225783</v>
      </c>
      <c r="AA57" s="23">
        <f>((AA12*Constants!$H34*Constants!$H52*(1-Constants!$H70))+(AA12*Constants!$H34*Constants!$H86))</f>
        <v>3253170.2087165965</v>
      </c>
      <c r="AB57" s="23">
        <f>((AB12*Constants!$H34*Constants!$H52*(1-Constants!$H70))+(AB12*Constants!$H34*Constants!$H86))</f>
        <v>3190235.3103045956</v>
      </c>
      <c r="AC57" s="23">
        <f>((AC12*Constants!$H34*Constants!$H52*(1-Constants!$H70))+(AC12*Constants!$H34*Constants!$H86))</f>
        <v>3165298.8411224815</v>
      </c>
      <c r="AD57" s="23">
        <f>((AD12*Constants!$H34*Constants!$H52*(1-Constants!$H70))+(AD12*Constants!$H34*Constants!$H86))</f>
        <v>3180438.8402687651</v>
      </c>
      <c r="AE57" s="23">
        <f>((AE12*Constants!$H34*Constants!$H52*(1-Constants!$H70))+(AE12*Constants!$H34*Constants!$H86))</f>
        <v>3204484.7212658036</v>
      </c>
      <c r="AF57" s="23">
        <f>((AF12*Constants!$H34*Constants!$H52*(1-Constants!$H70))+(AF12*Constants!$H34*Constants!$H86))</f>
        <v>3147041.783328434</v>
      </c>
      <c r="AG57" s="23">
        <f>((AG12*Constants!$H34*Constants!$H52*(1-Constants!$H70))+(AG12*Constants!$H34*Constants!$H86))</f>
        <v>3121956.8827821407</v>
      </c>
      <c r="AH57" s="23">
        <f>((AH12*Constants!$H34*Constants!$H52*(1-Constants!$H70))+(AH12*Constants!$H34*Constants!$H86))</f>
        <v>3033640.2210954879</v>
      </c>
      <c r="AI57" s="23">
        <f>((AI12*Constants!$H34*Constants!$H52*(1-Constants!$H70))+(AI12*Constants!$H34*Constants!$H86))</f>
        <v>2960018.2644625809</v>
      </c>
      <c r="AJ57" s="23">
        <f>((AJ12*Constants!$H34*Constants!$H52*(1-Constants!$H70))+(AJ12*Constants!$H34*Constants!$H86))</f>
        <v>3157829.6475359765</v>
      </c>
      <c r="AK57" s="23">
        <f>((AK12*Constants!$H34*Constants!$H52*(1-Constants!$H70))+(AK12*Constants!$H34*Constants!$H86))</f>
        <v>3147958.9883124558</v>
      </c>
      <c r="AL57" s="23">
        <f>((AL12*Constants!$H34*Constants!$H52*(1-Constants!$H70))+(AL12*Constants!$H34*Constants!$H86))</f>
        <v>3115176.7163081737</v>
      </c>
      <c r="AM57" s="23">
        <f>((AM12*Constants!$H34*Constants!$H52*(1-Constants!$H70))+(AM12*Constants!$H34*Constants!$H86))</f>
        <v>3108554.7574883769</v>
      </c>
      <c r="AN57" s="23">
        <f>((AN12*Constants!$H34*Constants!$H52*(1-Constants!$H70))+(AN12*Constants!$H34*Constants!$H86))</f>
        <v>3101699.896685516</v>
      </c>
      <c r="AO57" s="23">
        <f>((AO12*Constants!$H34*Constants!$H52*(1-Constants!$H70))+(AO12*Constants!$H34*Constants!$H86))</f>
        <v>3094897.3160568383</v>
      </c>
      <c r="AP57" s="23">
        <f>((AP12*Constants!$H34*Constants!$H52*(1-Constants!$H70))+(AP12*Constants!$H34*Constants!$H86))</f>
        <v>3087894.2390911109</v>
      </c>
      <c r="AQ57" s="23">
        <f>((AQ12*Constants!$H34*Constants!$H52*(1-Constants!$H70))+(AQ12*Constants!$H34*Constants!$H86))</f>
        <v>3081123.716997996</v>
      </c>
      <c r="AR57" s="23">
        <f>((AR12*Constants!$H34*Constants!$H52*(1-Constants!$H70))+(AR12*Constants!$H34*Constants!$H86))</f>
        <v>3074378.6991411964</v>
      </c>
      <c r="AS57" s="23">
        <f>((AS12*Constants!$H34*Constants!$H52*(1-Constants!$H70))+(AS12*Constants!$H34*Constants!$H86))</f>
        <v>3067572.0202277512</v>
      </c>
      <c r="AT57" s="23">
        <f>((AT12*Constants!$H34*Constants!$H52*(1-Constants!$H70))+(AT12*Constants!$H34*Constants!$H86))</f>
        <v>3061080.125992639</v>
      </c>
      <c r="AU57" s="23">
        <f>((AU12*Constants!$H34*Constants!$H52*(1-Constants!$H70))+(AU12*Constants!$H34*Constants!$H86))</f>
        <v>3054821.970595526</v>
      </c>
      <c r="AV57" s="23">
        <f>((AV12*Constants!$H34*Constants!$H52*(1-Constants!$H70))+(AV12*Constants!$H34*Constants!$H86))</f>
        <v>3048818.8879787894</v>
      </c>
      <c r="AW57" s="23">
        <f>((AW12*Constants!$H34*Constants!$H52*(1-Constants!$H70))+(AW12*Constants!$H34*Constants!$H86))</f>
        <v>3044771.5129653192</v>
      </c>
      <c r="AX57" s="23">
        <f>((AX12*Constants!$H34*Constants!$H52*(1-Constants!$H70))+(AX12*Constants!$H34*Constants!$H86))</f>
        <v>3040304.7931548939</v>
      </c>
      <c r="AY57" s="23">
        <f>((AY12*Constants!$H34*Constants!$H52*(1-Constants!$H70))+(AY12*Constants!$H34*Constants!$H86))</f>
        <v>3036783.9045942086</v>
      </c>
      <c r="AZ57" s="23">
        <f>((AZ12*Constants!$H34*Constants!$H52*(1-Constants!$H70))+(AZ12*Constants!$H34*Constants!$H86))</f>
        <v>3033924.2349729114</v>
      </c>
      <c r="BA57" s="23">
        <f>((BA12*Constants!$H34*Constants!$H52*(1-Constants!$H70))+(BA12*Constants!$H34*Constants!$H86))</f>
        <v>3031761.5720388554</v>
      </c>
      <c r="BB57" s="23">
        <f>((BB12*Constants!$H34*Constants!$H52*(1-Constants!$H70))+(BB12*Constants!$H34*Constants!$H86))</f>
        <v>3029407.0792552237</v>
      </c>
      <c r="BC57" s="23">
        <f>((BC12*Constants!$H34*Constants!$H52*(1-Constants!$H70))+(BC12*Constants!$H34*Constants!$H86))</f>
        <v>3027532.0083072367</v>
      </c>
      <c r="BD57" s="23">
        <f>((BD12*Constants!$H34*Constants!$H52*(1-Constants!$H70))+(BD12*Constants!$H34*Constants!$H86))</f>
        <v>3025835.0408517779</v>
      </c>
      <c r="BE57" s="23">
        <f>((BE12*Constants!$H34*Constants!$H52*(1-Constants!$H70))+(BE12*Constants!$H34*Constants!$H86))</f>
        <v>3024622.0163383596</v>
      </c>
      <c r="BF57" s="23">
        <f>((BF12*Constants!$H34*Constants!$H52*(1-Constants!$H70))+(BF12*Constants!$H34*Constants!$H86))</f>
        <v>3024163.7434509103</v>
      </c>
      <c r="BG57" s="23">
        <f>((BG12*Constants!$H34*Constants!$H52*(1-Constants!$H70))+(BG12*Constants!$H34*Constants!$H86))</f>
        <v>3022329.3079324402</v>
      </c>
      <c r="BH57" s="23">
        <f>((BH12*Constants!$H34*Constants!$H52*(1-Constants!$H70))+(BH12*Constants!$H34*Constants!$H86))</f>
        <v>3021074.2711897087</v>
      </c>
      <c r="BI57" s="23">
        <f>((BI12*Constants!$H34*Constants!$H52*(1-Constants!$H70))+(BI12*Constants!$H34*Constants!$H86))</f>
        <v>3020365.6038687136</v>
      </c>
      <c r="BJ57" s="23">
        <f>((BJ12*Constants!$H34*Constants!$H52*(1-Constants!$H70))+(BJ12*Constants!$H34*Constants!$H86))</f>
        <v>3020284.8326540012</v>
      </c>
      <c r="BK57" s="23">
        <f>((BK12*Constants!$H34*Constants!$H52*(1-Constants!$H70))+(BK12*Constants!$H34*Constants!$H86))</f>
        <v>3021155.1885782294</v>
      </c>
      <c r="BL57" s="23">
        <f>((BL12*Constants!$H34*Constants!$H52*(1-Constants!$H70))+(BL12*Constants!$H34*Constants!$H86))</f>
        <v>3023377.5488999495</v>
      </c>
      <c r="BM57" s="23">
        <f>((BM12*Constants!$H34*Constants!$H52*(1-Constants!$H70))+(BM12*Constants!$H34*Constants!$H86))</f>
        <v>3026419.9977149698</v>
      </c>
      <c r="BN57" s="23">
        <f>((BN12*Constants!$H34*Constants!$H52*(1-Constants!$H70))+(BN12*Constants!$H34*Constants!$H86))</f>
        <v>3029668.095892461</v>
      </c>
      <c r="BO57" s="23">
        <f>((BO12*Constants!$H34*Constants!$H52*(1-Constants!$H70))+(BO12*Constants!$H34*Constants!$H86))</f>
        <v>3033810.6089309948</v>
      </c>
      <c r="BP57" s="23">
        <f>((BP12*Constants!$H34*Constants!$H52*(1-Constants!$H70))+(BP12*Constants!$H34*Constants!$H86))</f>
        <v>3038922.174248205</v>
      </c>
    </row>
    <row r="58" spans="1:72" x14ac:dyDescent="0.25">
      <c r="A58" t="str">
        <f t="shared" si="14"/>
        <v>3C Aggregated and non-CO2 emissions on land</v>
      </c>
      <c r="B58" t="str">
        <f t="shared" si="15"/>
        <v>3C4 Direct N2O from managed soils (N2O)</v>
      </c>
      <c r="C58" t="s">
        <v>484</v>
      </c>
      <c r="D58" t="str">
        <f>Constants!D87</f>
        <v xml:space="preserve"> - Commercial goats</v>
      </c>
      <c r="E58" t="str">
        <f t="shared" si="17"/>
        <v>MM N available - Commercial goats</v>
      </c>
      <c r="F58" t="str">
        <f t="shared" si="18"/>
        <v>kg N</v>
      </c>
      <c r="H58" s="23">
        <f>((H13*Constants!$H35*Constants!$H53*(1-Constants!$H71))+(H13*Constants!$H35*Constants!$H87))</f>
        <v>615778.18513243599</v>
      </c>
      <c r="I58" s="23">
        <f>((I13*Constants!$H35*Constants!$H53*(1-Constants!$H71))+(I13*Constants!$H35*Constants!$H87))</f>
        <v>544521.949578178</v>
      </c>
      <c r="J58" s="23">
        <f>((J13*Constants!$H35*Constants!$H53*(1-Constants!$H71))+(J13*Constants!$H35*Constants!$H87))</f>
        <v>507228.96648436046</v>
      </c>
      <c r="K58" s="23">
        <f>((K13*Constants!$H35*Constants!$H53*(1-Constants!$H71))+(K13*Constants!$H35*Constants!$H87))</f>
        <v>479259.2291639974</v>
      </c>
      <c r="L58" s="23">
        <f>((L13*Constants!$H35*Constants!$H53*(1-Constants!$H71))+(L13*Constants!$H35*Constants!$H87))</f>
        <v>518772.03268006572</v>
      </c>
      <c r="M58" s="23">
        <f>((M13*Constants!$H35*Constants!$H53*(1-Constants!$H71))+(M13*Constants!$H35*Constants!$H87))</f>
        <v>525875.45803126914</v>
      </c>
      <c r="N58" s="23">
        <f>((N13*Constants!$H35*Constants!$H53*(1-Constants!$H71))+(N13*Constants!$H35*Constants!$H87))</f>
        <v>534088.79359359795</v>
      </c>
      <c r="O58" s="23">
        <f>((O13*Constants!$H35*Constants!$H53*(1-Constants!$H71))+(O13*Constants!$H35*Constants!$H87))</f>
        <v>531425.00908689678</v>
      </c>
      <c r="P58" s="23">
        <f>((P13*Constants!$H35*Constants!$H53*(1-Constants!$H71))+(P13*Constants!$H35*Constants!$H87))</f>
        <v>523877.61965124327</v>
      </c>
      <c r="Q58" s="23">
        <f>((Q13*Constants!$H35*Constants!$H53*(1-Constants!$H71))+(Q13*Constants!$H35*Constants!$H87))</f>
        <v>516108.24817336473</v>
      </c>
      <c r="R58" s="23">
        <f>((R13*Constants!$H35*Constants!$H53*(1-Constants!$H71))+(R13*Constants!$H35*Constants!$H87))</f>
        <v>522767.7094401177</v>
      </c>
      <c r="S58" s="23">
        <f>((S13*Constants!$H35*Constants!$H53*(1-Constants!$H71))+(S13*Constants!$H35*Constants!$H87))</f>
        <v>538750.41648032528</v>
      </c>
      <c r="T58" s="23">
        <f>((T13*Constants!$H35*Constants!$H53*(1-Constants!$H71))+(T13*Constants!$H35*Constants!$H87))</f>
        <v>491912.20557082852</v>
      </c>
      <c r="U58" s="23">
        <f>((U13*Constants!$H35*Constants!$H53*(1-Constants!$H71))+(U13*Constants!$H35*Constants!$H87))</f>
        <v>479481.21120622259</v>
      </c>
      <c r="V58" s="23">
        <f>((V13*Constants!$H35*Constants!$H53*(1-Constants!$H71))+(V13*Constants!$H35*Constants!$H87))</f>
        <v>480369.13937512314</v>
      </c>
      <c r="W58" s="23">
        <f>((W13*Constants!$H35*Constants!$H53*(1-Constants!$H71))+(W13*Constants!$H35*Constants!$H87))</f>
        <v>474153.64219282009</v>
      </c>
      <c r="X58" s="23">
        <f>((X13*Constants!$H35*Constants!$H53*(1-Constants!$H71))+(X13*Constants!$H35*Constants!$H87))</f>
        <v>484142.83409294975</v>
      </c>
      <c r="Y58" s="23">
        <f>((Y13*Constants!$H35*Constants!$H53*(1-Constants!$H71))+(Y13*Constants!$H35*Constants!$H87))</f>
        <v>469714.00134831812</v>
      </c>
      <c r="Z58" s="23">
        <f>((Z13*Constants!$H35*Constants!$H53*(1-Constants!$H71))+(Z13*Constants!$H35*Constants!$H87))</f>
        <v>469270.03726386797</v>
      </c>
      <c r="AA58" s="23">
        <f>((AA13*Constants!$H35*Constants!$H53*(1-Constants!$H71))+(AA13*Constants!$H35*Constants!$H87))</f>
        <v>461056.7017015391</v>
      </c>
      <c r="AB58" s="23">
        <f>((AB13*Constants!$H35*Constants!$H53*(1-Constants!$H71))+(AB13*Constants!$H35*Constants!$H87))</f>
        <v>455507.15064591152</v>
      </c>
      <c r="AC58" s="23">
        <f>((AC13*Constants!$H35*Constants!$H53*(1-Constants!$H71))+(AC13*Constants!$H35*Constants!$H87))</f>
        <v>451289.49184363458</v>
      </c>
      <c r="AD58" s="23">
        <f>((AD13*Constants!$H35*Constants!$H53*(1-Constants!$H71))+(AD13*Constants!$H35*Constants!$H87))</f>
        <v>450179.58163250907</v>
      </c>
      <c r="AE58" s="23">
        <f>((AE13*Constants!$H35*Constants!$H53*(1-Constants!$H71))+(AE13*Constants!$H35*Constants!$H87))</f>
        <v>445073.9946613317</v>
      </c>
      <c r="AF58" s="23">
        <f>((AF13*Constants!$H35*Constants!$H53*(1-Constants!$H71))+(AF13*Constants!$H35*Constants!$H87))</f>
        <v>441078.31790127989</v>
      </c>
      <c r="AG58" s="23">
        <f>((AG13*Constants!$H35*Constants!$H53*(1-Constants!$H71))+(AG13*Constants!$H35*Constants!$H87))</f>
        <v>435084.8027612021</v>
      </c>
      <c r="AH58" s="23">
        <f>((AH13*Constants!$H35*Constants!$H53*(1-Constants!$H71))+(AH13*Constants!$H35*Constants!$H87))</f>
        <v>421987.86226992088</v>
      </c>
      <c r="AI58" s="23">
        <f>((AI13*Constants!$H35*Constants!$H53*(1-Constants!$H71))+(AI13*Constants!$H35*Constants!$H87))</f>
        <v>409112.90382086497</v>
      </c>
      <c r="AJ58" s="23">
        <f>((AJ13*Constants!$H35*Constants!$H53*(1-Constants!$H71))+(AJ13*Constants!$H35*Constants!$H87))</f>
        <v>467443.06411277165</v>
      </c>
      <c r="AK58" s="23">
        <f>((AK13*Constants!$H35*Constants!$H53*(1-Constants!$H71))+(AK13*Constants!$H35*Constants!$H87))</f>
        <v>466095.48123268248</v>
      </c>
      <c r="AL58" s="23">
        <f>((AL13*Constants!$H35*Constants!$H53*(1-Constants!$H71))+(AL13*Constants!$H35*Constants!$H87))</f>
        <v>464793.65286933334</v>
      </c>
      <c r="AM58" s="23">
        <f>((AM13*Constants!$H35*Constants!$H53*(1-Constants!$H71))+(AM13*Constants!$H35*Constants!$H87))</f>
        <v>463420.97632076818</v>
      </c>
      <c r="AN58" s="23">
        <f>((AN13*Constants!$H35*Constants!$H53*(1-Constants!$H71))+(AN13*Constants!$H35*Constants!$H87))</f>
        <v>462048.76490330911</v>
      </c>
      <c r="AO58" s="23">
        <f>((AO13*Constants!$H35*Constants!$H53*(1-Constants!$H71))+(AO13*Constants!$H35*Constants!$H87))</f>
        <v>460676.4490822829</v>
      </c>
      <c r="AP58" s="23">
        <f>((AP13*Constants!$H35*Constants!$H53*(1-Constants!$H71))+(AP13*Constants!$H35*Constants!$H87))</f>
        <v>459304.53365266934</v>
      </c>
      <c r="AQ58" s="23">
        <f>((AQ13*Constants!$H35*Constants!$H53*(1-Constants!$H71))+(AQ13*Constants!$H35*Constants!$H87))</f>
        <v>457932.1537851296</v>
      </c>
      <c r="AR58" s="23">
        <f>((AR13*Constants!$H35*Constants!$H53*(1-Constants!$H71))+(AR13*Constants!$H35*Constants!$H87))</f>
        <v>456444.14898102335</v>
      </c>
      <c r="AS58" s="23">
        <f>((AS13*Constants!$H35*Constants!$H53*(1-Constants!$H71))+(AS13*Constants!$H35*Constants!$H87))</f>
        <v>454956.26731411705</v>
      </c>
      <c r="AT58" s="23">
        <f>((AT13*Constants!$H35*Constants!$H53*(1-Constants!$H71))+(AT13*Constants!$H35*Constants!$H87))</f>
        <v>453467.75702185079</v>
      </c>
      <c r="AU58" s="23">
        <f>((AU13*Constants!$H35*Constants!$H53*(1-Constants!$H71))+(AU13*Constants!$H35*Constants!$H87))</f>
        <v>451978.77995285951</v>
      </c>
      <c r="AV58" s="23">
        <f>((AV13*Constants!$H35*Constants!$H53*(1-Constants!$H71))+(AV13*Constants!$H35*Constants!$H87))</f>
        <v>450489.29350323626</v>
      </c>
      <c r="AW58" s="23">
        <f>((AW13*Constants!$H35*Constants!$H53*(1-Constants!$H71))+(AW13*Constants!$H35*Constants!$H87))</f>
        <v>449046.87677071622</v>
      </c>
      <c r="AX58" s="23">
        <f>((AX13*Constants!$H35*Constants!$H53*(1-Constants!$H71))+(AX13*Constants!$H35*Constants!$H87))</f>
        <v>447605.2974958134</v>
      </c>
      <c r="AY58" s="23">
        <f>((AY13*Constants!$H35*Constants!$H53*(1-Constants!$H71))+(AY13*Constants!$H35*Constants!$H87))</f>
        <v>446161.82936924935</v>
      </c>
      <c r="AZ58" s="23">
        <f>((AZ13*Constants!$H35*Constants!$H53*(1-Constants!$H71))+(AZ13*Constants!$H35*Constants!$H87))</f>
        <v>444717.04081329389</v>
      </c>
      <c r="BA58" s="23">
        <f>((BA13*Constants!$H35*Constants!$H53*(1-Constants!$H71))+(BA13*Constants!$H35*Constants!$H87))</f>
        <v>443270.86033419258</v>
      </c>
      <c r="BB58" s="23">
        <f>((BB13*Constants!$H35*Constants!$H53*(1-Constants!$H71))+(BB13*Constants!$H35*Constants!$H87))</f>
        <v>441768.03700055927</v>
      </c>
      <c r="BC58" s="23">
        <f>((BC13*Constants!$H35*Constants!$H53*(1-Constants!$H71))+(BC13*Constants!$H35*Constants!$H87))</f>
        <v>440264.25626097585</v>
      </c>
      <c r="BD58" s="23">
        <f>((BD13*Constants!$H35*Constants!$H53*(1-Constants!$H71))+(BD13*Constants!$H35*Constants!$H87))</f>
        <v>438760.11987409712</v>
      </c>
      <c r="BE58" s="23">
        <f>((BE13*Constants!$H35*Constants!$H53*(1-Constants!$H71))+(BE13*Constants!$H35*Constants!$H87))</f>
        <v>437255.0170270321</v>
      </c>
      <c r="BF58" s="23">
        <f>((BF13*Constants!$H35*Constants!$H53*(1-Constants!$H71))+(BF13*Constants!$H35*Constants!$H87))</f>
        <v>435748.40694011288</v>
      </c>
      <c r="BG58" s="23">
        <f>((BG13*Constants!$H35*Constants!$H53*(1-Constants!$H71))+(BG13*Constants!$H35*Constants!$H87))</f>
        <v>434031.18748767505</v>
      </c>
      <c r="BH58" s="23">
        <f>((BH13*Constants!$H35*Constants!$H53*(1-Constants!$H71))+(BH13*Constants!$H35*Constants!$H87))</f>
        <v>432312.81100080581</v>
      </c>
      <c r="BI58" s="23">
        <f>((BI13*Constants!$H35*Constants!$H53*(1-Constants!$H71))+(BI13*Constants!$H35*Constants!$H87))</f>
        <v>430593.34338799922</v>
      </c>
      <c r="BJ58" s="23">
        <f>((BJ13*Constants!$H35*Constants!$H53*(1-Constants!$H71))+(BJ13*Constants!$H35*Constants!$H87))</f>
        <v>428872.62186595547</v>
      </c>
      <c r="BK58" s="23">
        <f>((BK13*Constants!$H35*Constants!$H53*(1-Constants!$H71))+(BK13*Constants!$H35*Constants!$H87))</f>
        <v>427150.00094193529</v>
      </c>
      <c r="BL58" s="23">
        <f>((BL13*Constants!$H35*Constants!$H53*(1-Constants!$H71))+(BL13*Constants!$H35*Constants!$H87))</f>
        <v>425485.41716638085</v>
      </c>
      <c r="BM58" s="23">
        <f>((BM13*Constants!$H35*Constants!$H53*(1-Constants!$H71))+(BM13*Constants!$H35*Constants!$H87))</f>
        <v>423819.19567317422</v>
      </c>
      <c r="BN58" s="23">
        <f>((BN13*Constants!$H35*Constants!$H53*(1-Constants!$H71))+(BN13*Constants!$H35*Constants!$H87))</f>
        <v>422152.56347237556</v>
      </c>
      <c r="BO58" s="23">
        <f>((BO13*Constants!$H35*Constants!$H53*(1-Constants!$H71))+(BO13*Constants!$H35*Constants!$H87))</f>
        <v>420484.14514966536</v>
      </c>
      <c r="BP58" s="23">
        <f>((BP13*Constants!$H35*Constants!$H53*(1-Constants!$H71))+(BP13*Constants!$H35*Constants!$H87))</f>
        <v>418813.79162845423</v>
      </c>
    </row>
    <row r="59" spans="1:72" x14ac:dyDescent="0.25">
      <c r="A59" t="str">
        <f t="shared" si="14"/>
        <v>3C Aggregated and non-CO2 emissions on land</v>
      </c>
      <c r="B59" t="str">
        <f t="shared" si="15"/>
        <v>3C4 Direct N2O from managed soils (N2O)</v>
      </c>
      <c r="C59" t="s">
        <v>484</v>
      </c>
      <c r="D59" t="str">
        <f>Constants!D88</f>
        <v xml:space="preserve"> - Subsistence goats</v>
      </c>
      <c r="E59" t="str">
        <f t="shared" si="17"/>
        <v>MM N available - Subsistence goats</v>
      </c>
      <c r="F59" t="str">
        <f t="shared" si="18"/>
        <v>kg N</v>
      </c>
      <c r="H59" s="23">
        <f>((H14*Constants!$H36*Constants!$H54*(1-Constants!$H72))+(H14*Constants!$H36*Constants!$H88))</f>
        <v>7560354.6157626472</v>
      </c>
      <c r="I59" s="23">
        <f>((I14*Constants!$H36*Constants!$H54*(1-Constants!$H72))+(I14*Constants!$H36*Constants!$H88))</f>
        <v>6685490.2207879517</v>
      </c>
      <c r="J59" s="23">
        <f>((J14*Constants!$H36*Constants!$H54*(1-Constants!$H72))+(J14*Constants!$H36*Constants!$H88))</f>
        <v>6227617.2664086716</v>
      </c>
      <c r="K59" s="23">
        <f>((K14*Constants!$H36*Constants!$H54*(1-Constants!$H72))+(K14*Constants!$H36*Constants!$H88))</f>
        <v>5884212.5506242104</v>
      </c>
      <c r="L59" s="23">
        <f>((L14*Constants!$H36*Constants!$H54*(1-Constants!$H72))+(L14*Constants!$H36*Constants!$H88))</f>
        <v>6369339.8475260669</v>
      </c>
      <c r="M59" s="23">
        <f>((M14*Constants!$H36*Constants!$H54*(1-Constants!$H72))+(M14*Constants!$H36*Constants!$H88))</f>
        <v>6456553.7435983112</v>
      </c>
      <c r="N59" s="23">
        <f>((N14*Constants!$H36*Constants!$H54*(1-Constants!$H72))+(N14*Constants!$H36*Constants!$H88))</f>
        <v>6557394.8109318437</v>
      </c>
      <c r="O59" s="23">
        <f>((O14*Constants!$H36*Constants!$H54*(1-Constants!$H72))+(O14*Constants!$H36*Constants!$H88))</f>
        <v>6524689.5999047523</v>
      </c>
      <c r="P59" s="23">
        <f>((P14*Constants!$H36*Constants!$H54*(1-Constants!$H72))+(P14*Constants!$H36*Constants!$H88))</f>
        <v>6432024.8353279931</v>
      </c>
      <c r="Q59" s="23">
        <f>((Q14*Constants!$H36*Constants!$H54*(1-Constants!$H72))+(Q14*Constants!$H36*Constants!$H88))</f>
        <v>6336634.6364989765</v>
      </c>
      <c r="R59" s="23">
        <f>((R14*Constants!$H36*Constants!$H54*(1-Constants!$H72))+(R14*Constants!$H36*Constants!$H88))</f>
        <v>6418397.6640667049</v>
      </c>
      <c r="S59" s="23">
        <f>((S14*Constants!$H36*Constants!$H54*(1-Constants!$H72))+(S14*Constants!$H36*Constants!$H88))</f>
        <v>6614628.9302292531</v>
      </c>
      <c r="T59" s="23">
        <f>((T14*Constants!$H36*Constants!$H54*(1-Constants!$H72))+(T14*Constants!$H36*Constants!$H88))</f>
        <v>6039562.3030028949</v>
      </c>
      <c r="U59" s="23">
        <f>((U14*Constants!$H36*Constants!$H54*(1-Constants!$H72))+(U14*Constants!$H36*Constants!$H88))</f>
        <v>5886937.9848764678</v>
      </c>
      <c r="V59" s="23">
        <f>((V14*Constants!$H36*Constants!$H54*(1-Constants!$H72))+(V14*Constants!$H36*Constants!$H88))</f>
        <v>5897839.7218854986</v>
      </c>
      <c r="W59" s="23">
        <f>((W14*Constants!$H36*Constants!$H54*(1-Constants!$H72))+(W14*Constants!$H36*Constants!$H88))</f>
        <v>5821527.5628222851</v>
      </c>
      <c r="X59" s="23">
        <f>((X14*Constants!$H36*Constants!$H54*(1-Constants!$H72))+(X14*Constants!$H36*Constants!$H88))</f>
        <v>5944172.1041738791</v>
      </c>
      <c r="Y59" s="23">
        <f>((Y14*Constants!$H36*Constants!$H54*(1-Constants!$H72))+(Y14*Constants!$H36*Constants!$H88))</f>
        <v>5767018.8777771331</v>
      </c>
      <c r="Z59" s="23">
        <f>((Z14*Constants!$H36*Constants!$H54*(1-Constants!$H72))+(Z14*Constants!$H36*Constants!$H88))</f>
        <v>5761568.0092726164</v>
      </c>
      <c r="AA59" s="23">
        <f>((AA14*Constants!$H36*Constants!$H54*(1-Constants!$H72))+(AA14*Constants!$H36*Constants!$H88))</f>
        <v>5660726.9419390857</v>
      </c>
      <c r="AB59" s="23">
        <f>((AB14*Constants!$H36*Constants!$H54*(1-Constants!$H72))+(AB14*Constants!$H36*Constants!$H88))</f>
        <v>5592591.0856326455</v>
      </c>
      <c r="AC59" s="23">
        <f>((AC14*Constants!$H36*Constants!$H54*(1-Constants!$H72))+(AC14*Constants!$H36*Constants!$H88))</f>
        <v>5540807.8348397501</v>
      </c>
      <c r="AD59" s="23">
        <f>((AD14*Constants!$H36*Constants!$H54*(1-Constants!$H72))+(AD14*Constants!$H36*Constants!$H88))</f>
        <v>5527180.6635784619</v>
      </c>
      <c r="AE59" s="23">
        <f>((AE14*Constants!$H36*Constants!$H54*(1-Constants!$H72))+(AE14*Constants!$H36*Constants!$H88))</f>
        <v>5464495.6757765366</v>
      </c>
      <c r="AF59" s="23">
        <f>((AF14*Constants!$H36*Constants!$H54*(1-Constants!$H72))+(AF14*Constants!$H36*Constants!$H88))</f>
        <v>5415437.8592358995</v>
      </c>
      <c r="AG59" s="23">
        <f>((AG14*Constants!$H36*Constants!$H54*(1-Constants!$H72))+(AG14*Constants!$H36*Constants!$H88))</f>
        <v>5341851.1344249435</v>
      </c>
      <c r="AH59" s="23">
        <f>((AH14*Constants!$H36*Constants!$H54*(1-Constants!$H72))+(AH14*Constants!$H36*Constants!$H88))</f>
        <v>5181050.5135417432</v>
      </c>
      <c r="AI59" s="23">
        <f>((AI14*Constants!$H36*Constants!$H54*(1-Constants!$H72))+(AI14*Constants!$H36*Constants!$H88))</f>
        <v>5022975.3269108012</v>
      </c>
      <c r="AJ59" s="23">
        <f>((AJ14*Constants!$H36*Constants!$H54*(1-Constants!$H72))+(AJ14*Constants!$H36*Constants!$H88))</f>
        <v>5112380.1771123372</v>
      </c>
      <c r="AK59" s="23">
        <f>((AK14*Constants!$H36*Constants!$H54*(1-Constants!$H72))+(AK14*Constants!$H36*Constants!$H88))</f>
        <v>5057038.2945756251</v>
      </c>
      <c r="AL59" s="23">
        <f>((AL14*Constants!$H36*Constants!$H54*(1-Constants!$H72))+(AL14*Constants!$H36*Constants!$H88))</f>
        <v>5001696.4120389102</v>
      </c>
      <c r="AM59" s="23">
        <f>((AM14*Constants!$H36*Constants!$H54*(1-Constants!$H72))+(AM14*Constants!$H36*Constants!$H88))</f>
        <v>4945601.442620961</v>
      </c>
      <c r="AN59" s="23">
        <f>((AN14*Constants!$H36*Constants!$H54*(1-Constants!$H72))+(AN14*Constants!$H36*Constants!$H88))</f>
        <v>4889506.4742384329</v>
      </c>
      <c r="AO59" s="23">
        <f>((AO14*Constants!$H36*Constants!$H54*(1-Constants!$H72))+(AO14*Constants!$H36*Constants!$H88))</f>
        <v>4833411.5058559049</v>
      </c>
      <c r="AP59" s="23">
        <f>((AP14*Constants!$H36*Constants!$H54*(1-Constants!$H72))+(AP14*Constants!$H36*Constants!$H88))</f>
        <v>4777316.5374733778</v>
      </c>
      <c r="AQ59" s="23">
        <f>((AQ14*Constants!$H36*Constants!$H54*(1-Constants!$H72))+(AQ14*Constants!$H36*Constants!$H88))</f>
        <v>4721221.5680554267</v>
      </c>
      <c r="AR59" s="23">
        <f>((AR14*Constants!$H36*Constants!$H54*(1-Constants!$H72))+(AR14*Constants!$H36*Constants!$H88))</f>
        <v>4660448.6872377768</v>
      </c>
      <c r="AS59" s="23">
        <f>((AS14*Constants!$H36*Constants!$H54*(1-Constants!$H72))+(AS14*Constants!$H36*Constants!$H88))</f>
        <v>4599675.8064201269</v>
      </c>
      <c r="AT59" s="23">
        <f>((AT14*Constants!$H36*Constants!$H54*(1-Constants!$H72))+(AT14*Constants!$H36*Constants!$H88))</f>
        <v>4538902.925602477</v>
      </c>
      <c r="AU59" s="23">
        <f>((AU14*Constants!$H36*Constants!$H54*(1-Constants!$H72))+(AU14*Constants!$H36*Constants!$H88))</f>
        <v>4478130.0447848262</v>
      </c>
      <c r="AV59" s="23">
        <f>((AV14*Constants!$H36*Constants!$H54*(1-Constants!$H72))+(AV14*Constants!$H36*Constants!$H88))</f>
        <v>4417357.1639671763</v>
      </c>
      <c r="AW59" s="23">
        <f>((AW14*Constants!$H36*Constants!$H54*(1-Constants!$H72))+(AW14*Constants!$H36*Constants!$H88))</f>
        <v>4358647.5307230642</v>
      </c>
      <c r="AX59" s="23">
        <f>((AX14*Constants!$H36*Constants!$H54*(1-Constants!$H72))+(AX14*Constants!$H36*Constants!$H88))</f>
        <v>4299937.898514377</v>
      </c>
      <c r="AY59" s="23">
        <f>((AY14*Constants!$H36*Constants!$H54*(1-Constants!$H72))+(AY14*Constants!$H36*Constants!$H88))</f>
        <v>4241228.2652702639</v>
      </c>
      <c r="AZ59" s="23">
        <f>((AZ14*Constants!$H36*Constants!$H54*(1-Constants!$H72))+(AZ14*Constants!$H36*Constants!$H88))</f>
        <v>4182518.6330615762</v>
      </c>
      <c r="BA59" s="23">
        <f>((BA14*Constants!$H36*Constants!$H54*(1-Constants!$H72))+(BA14*Constants!$H36*Constants!$H88))</f>
        <v>4123809.0008528889</v>
      </c>
      <c r="BB59" s="23">
        <f>((BB14*Constants!$H36*Constants!$H54*(1-Constants!$H72))+(BB14*Constants!$H36*Constants!$H88))</f>
        <v>4062791.2173353354</v>
      </c>
      <c r="BC59" s="23">
        <f>((BC14*Constants!$H36*Constants!$H54*(1-Constants!$H72))+(BC14*Constants!$H36*Constants!$H88))</f>
        <v>4001773.4338177848</v>
      </c>
      <c r="BD59" s="23">
        <f>((BD14*Constants!$H36*Constants!$H54*(1-Constants!$H72))+(BD14*Constants!$H36*Constants!$H88))</f>
        <v>3940755.6513356566</v>
      </c>
      <c r="BE59" s="23">
        <f>((BE14*Constants!$H36*Constants!$H54*(1-Constants!$H72))+(BE14*Constants!$H36*Constants!$H88))</f>
        <v>3879737.8678181064</v>
      </c>
      <c r="BF59" s="23">
        <f>((BF14*Constants!$H36*Constants!$H54*(1-Constants!$H72))+(BF14*Constants!$H36*Constants!$H88))</f>
        <v>3818720.0843005544</v>
      </c>
      <c r="BG59" s="23">
        <f>((BG14*Constants!$H36*Constants!$H54*(1-Constants!$H72))+(BG14*Constants!$H36*Constants!$H88))</f>
        <v>3749066.554502361</v>
      </c>
      <c r="BH59" s="23">
        <f>((BH14*Constants!$H36*Constants!$H54*(1-Constants!$H72))+(BH14*Constants!$H36*Constants!$H88))</f>
        <v>3679413.0257395925</v>
      </c>
      <c r="BI59" s="23">
        <f>((BI14*Constants!$H36*Constants!$H54*(1-Constants!$H72))+(BI14*Constants!$H36*Constants!$H88))</f>
        <v>3609759.4959414001</v>
      </c>
      <c r="BJ59" s="23">
        <f>((BJ14*Constants!$H36*Constants!$H54*(1-Constants!$H72))+(BJ14*Constants!$H36*Constants!$H88))</f>
        <v>3540105.9661432081</v>
      </c>
      <c r="BK59" s="23">
        <f>((BK14*Constants!$H36*Constants!$H54*(1-Constants!$H72))+(BK14*Constants!$H36*Constants!$H88))</f>
        <v>3470452.4363450161</v>
      </c>
      <c r="BL59" s="23">
        <f>((BL14*Constants!$H36*Constants!$H54*(1-Constants!$H72))+(BL14*Constants!$H36*Constants!$H88))</f>
        <v>3403257.2689314331</v>
      </c>
      <c r="BM59" s="23">
        <f>((BM14*Constants!$H36*Constants!$H54*(1-Constants!$H72))+(BM14*Constants!$H36*Constants!$H88))</f>
        <v>3336062.1015178533</v>
      </c>
      <c r="BN59" s="23">
        <f>((BN14*Constants!$H36*Constants!$H54*(1-Constants!$H72))+(BN14*Constants!$H36*Constants!$H88))</f>
        <v>3268866.9330688477</v>
      </c>
      <c r="BO59" s="23">
        <f>((BO14*Constants!$H36*Constants!$H54*(1-Constants!$H72))+(BO14*Constants!$H36*Constants!$H88))</f>
        <v>3201671.765655268</v>
      </c>
      <c r="BP59" s="23">
        <f>((BP14*Constants!$H36*Constants!$H54*(1-Constants!$H72))+(BP14*Constants!$H36*Constants!$H88))</f>
        <v>3134476.5982416864</v>
      </c>
    </row>
    <row r="60" spans="1:72" x14ac:dyDescent="0.25">
      <c r="A60" t="str">
        <f t="shared" si="14"/>
        <v>3C Aggregated and non-CO2 emissions on land</v>
      </c>
      <c r="B60" t="str">
        <f t="shared" si="15"/>
        <v>3C4 Direct N2O from managed soils (N2O)</v>
      </c>
      <c r="C60" t="s">
        <v>484</v>
      </c>
      <c r="D60" t="str">
        <f>Constants!D89</f>
        <v xml:space="preserve"> - Horses</v>
      </c>
      <c r="E60" t="str">
        <f t="shared" si="17"/>
        <v>MM N available - Horses</v>
      </c>
      <c r="F60" t="str">
        <f t="shared" si="18"/>
        <v>kg N</v>
      </c>
      <c r="H60" s="23">
        <f>((H15*Constants!$H37*Constants!$H55*(1-Constants!$H73))+(H15*Constants!$H37*Constants!$H89))</f>
        <v>0</v>
      </c>
      <c r="I60" s="23">
        <f>((I15*Constants!$H37*Constants!$H55*(1-Constants!$H73))+(I15*Constants!$H37*Constants!$H89))</f>
        <v>0</v>
      </c>
      <c r="J60" s="23">
        <f>((J15*Constants!$H37*Constants!$H55*(1-Constants!$H73))+(J15*Constants!$H37*Constants!$H89))</f>
        <v>0</v>
      </c>
      <c r="K60" s="23">
        <f>((K15*Constants!$H37*Constants!$H55*(1-Constants!$H73))+(K15*Constants!$H37*Constants!$H89))</f>
        <v>0</v>
      </c>
      <c r="L60" s="23">
        <f>((L15*Constants!$H37*Constants!$H55*(1-Constants!$H73))+(L15*Constants!$H37*Constants!$H89))</f>
        <v>0</v>
      </c>
      <c r="M60" s="23">
        <f>((M15*Constants!$H37*Constants!$H55*(1-Constants!$H73))+(M15*Constants!$H37*Constants!$H89))</f>
        <v>0</v>
      </c>
      <c r="N60" s="23">
        <f>((N15*Constants!$H37*Constants!$H55*(1-Constants!$H73))+(N15*Constants!$H37*Constants!$H89))</f>
        <v>0</v>
      </c>
      <c r="O60" s="23">
        <f>((O15*Constants!$H37*Constants!$H55*(1-Constants!$H73))+(O15*Constants!$H37*Constants!$H89))</f>
        <v>0</v>
      </c>
      <c r="P60" s="23">
        <f>((P15*Constants!$H37*Constants!$H55*(1-Constants!$H73))+(P15*Constants!$H37*Constants!$H89))</f>
        <v>0</v>
      </c>
      <c r="Q60" s="23">
        <f>((Q15*Constants!$H37*Constants!$H55*(1-Constants!$H73))+(Q15*Constants!$H37*Constants!$H89))</f>
        <v>0</v>
      </c>
      <c r="R60" s="23">
        <f>((R15*Constants!$H37*Constants!$H55*(1-Constants!$H73))+(R15*Constants!$H37*Constants!$H89))</f>
        <v>0</v>
      </c>
      <c r="S60" s="23">
        <f>((S15*Constants!$H37*Constants!$H55*(1-Constants!$H73))+(S15*Constants!$H37*Constants!$H89))</f>
        <v>0</v>
      </c>
      <c r="T60" s="23">
        <f>((T15*Constants!$H37*Constants!$H55*(1-Constants!$H73))+(T15*Constants!$H37*Constants!$H89))</f>
        <v>0</v>
      </c>
      <c r="U60" s="23">
        <f>((U15*Constants!$H37*Constants!$H55*(1-Constants!$H73))+(U15*Constants!$H37*Constants!$H89))</f>
        <v>0</v>
      </c>
      <c r="V60" s="23">
        <f>((V15*Constants!$H37*Constants!$H55*(1-Constants!$H73))+(V15*Constants!$H37*Constants!$H89))</f>
        <v>0</v>
      </c>
      <c r="W60" s="23">
        <f>((W15*Constants!$H37*Constants!$H55*(1-Constants!$H73))+(W15*Constants!$H37*Constants!$H89))</f>
        <v>0</v>
      </c>
      <c r="X60" s="23">
        <f>((X15*Constants!$H37*Constants!$H55*(1-Constants!$H73))+(X15*Constants!$H37*Constants!$H89))</f>
        <v>0</v>
      </c>
      <c r="Y60" s="23">
        <f>((Y15*Constants!$H37*Constants!$H55*(1-Constants!$H73))+(Y15*Constants!$H37*Constants!$H89))</f>
        <v>0</v>
      </c>
      <c r="Z60" s="23">
        <f>((Z15*Constants!$H37*Constants!$H55*(1-Constants!$H73))+(Z15*Constants!$H37*Constants!$H89))</f>
        <v>0</v>
      </c>
      <c r="AA60" s="23">
        <f>((AA15*Constants!$H37*Constants!$H55*(1-Constants!$H73))+(AA15*Constants!$H37*Constants!$H89))</f>
        <v>0</v>
      </c>
      <c r="AB60" s="23">
        <f>((AB15*Constants!$H37*Constants!$H55*(1-Constants!$H73))+(AB15*Constants!$H37*Constants!$H89))</f>
        <v>0</v>
      </c>
      <c r="AC60" s="23">
        <f>((AC15*Constants!$H37*Constants!$H55*(1-Constants!$H73))+(AC15*Constants!$H37*Constants!$H89))</f>
        <v>0</v>
      </c>
      <c r="AD60" s="23">
        <f>((AD15*Constants!$H37*Constants!$H55*(1-Constants!$H73))+(AD15*Constants!$H37*Constants!$H89))</f>
        <v>0</v>
      </c>
      <c r="AE60" s="23">
        <f>((AE15*Constants!$H37*Constants!$H55*(1-Constants!$H73))+(AE15*Constants!$H37*Constants!$H89))</f>
        <v>0</v>
      </c>
      <c r="AF60" s="23">
        <f>((AF15*Constants!$H37*Constants!$H55*(1-Constants!$H73))+(AF15*Constants!$H37*Constants!$H89))</f>
        <v>0</v>
      </c>
      <c r="AG60" s="23">
        <f>((AG15*Constants!$H37*Constants!$H55*(1-Constants!$H73))+(AG15*Constants!$H37*Constants!$H89))</f>
        <v>0</v>
      </c>
      <c r="AH60" s="23">
        <f>((AH15*Constants!$H37*Constants!$H55*(1-Constants!$H73))+(AH15*Constants!$H37*Constants!$H89))</f>
        <v>0</v>
      </c>
      <c r="AI60" s="23">
        <f>((AI15*Constants!$H37*Constants!$H55*(1-Constants!$H73))+(AI15*Constants!$H37*Constants!$H89))</f>
        <v>0</v>
      </c>
      <c r="AJ60" s="23">
        <f>((AJ15*Constants!$H37*Constants!$H55*(1-Constants!$H73))+(AJ15*Constants!$H37*Constants!$H89))</f>
        <v>0</v>
      </c>
      <c r="AK60" s="23">
        <f>((AK15*Constants!$H37*Constants!$H55*(1-Constants!$H73))+(AK15*Constants!$H37*Constants!$H89))</f>
        <v>0</v>
      </c>
      <c r="AL60" s="23">
        <f>((AL15*Constants!$H37*Constants!$H55*(1-Constants!$H73))+(AL15*Constants!$H37*Constants!$H89))</f>
        <v>0</v>
      </c>
      <c r="AM60" s="23">
        <f>((AM15*Constants!$H37*Constants!$H55*(1-Constants!$H73))+(AM15*Constants!$H37*Constants!$H89))</f>
        <v>0</v>
      </c>
      <c r="AN60" s="23">
        <f>((AN15*Constants!$H37*Constants!$H55*(1-Constants!$H73))+(AN15*Constants!$H37*Constants!$H89))</f>
        <v>0</v>
      </c>
      <c r="AO60" s="23">
        <f>((AO15*Constants!$H37*Constants!$H55*(1-Constants!$H73))+(AO15*Constants!$H37*Constants!$H89))</f>
        <v>0</v>
      </c>
      <c r="AP60" s="23">
        <f>((AP15*Constants!$H37*Constants!$H55*(1-Constants!$H73))+(AP15*Constants!$H37*Constants!$H89))</f>
        <v>0</v>
      </c>
      <c r="AQ60" s="23">
        <f>((AQ15*Constants!$H37*Constants!$H55*(1-Constants!$H73))+(AQ15*Constants!$H37*Constants!$H89))</f>
        <v>0</v>
      </c>
      <c r="AR60" s="23">
        <f>((AR15*Constants!$H37*Constants!$H55*(1-Constants!$H73))+(AR15*Constants!$H37*Constants!$H89))</f>
        <v>0</v>
      </c>
      <c r="AS60" s="23">
        <f>((AS15*Constants!$H37*Constants!$H55*(1-Constants!$H73))+(AS15*Constants!$H37*Constants!$H89))</f>
        <v>0</v>
      </c>
      <c r="AT60" s="23">
        <f>((AT15*Constants!$H37*Constants!$H55*(1-Constants!$H73))+(AT15*Constants!$H37*Constants!$H89))</f>
        <v>0</v>
      </c>
      <c r="AU60" s="23">
        <f>((AU15*Constants!$H37*Constants!$H55*(1-Constants!$H73))+(AU15*Constants!$H37*Constants!$H89))</f>
        <v>0</v>
      </c>
      <c r="AV60" s="23">
        <f>((AV15*Constants!$H37*Constants!$H55*(1-Constants!$H73))+(AV15*Constants!$H37*Constants!$H89))</f>
        <v>0</v>
      </c>
      <c r="AW60" s="23">
        <f>((AW15*Constants!$H37*Constants!$H55*(1-Constants!$H73))+(AW15*Constants!$H37*Constants!$H89))</f>
        <v>0</v>
      </c>
      <c r="AX60" s="23">
        <f>((AX15*Constants!$H37*Constants!$H55*(1-Constants!$H73))+(AX15*Constants!$H37*Constants!$H89))</f>
        <v>0</v>
      </c>
      <c r="AY60" s="23">
        <f>((AY15*Constants!$H37*Constants!$H55*(1-Constants!$H73))+(AY15*Constants!$H37*Constants!$H89))</f>
        <v>0</v>
      </c>
      <c r="AZ60" s="23">
        <f>((AZ15*Constants!$H37*Constants!$H55*(1-Constants!$H73))+(AZ15*Constants!$H37*Constants!$H89))</f>
        <v>0</v>
      </c>
      <c r="BA60" s="23">
        <f>((BA15*Constants!$H37*Constants!$H55*(1-Constants!$H73))+(BA15*Constants!$H37*Constants!$H89))</f>
        <v>0</v>
      </c>
      <c r="BB60" s="23">
        <f>((BB15*Constants!$H37*Constants!$H55*(1-Constants!$H73))+(BB15*Constants!$H37*Constants!$H89))</f>
        <v>0</v>
      </c>
      <c r="BC60" s="23">
        <f>((BC15*Constants!$H37*Constants!$H55*(1-Constants!$H73))+(BC15*Constants!$H37*Constants!$H89))</f>
        <v>0</v>
      </c>
      <c r="BD60" s="23">
        <f>((BD15*Constants!$H37*Constants!$H55*(1-Constants!$H73))+(BD15*Constants!$H37*Constants!$H89))</f>
        <v>0</v>
      </c>
      <c r="BE60" s="23">
        <f>((BE15*Constants!$H37*Constants!$H55*(1-Constants!$H73))+(BE15*Constants!$H37*Constants!$H89))</f>
        <v>0</v>
      </c>
      <c r="BF60" s="23">
        <f>((BF15*Constants!$H37*Constants!$H55*(1-Constants!$H73))+(BF15*Constants!$H37*Constants!$H89))</f>
        <v>0</v>
      </c>
      <c r="BG60" s="23">
        <f>((BG15*Constants!$H37*Constants!$H55*(1-Constants!$H73))+(BG15*Constants!$H37*Constants!$H89))</f>
        <v>0</v>
      </c>
      <c r="BH60" s="23">
        <f>((BH15*Constants!$H37*Constants!$H55*(1-Constants!$H73))+(BH15*Constants!$H37*Constants!$H89))</f>
        <v>0</v>
      </c>
      <c r="BI60" s="23">
        <f>((BI15*Constants!$H37*Constants!$H55*(1-Constants!$H73))+(BI15*Constants!$H37*Constants!$H89))</f>
        <v>0</v>
      </c>
      <c r="BJ60" s="23">
        <f>((BJ15*Constants!$H37*Constants!$H55*(1-Constants!$H73))+(BJ15*Constants!$H37*Constants!$H89))</f>
        <v>0</v>
      </c>
      <c r="BK60" s="23">
        <f>((BK15*Constants!$H37*Constants!$H55*(1-Constants!$H73))+(BK15*Constants!$H37*Constants!$H89))</f>
        <v>0</v>
      </c>
      <c r="BL60" s="23">
        <f>((BL15*Constants!$H37*Constants!$H55*(1-Constants!$H73))+(BL15*Constants!$H37*Constants!$H89))</f>
        <v>0</v>
      </c>
      <c r="BM60" s="23">
        <f>((BM15*Constants!$H37*Constants!$H55*(1-Constants!$H73))+(BM15*Constants!$H37*Constants!$H89))</f>
        <v>0</v>
      </c>
      <c r="BN60" s="23">
        <f>((BN15*Constants!$H37*Constants!$H55*(1-Constants!$H73))+(BN15*Constants!$H37*Constants!$H89))</f>
        <v>0</v>
      </c>
      <c r="BO60" s="23">
        <f>((BO15*Constants!$H37*Constants!$H55*(1-Constants!$H73))+(BO15*Constants!$H37*Constants!$H89))</f>
        <v>0</v>
      </c>
      <c r="BP60" s="23">
        <f>((BP15*Constants!$H37*Constants!$H55*(1-Constants!$H73))+(BP15*Constants!$H37*Constants!$H89))</f>
        <v>0</v>
      </c>
    </row>
    <row r="61" spans="1:72" x14ac:dyDescent="0.25">
      <c r="A61" t="str">
        <f t="shared" si="14"/>
        <v>3C Aggregated and non-CO2 emissions on land</v>
      </c>
      <c r="B61" t="str">
        <f t="shared" si="15"/>
        <v>3C4 Direct N2O from managed soils (N2O)</v>
      </c>
      <c r="C61" t="s">
        <v>484</v>
      </c>
      <c r="D61" t="str">
        <f>Constants!D90</f>
        <v xml:space="preserve"> - Mules &amp; Asses</v>
      </c>
      <c r="E61" t="str">
        <f t="shared" si="17"/>
        <v>MM N available - Mules &amp; Asses</v>
      </c>
      <c r="F61" t="str">
        <f t="shared" si="18"/>
        <v>kg N</v>
      </c>
      <c r="H61" s="23">
        <f>((H16*Constants!$H38*Constants!$H56*(1-Constants!$H74))+(H16*Constants!$H38*Constants!$H90))</f>
        <v>0</v>
      </c>
      <c r="I61" s="23">
        <f>((I16*Constants!$H38*Constants!$H56*(1-Constants!$H74))+(I16*Constants!$H38*Constants!$H90))</f>
        <v>0</v>
      </c>
      <c r="J61" s="23">
        <f>((J16*Constants!$H38*Constants!$H56*(1-Constants!$H74))+(J16*Constants!$H38*Constants!$H90))</f>
        <v>0</v>
      </c>
      <c r="K61" s="23">
        <f>((K16*Constants!$H38*Constants!$H56*(1-Constants!$H74))+(K16*Constants!$H38*Constants!$H90))</f>
        <v>0</v>
      </c>
      <c r="L61" s="23">
        <f>((L16*Constants!$H38*Constants!$H56*(1-Constants!$H74))+(L16*Constants!$H38*Constants!$H90))</f>
        <v>0</v>
      </c>
      <c r="M61" s="23">
        <f>((M16*Constants!$H38*Constants!$H56*(1-Constants!$H74))+(M16*Constants!$H38*Constants!$H90))</f>
        <v>0</v>
      </c>
      <c r="N61" s="23">
        <f>((N16*Constants!$H38*Constants!$H56*(1-Constants!$H74))+(N16*Constants!$H38*Constants!$H90))</f>
        <v>0</v>
      </c>
      <c r="O61" s="23">
        <f>((O16*Constants!$H38*Constants!$H56*(1-Constants!$H74))+(O16*Constants!$H38*Constants!$H90))</f>
        <v>0</v>
      </c>
      <c r="P61" s="23">
        <f>((P16*Constants!$H38*Constants!$H56*(1-Constants!$H74))+(P16*Constants!$H38*Constants!$H90))</f>
        <v>0</v>
      </c>
      <c r="Q61" s="23">
        <f>((Q16*Constants!$H38*Constants!$H56*(1-Constants!$H74))+(Q16*Constants!$H38*Constants!$H90))</f>
        <v>0</v>
      </c>
      <c r="R61" s="23">
        <f>((R16*Constants!$H38*Constants!$H56*(1-Constants!$H74))+(R16*Constants!$H38*Constants!$H90))</f>
        <v>0</v>
      </c>
      <c r="S61" s="23">
        <f>((S16*Constants!$H38*Constants!$H56*(1-Constants!$H74))+(S16*Constants!$H38*Constants!$H90))</f>
        <v>0</v>
      </c>
      <c r="T61" s="23">
        <f>((T16*Constants!$H38*Constants!$H56*(1-Constants!$H74))+(T16*Constants!$H38*Constants!$H90))</f>
        <v>0</v>
      </c>
      <c r="U61" s="23">
        <f>((U16*Constants!$H38*Constants!$H56*(1-Constants!$H74))+(U16*Constants!$H38*Constants!$H90))</f>
        <v>0</v>
      </c>
      <c r="V61" s="23">
        <f>((V16*Constants!$H38*Constants!$H56*(1-Constants!$H74))+(V16*Constants!$H38*Constants!$H90))</f>
        <v>0</v>
      </c>
      <c r="W61" s="23">
        <f>((W16*Constants!$H38*Constants!$H56*(1-Constants!$H74))+(W16*Constants!$H38*Constants!$H90))</f>
        <v>0</v>
      </c>
      <c r="X61" s="23">
        <f>((X16*Constants!$H38*Constants!$H56*(1-Constants!$H74))+(X16*Constants!$H38*Constants!$H90))</f>
        <v>0</v>
      </c>
      <c r="Y61" s="23">
        <f>((Y16*Constants!$H38*Constants!$H56*(1-Constants!$H74))+(Y16*Constants!$H38*Constants!$H90))</f>
        <v>0</v>
      </c>
      <c r="Z61" s="23">
        <f>((Z16*Constants!$H38*Constants!$H56*(1-Constants!$H74))+(Z16*Constants!$H38*Constants!$H90))</f>
        <v>0</v>
      </c>
      <c r="AA61" s="23">
        <f>((AA16*Constants!$H38*Constants!$H56*(1-Constants!$H74))+(AA16*Constants!$H38*Constants!$H90))</f>
        <v>0</v>
      </c>
      <c r="AB61" s="23">
        <f>((AB16*Constants!$H38*Constants!$H56*(1-Constants!$H74))+(AB16*Constants!$H38*Constants!$H90))</f>
        <v>0</v>
      </c>
      <c r="AC61" s="23">
        <f>((AC16*Constants!$H38*Constants!$H56*(1-Constants!$H74))+(AC16*Constants!$H38*Constants!$H90))</f>
        <v>0</v>
      </c>
      <c r="AD61" s="23">
        <f>((AD16*Constants!$H38*Constants!$H56*(1-Constants!$H74))+(AD16*Constants!$H38*Constants!$H90))</f>
        <v>0</v>
      </c>
      <c r="AE61" s="23">
        <f>((AE16*Constants!$H38*Constants!$H56*(1-Constants!$H74))+(AE16*Constants!$H38*Constants!$H90))</f>
        <v>0</v>
      </c>
      <c r="AF61" s="23">
        <f>((AF16*Constants!$H38*Constants!$H56*(1-Constants!$H74))+(AF16*Constants!$H38*Constants!$H90))</f>
        <v>0</v>
      </c>
      <c r="AG61" s="23">
        <f>((AG16*Constants!$H38*Constants!$H56*(1-Constants!$H74))+(AG16*Constants!$H38*Constants!$H90))</f>
        <v>0</v>
      </c>
      <c r="AH61" s="23">
        <f>((AH16*Constants!$H38*Constants!$H56*(1-Constants!$H74))+(AH16*Constants!$H38*Constants!$H90))</f>
        <v>0</v>
      </c>
      <c r="AI61" s="23">
        <f>((AI16*Constants!$H38*Constants!$H56*(1-Constants!$H74))+(AI16*Constants!$H38*Constants!$H90))</f>
        <v>0</v>
      </c>
      <c r="AJ61" s="23">
        <f>((AJ16*Constants!$H38*Constants!$H56*(1-Constants!$H74))+(AJ16*Constants!$H38*Constants!$H90))</f>
        <v>0</v>
      </c>
      <c r="AK61" s="23">
        <f>((AK16*Constants!$H38*Constants!$H56*(1-Constants!$H74))+(AK16*Constants!$H38*Constants!$H90))</f>
        <v>0</v>
      </c>
      <c r="AL61" s="23">
        <f>((AL16*Constants!$H38*Constants!$H56*(1-Constants!$H74))+(AL16*Constants!$H38*Constants!$H90))</f>
        <v>0</v>
      </c>
      <c r="AM61" s="23">
        <f>((AM16*Constants!$H38*Constants!$H56*(1-Constants!$H74))+(AM16*Constants!$H38*Constants!$H90))</f>
        <v>0</v>
      </c>
      <c r="AN61" s="23">
        <f>((AN16*Constants!$H38*Constants!$H56*(1-Constants!$H74))+(AN16*Constants!$H38*Constants!$H90))</f>
        <v>0</v>
      </c>
      <c r="AO61" s="23">
        <f>((AO16*Constants!$H38*Constants!$H56*(1-Constants!$H74))+(AO16*Constants!$H38*Constants!$H90))</f>
        <v>0</v>
      </c>
      <c r="AP61" s="23">
        <f>((AP16*Constants!$H38*Constants!$H56*(1-Constants!$H74))+(AP16*Constants!$H38*Constants!$H90))</f>
        <v>0</v>
      </c>
      <c r="AQ61" s="23">
        <f>((AQ16*Constants!$H38*Constants!$H56*(1-Constants!$H74))+(AQ16*Constants!$H38*Constants!$H90))</f>
        <v>0</v>
      </c>
      <c r="AR61" s="23">
        <f>((AR16*Constants!$H38*Constants!$H56*(1-Constants!$H74))+(AR16*Constants!$H38*Constants!$H90))</f>
        <v>0</v>
      </c>
      <c r="AS61" s="23">
        <f>((AS16*Constants!$H38*Constants!$H56*(1-Constants!$H74))+(AS16*Constants!$H38*Constants!$H90))</f>
        <v>0</v>
      </c>
      <c r="AT61" s="23">
        <f>((AT16*Constants!$H38*Constants!$H56*(1-Constants!$H74))+(AT16*Constants!$H38*Constants!$H90))</f>
        <v>0</v>
      </c>
      <c r="AU61" s="23">
        <f>((AU16*Constants!$H38*Constants!$H56*(1-Constants!$H74))+(AU16*Constants!$H38*Constants!$H90))</f>
        <v>0</v>
      </c>
      <c r="AV61" s="23">
        <f>((AV16*Constants!$H38*Constants!$H56*(1-Constants!$H74))+(AV16*Constants!$H38*Constants!$H90))</f>
        <v>0</v>
      </c>
      <c r="AW61" s="23">
        <f>((AW16*Constants!$H38*Constants!$H56*(1-Constants!$H74))+(AW16*Constants!$H38*Constants!$H90))</f>
        <v>0</v>
      </c>
      <c r="AX61" s="23">
        <f>((AX16*Constants!$H38*Constants!$H56*(1-Constants!$H74))+(AX16*Constants!$H38*Constants!$H90))</f>
        <v>0</v>
      </c>
      <c r="AY61" s="23">
        <f>((AY16*Constants!$H38*Constants!$H56*(1-Constants!$H74))+(AY16*Constants!$H38*Constants!$H90))</f>
        <v>0</v>
      </c>
      <c r="AZ61" s="23">
        <f>((AZ16*Constants!$H38*Constants!$H56*(1-Constants!$H74))+(AZ16*Constants!$H38*Constants!$H90))</f>
        <v>0</v>
      </c>
      <c r="BA61" s="23">
        <f>((BA16*Constants!$H38*Constants!$H56*(1-Constants!$H74))+(BA16*Constants!$H38*Constants!$H90))</f>
        <v>0</v>
      </c>
      <c r="BB61" s="23">
        <f>((BB16*Constants!$H38*Constants!$H56*(1-Constants!$H74))+(BB16*Constants!$H38*Constants!$H90))</f>
        <v>0</v>
      </c>
      <c r="BC61" s="23">
        <f>((BC16*Constants!$H38*Constants!$H56*(1-Constants!$H74))+(BC16*Constants!$H38*Constants!$H90))</f>
        <v>0</v>
      </c>
      <c r="BD61" s="23">
        <f>((BD16*Constants!$H38*Constants!$H56*(1-Constants!$H74))+(BD16*Constants!$H38*Constants!$H90))</f>
        <v>0</v>
      </c>
      <c r="BE61" s="23">
        <f>((BE16*Constants!$H38*Constants!$H56*(1-Constants!$H74))+(BE16*Constants!$H38*Constants!$H90))</f>
        <v>0</v>
      </c>
      <c r="BF61" s="23">
        <f>((BF16*Constants!$H38*Constants!$H56*(1-Constants!$H74))+(BF16*Constants!$H38*Constants!$H90))</f>
        <v>0</v>
      </c>
      <c r="BG61" s="23">
        <f>((BG16*Constants!$H38*Constants!$H56*(1-Constants!$H74))+(BG16*Constants!$H38*Constants!$H90))</f>
        <v>0</v>
      </c>
      <c r="BH61" s="23">
        <f>((BH16*Constants!$H38*Constants!$H56*(1-Constants!$H74))+(BH16*Constants!$H38*Constants!$H90))</f>
        <v>0</v>
      </c>
      <c r="BI61" s="23">
        <f>((BI16*Constants!$H38*Constants!$H56*(1-Constants!$H74))+(BI16*Constants!$H38*Constants!$H90))</f>
        <v>0</v>
      </c>
      <c r="BJ61" s="23">
        <f>((BJ16*Constants!$H38*Constants!$H56*(1-Constants!$H74))+(BJ16*Constants!$H38*Constants!$H90))</f>
        <v>0</v>
      </c>
      <c r="BK61" s="23">
        <f>((BK16*Constants!$H38*Constants!$H56*(1-Constants!$H74))+(BK16*Constants!$H38*Constants!$H90))</f>
        <v>0</v>
      </c>
      <c r="BL61" s="23">
        <f>((BL16*Constants!$H38*Constants!$H56*(1-Constants!$H74))+(BL16*Constants!$H38*Constants!$H90))</f>
        <v>0</v>
      </c>
      <c r="BM61" s="23">
        <f>((BM16*Constants!$H38*Constants!$H56*(1-Constants!$H74))+(BM16*Constants!$H38*Constants!$H90))</f>
        <v>0</v>
      </c>
      <c r="BN61" s="23">
        <f>((BN16*Constants!$H38*Constants!$H56*(1-Constants!$H74))+(BN16*Constants!$H38*Constants!$H90))</f>
        <v>0</v>
      </c>
      <c r="BO61" s="23">
        <f>((BO16*Constants!$H38*Constants!$H56*(1-Constants!$H74))+(BO16*Constants!$H38*Constants!$H90))</f>
        <v>0</v>
      </c>
      <c r="BP61" s="23">
        <f>((BP16*Constants!$H38*Constants!$H56*(1-Constants!$H74))+(BP16*Constants!$H38*Constants!$H90))</f>
        <v>0</v>
      </c>
    </row>
    <row r="62" spans="1:72" x14ac:dyDescent="0.25">
      <c r="A62" t="str">
        <f t="shared" si="14"/>
        <v>3C Aggregated and non-CO2 emissions on land</v>
      </c>
      <c r="B62" t="str">
        <f t="shared" si="15"/>
        <v>3C4 Direct N2O from managed soils (N2O)</v>
      </c>
      <c r="C62" t="s">
        <v>484</v>
      </c>
      <c r="D62" t="str">
        <f>Constants!D91</f>
        <v xml:space="preserve"> - Commercial swine</v>
      </c>
      <c r="E62" t="str">
        <f t="shared" si="17"/>
        <v>MM N available - Commercial swine</v>
      </c>
      <c r="F62" t="str">
        <f t="shared" si="18"/>
        <v>kg N</v>
      </c>
      <c r="H62" s="23">
        <f>((H17*Constants!$H39*Constants!$H57*(1-Constants!$H75))+(H17*Constants!$H39*Constants!$H91))</f>
        <v>7298537.9251200007</v>
      </c>
      <c r="I62" s="23">
        <f>((I17*Constants!$H39*Constants!$H57*(1-Constants!$H75))+(I17*Constants!$H39*Constants!$H91))</f>
        <v>7973796.3552000001</v>
      </c>
      <c r="J62" s="23">
        <f>((J17*Constants!$H39*Constants!$H57*(1-Constants!$H75))+(J17*Constants!$H39*Constants!$H91))</f>
        <v>7921116.6195200011</v>
      </c>
      <c r="K62" s="23">
        <f>((K17*Constants!$H39*Constants!$H57*(1-Constants!$H75))+(K17*Constants!$H39*Constants!$H91))</f>
        <v>7916327.5526400004</v>
      </c>
      <c r="L62" s="23">
        <f>((L17*Constants!$H39*Constants!$H57*(1-Constants!$H75))+(L17*Constants!$H39*Constants!$H91))</f>
        <v>7518835.0016000001</v>
      </c>
      <c r="M62" s="23">
        <f>((M17*Constants!$H39*Constants!$H57*(1-Constants!$H75))+(M17*Constants!$H39*Constants!$H91))</f>
        <v>7590671.0048000002</v>
      </c>
      <c r="N62" s="23">
        <f>((N17*Constants!$H39*Constants!$H57*(1-Constants!$H75))+(N17*Constants!$H39*Constants!$H91))</f>
        <v>8174937.1641600002</v>
      </c>
      <c r="O62" s="23">
        <f>((O17*Constants!$H39*Constants!$H57*(1-Constants!$H75))+(O17*Constants!$H39*Constants!$H91))</f>
        <v>8136624.6291200006</v>
      </c>
      <c r="P62" s="23">
        <f>((P17*Constants!$H39*Constants!$H57*(1-Constants!$H75))+(P17*Constants!$H39*Constants!$H91))</f>
        <v>8313820.1036800006</v>
      </c>
      <c r="Q62" s="23">
        <f>((Q17*Constants!$H39*Constants!$H57*(1-Constants!$H75))+(Q17*Constants!$H39*Constants!$H91))</f>
        <v>8524539.0463999994</v>
      </c>
      <c r="R62" s="23">
        <f>((R17*Constants!$H39*Constants!$H57*(1-Constants!$H75))+(R17*Constants!$H39*Constants!$H91))</f>
        <v>7887593.1513599996</v>
      </c>
      <c r="S62" s="23">
        <f>((S17*Constants!$H39*Constants!$H57*(1-Constants!$H75))+(S17*Constants!$H39*Constants!$H91))</f>
        <v>8036054.2246400006</v>
      </c>
      <c r="T62" s="23">
        <f>((T17*Constants!$H39*Constants!$H57*(1-Constants!$H75))+(T17*Constants!$H39*Constants!$H91))</f>
        <v>8189304.3647999996</v>
      </c>
      <c r="U62" s="23">
        <f>((U17*Constants!$H39*Constants!$H57*(1-Constants!$H75))+(U17*Constants!$H39*Constants!$H91))</f>
        <v>7964218.2214400005</v>
      </c>
      <c r="V62" s="23">
        <f>((V17*Constants!$H39*Constants!$H57*(1-Constants!$H75))+(V17*Constants!$H39*Constants!$H91))</f>
        <v>7964218.2214400005</v>
      </c>
      <c r="W62" s="23">
        <f>((W17*Constants!$H39*Constants!$H57*(1-Constants!$H75))+(W17*Constants!$H39*Constants!$H91))</f>
        <v>7906749.4188800007</v>
      </c>
      <c r="X62" s="23">
        <f>((X17*Constants!$H39*Constants!$H57*(1-Constants!$H75))+(X17*Constants!$H39*Constants!$H91))</f>
        <v>7767866.4793599993</v>
      </c>
      <c r="Y62" s="23">
        <f>((Y17*Constants!$H39*Constants!$H57*(1-Constants!$H75))+(Y17*Constants!$H39*Constants!$H91))</f>
        <v>7906749.4188800007</v>
      </c>
      <c r="Z62" s="23">
        <f>((Z17*Constants!$H39*Constants!$H57*(1-Constants!$H75))+(Z17*Constants!$H39*Constants!$H91))</f>
        <v>7734343.0111999996</v>
      </c>
      <c r="AA62" s="23">
        <f>((AA17*Constants!$H39*Constants!$H57*(1-Constants!$H75))+(AA17*Constants!$H39*Constants!$H91))</f>
        <v>7724764.87744</v>
      </c>
      <c r="AB62" s="23">
        <f>((AB17*Constants!$H39*Constants!$H57*(1-Constants!$H75))+(AB17*Constants!$H39*Constants!$H91))</f>
        <v>7633772.6067200005</v>
      </c>
      <c r="AC62" s="23">
        <f>((AC17*Constants!$H39*Constants!$H57*(1-Constants!$H75))+(AC17*Constants!$H39*Constants!$H91))</f>
        <v>7585881.9379200004</v>
      </c>
      <c r="AD62" s="23">
        <f>((AD17*Constants!$H39*Constants!$H57*(1-Constants!$H75))+(AD17*Constants!$H39*Constants!$H91))</f>
        <v>7561936.6035200004</v>
      </c>
      <c r="AE62" s="23">
        <f>((AE17*Constants!$H39*Constants!$H57*(1-Constants!$H75))+(AE17*Constants!$H39*Constants!$H91))</f>
        <v>7537991.2691200003</v>
      </c>
      <c r="AF62" s="23">
        <f>((AF17*Constants!$H39*Constants!$H57*(1-Constants!$H75))+(AF17*Constants!$H39*Constants!$H91))</f>
        <v>7480522.4665599996</v>
      </c>
      <c r="AG62" s="23">
        <f>((AG17*Constants!$H39*Constants!$H57*(1-Constants!$H75))+(AG17*Constants!$H39*Constants!$H91))</f>
        <v>7293748.85824</v>
      </c>
      <c r="AH62" s="23">
        <f>((AH17*Constants!$H39*Constants!$H57*(1-Constants!$H75))+(AH17*Constants!$H39*Constants!$H91))</f>
        <v>7241069.12256</v>
      </c>
      <c r="AI62" s="23">
        <f>((AI17*Constants!$H39*Constants!$H57*(1-Constants!$H75))+(AI17*Constants!$H39*Constants!$H91))</f>
        <v>7092608.0492800009</v>
      </c>
      <c r="AJ62" s="23">
        <f>((AJ17*Constants!$H39*Constants!$H57*(1-Constants!$H75))+(AJ17*Constants!$H39*Constants!$H91))</f>
        <v>7382954.0342199877</v>
      </c>
      <c r="AK62" s="23">
        <f>((AK17*Constants!$H39*Constants!$H57*(1-Constants!$H75))+(AK17*Constants!$H39*Constants!$H91))</f>
        <v>7372102.8634527754</v>
      </c>
      <c r="AL62" s="23">
        <f>((AL17*Constants!$H39*Constants!$H57*(1-Constants!$H75))+(AL17*Constants!$H39*Constants!$H91))</f>
        <v>7401281.1101529747</v>
      </c>
      <c r="AM62" s="23">
        <f>((AM17*Constants!$H39*Constants!$H57*(1-Constants!$H75))+(AM17*Constants!$H39*Constants!$H91))</f>
        <v>7384371.7250443455</v>
      </c>
      <c r="AN62" s="23">
        <f>((AN17*Constants!$H39*Constants!$H57*(1-Constants!$H75))+(AN17*Constants!$H39*Constants!$H91))</f>
        <v>7367869.2489928072</v>
      </c>
      <c r="AO62" s="23">
        <f>((AO17*Constants!$H39*Constants!$H57*(1-Constants!$H75))+(AO17*Constants!$H39*Constants!$H91))</f>
        <v>7351275.4330195598</v>
      </c>
      <c r="AP62" s="23">
        <f>((AP17*Constants!$H39*Constants!$H57*(1-Constants!$H75))+(AP17*Constants!$H39*Constants!$H91))</f>
        <v>7335031.9089115448</v>
      </c>
      <c r="AQ62" s="23">
        <f>((AQ17*Constants!$H39*Constants!$H57*(1-Constants!$H75))+(AQ17*Constants!$H39*Constants!$H91))</f>
        <v>7318382.0821912717</v>
      </c>
      <c r="AR62" s="23">
        <f>((AR17*Constants!$H39*Constants!$H57*(1-Constants!$H75))+(AR17*Constants!$H39*Constants!$H91))</f>
        <v>7299312.7750820098</v>
      </c>
      <c r="AS62" s="23">
        <f>((AS17*Constants!$H39*Constants!$H57*(1-Constants!$H75))+(AS17*Constants!$H39*Constants!$H91))</f>
        <v>7280351.1974548055</v>
      </c>
      <c r="AT62" s="23">
        <f>((AT17*Constants!$H39*Constants!$H57*(1-Constants!$H75))+(AT17*Constants!$H39*Constants!$H91))</f>
        <v>7260839.6521137683</v>
      </c>
      <c r="AU62" s="23">
        <f>((AU17*Constants!$H39*Constants!$H57*(1-Constants!$H75))+(AU17*Constants!$H39*Constants!$H91))</f>
        <v>7240919.7361523733</v>
      </c>
      <c r="AV62" s="23">
        <f>((AV17*Constants!$H39*Constants!$H57*(1-Constants!$H75))+(AV17*Constants!$H39*Constants!$H91))</f>
        <v>7220554.1765382178</v>
      </c>
      <c r="AW62" s="23">
        <f>((AW17*Constants!$H39*Constants!$H57*(1-Constants!$H75))+(AW17*Constants!$H39*Constants!$H91))</f>
        <v>7197819.241033351</v>
      </c>
      <c r="AX62" s="23">
        <f>((AX17*Constants!$H39*Constants!$H57*(1-Constants!$H75))+(AX17*Constants!$H39*Constants!$H91))</f>
        <v>7175816.9532100242</v>
      </c>
      <c r="AY62" s="23">
        <f>((AY17*Constants!$H39*Constants!$H57*(1-Constants!$H75))+(AY17*Constants!$H39*Constants!$H91))</f>
        <v>7152162.1808429034</v>
      </c>
      <c r="AZ62" s="23">
        <f>((AZ17*Constants!$H39*Constants!$H57*(1-Constants!$H75))+(AZ17*Constants!$H39*Constants!$H91))</f>
        <v>7127352.1778435521</v>
      </c>
      <c r="BA62" s="23">
        <f>((BA17*Constants!$H39*Constants!$H57*(1-Constants!$H75))+(BA17*Constants!$H39*Constants!$H91))</f>
        <v>7101324.4180704597</v>
      </c>
      <c r="BB62" s="23">
        <f>((BB17*Constants!$H39*Constants!$H57*(1-Constants!$H75))+(BB17*Constants!$H39*Constants!$H91))</f>
        <v>7074459.9871014152</v>
      </c>
      <c r="BC62" s="23">
        <f>((BC17*Constants!$H39*Constants!$H57*(1-Constants!$H75))+(BC17*Constants!$H39*Constants!$H91))</f>
        <v>7046757.9469694709</v>
      </c>
      <c r="BD62" s="23">
        <f>((BD17*Constants!$H39*Constants!$H57*(1-Constants!$H75))+(BD17*Constants!$H39*Constants!$H91))</f>
        <v>7018744.7385632107</v>
      </c>
      <c r="BE62" s="23">
        <f>((BE17*Constants!$H39*Constants!$H57*(1-Constants!$H75))+(BE17*Constants!$H39*Constants!$H91))</f>
        <v>6989886.0215370767</v>
      </c>
      <c r="BF62" s="23">
        <f>((BF17*Constants!$H39*Constants!$H57*(1-Constants!$H75))+(BF17*Constants!$H39*Constants!$H91))</f>
        <v>6959708.6601968445</v>
      </c>
      <c r="BG62" s="23">
        <f>((BG17*Constants!$H39*Constants!$H57*(1-Constants!$H75))+(BG17*Constants!$H39*Constants!$H91))</f>
        <v>6927551.3567677243</v>
      </c>
      <c r="BH62" s="23">
        <f>((BH17*Constants!$H39*Constants!$H57*(1-Constants!$H75))+(BH17*Constants!$H39*Constants!$H91))</f>
        <v>6894381.7726383256</v>
      </c>
      <c r="BI62" s="23">
        <f>((BI17*Constants!$H39*Constants!$H57*(1-Constants!$H75))+(BI17*Constants!$H39*Constants!$H91))</f>
        <v>6860257.6131183896</v>
      </c>
      <c r="BJ62" s="23">
        <f>((BJ17*Constants!$H39*Constants!$H57*(1-Constants!$H75))+(BJ17*Constants!$H39*Constants!$H91))</f>
        <v>6825036.4415458711</v>
      </c>
      <c r="BK62" s="23">
        <f>((BK17*Constants!$H39*Constants!$H57*(1-Constants!$H75))+(BK17*Constants!$H39*Constants!$H91))</f>
        <v>6788153.5333826747</v>
      </c>
      <c r="BL62" s="23">
        <f>((BL17*Constants!$H39*Constants!$H57*(1-Constants!$H75))+(BL17*Constants!$H39*Constants!$H91))</f>
        <v>6750156.5886008693</v>
      </c>
      <c r="BM62" s="23">
        <f>((BM17*Constants!$H39*Constants!$H57*(1-Constants!$H75))+(BM17*Constants!$H39*Constants!$H91))</f>
        <v>6710726.847927629</v>
      </c>
      <c r="BN62" s="23">
        <f>((BN17*Constants!$H39*Constants!$H57*(1-Constants!$H75))+(BN17*Constants!$H39*Constants!$H91))</f>
        <v>6670937.8118915884</v>
      </c>
      <c r="BO62" s="23">
        <f>((BO17*Constants!$H39*Constants!$H57*(1-Constants!$H75))+(BO17*Constants!$H39*Constants!$H91))</f>
        <v>6629586.1231448809</v>
      </c>
      <c r="BP62" s="23">
        <f>((BP17*Constants!$H39*Constants!$H57*(1-Constants!$H75))+(BP17*Constants!$H39*Constants!$H91))</f>
        <v>6586541.3803743431</v>
      </c>
    </row>
    <row r="63" spans="1:72" x14ac:dyDescent="0.25">
      <c r="A63" t="str">
        <f t="shared" si="14"/>
        <v>3C Aggregated and non-CO2 emissions on land</v>
      </c>
      <c r="B63" t="str">
        <f t="shared" si="15"/>
        <v>3C4 Direct N2O from managed soils (N2O)</v>
      </c>
      <c r="C63" t="s">
        <v>484</v>
      </c>
      <c r="D63" t="str">
        <f>Constants!D92</f>
        <v xml:space="preserve"> - Subsistence swine</v>
      </c>
      <c r="E63" t="str">
        <f t="shared" si="17"/>
        <v>MM N available - Subsistence swine</v>
      </c>
      <c r="F63" t="str">
        <f t="shared" si="18"/>
        <v>kg N</v>
      </c>
      <c r="H63" s="23">
        <f>((H18*Constants!$H40*Constants!$H58*(1-Constants!$H76))+(H18*Constants!$H40*Constants!$H92))</f>
        <v>1773185.6742955854</v>
      </c>
      <c r="I63" s="23">
        <f>((I18*Constants!$H40*Constants!$H58*(1-Constants!$H76))+(I18*Constants!$H40*Constants!$H92))</f>
        <v>1937240.2543977362</v>
      </c>
      <c r="J63" s="23">
        <f>((J18*Constants!$H40*Constants!$H58*(1-Constants!$H76))+(J18*Constants!$H40*Constants!$H92))</f>
        <v>1924441.6701344475</v>
      </c>
      <c r="K63" s="23">
        <f>((K18*Constants!$H40*Constants!$H58*(1-Constants!$H76))+(K18*Constants!$H40*Constants!$H92))</f>
        <v>1923278.1624741489</v>
      </c>
      <c r="L63" s="23">
        <f>((L18*Constants!$H40*Constants!$H58*(1-Constants!$H76))+(L18*Constants!$H40*Constants!$H92))</f>
        <v>1826707.0266693365</v>
      </c>
      <c r="M63" s="23">
        <f>((M18*Constants!$H40*Constants!$H58*(1-Constants!$H76))+(M18*Constants!$H40*Constants!$H92))</f>
        <v>1844159.6415738207</v>
      </c>
      <c r="N63" s="23">
        <f>((N18*Constants!$H40*Constants!$H58*(1-Constants!$H76))+(N18*Constants!$H40*Constants!$H92))</f>
        <v>1986107.5761302917</v>
      </c>
      <c r="O63" s="23">
        <f>((O18*Constants!$H40*Constants!$H58*(1-Constants!$H76))+(O18*Constants!$H40*Constants!$H92))</f>
        <v>1976799.5148479</v>
      </c>
      <c r="P63" s="23">
        <f>((P18*Constants!$H40*Constants!$H58*(1-Constants!$H76))+(P18*Constants!$H40*Constants!$H92))</f>
        <v>2019849.2982789606</v>
      </c>
      <c r="Q63" s="23">
        <f>((Q18*Constants!$H40*Constants!$H58*(1-Constants!$H76))+(Q18*Constants!$H40*Constants!$H92))</f>
        <v>2071043.6353321141</v>
      </c>
      <c r="R63" s="23">
        <f>((R18*Constants!$H40*Constants!$H58*(1-Constants!$H76))+(R18*Constants!$H40*Constants!$H92))</f>
        <v>1916297.1165123552</v>
      </c>
      <c r="S63" s="23">
        <f>((S18*Constants!$H40*Constants!$H58*(1-Constants!$H76))+(S18*Constants!$H40*Constants!$H92))</f>
        <v>1952365.8539816223</v>
      </c>
      <c r="T63" s="23">
        <f>((T18*Constants!$H40*Constants!$H58*(1-Constants!$H76))+(T18*Constants!$H40*Constants!$H92))</f>
        <v>1989598.0991111884</v>
      </c>
      <c r="U63" s="23">
        <f>((U18*Constants!$H40*Constants!$H58*(1-Constants!$H76))+(U18*Constants!$H40*Constants!$H92))</f>
        <v>1934913.2390771382</v>
      </c>
      <c r="V63" s="23">
        <f>((V18*Constants!$H40*Constants!$H58*(1-Constants!$H76))+(V18*Constants!$H40*Constants!$H92))</f>
        <v>1934913.2390771382</v>
      </c>
      <c r="W63" s="23">
        <f>((W18*Constants!$H40*Constants!$H58*(1-Constants!$H76))+(W18*Constants!$H40*Constants!$H92))</f>
        <v>1920951.1471535508</v>
      </c>
      <c r="X63" s="23">
        <f>((X18*Constants!$H40*Constants!$H58*(1-Constants!$H76))+(X18*Constants!$H40*Constants!$H92))</f>
        <v>1887209.4250048813</v>
      </c>
      <c r="Y63" s="23">
        <f>((Y18*Constants!$H40*Constants!$H58*(1-Constants!$H76))+(Y18*Constants!$H40*Constants!$H92))</f>
        <v>1920951.1471535508</v>
      </c>
      <c r="Z63" s="23">
        <f>((Z18*Constants!$H40*Constants!$H58*(1-Constants!$H76))+(Z18*Constants!$H40*Constants!$H92))</f>
        <v>1879064.8713827892</v>
      </c>
      <c r="AA63" s="23">
        <f>((AA18*Constants!$H40*Constants!$H58*(1-Constants!$H76))+(AA18*Constants!$H40*Constants!$H92))</f>
        <v>1876737.8560621911</v>
      </c>
      <c r="AB63" s="23">
        <f>((AB18*Constants!$H40*Constants!$H58*(1-Constants!$H76))+(AB18*Constants!$H40*Constants!$H92))</f>
        <v>1854631.2105165115</v>
      </c>
      <c r="AC63" s="23">
        <f>((AC18*Constants!$H40*Constants!$H58*(1-Constants!$H76))+(AC18*Constants!$H40*Constants!$H92))</f>
        <v>1842996.1339135219</v>
      </c>
      <c r="AD63" s="23">
        <f>((AD18*Constants!$H40*Constants!$H58*(1-Constants!$H76))+(AD18*Constants!$H40*Constants!$H92))</f>
        <v>1837178.5956120272</v>
      </c>
      <c r="AE63" s="23">
        <f>((AE18*Constants!$H40*Constants!$H58*(1-Constants!$H76))+(AE18*Constants!$H40*Constants!$H92))</f>
        <v>1831361.0573105325</v>
      </c>
      <c r="AF63" s="23">
        <f>((AF18*Constants!$H40*Constants!$H58*(1-Constants!$H76))+(AF18*Constants!$H40*Constants!$H92))</f>
        <v>1817398.9653869453</v>
      </c>
      <c r="AG63" s="23">
        <f>((AG18*Constants!$H40*Constants!$H58*(1-Constants!$H76))+(AG18*Constants!$H40*Constants!$H92))</f>
        <v>1772022.1666352865</v>
      </c>
      <c r="AH63" s="23">
        <f>((AH18*Constants!$H40*Constants!$H58*(1-Constants!$H76))+(AH18*Constants!$H40*Constants!$H92))</f>
        <v>1759223.5823719983</v>
      </c>
      <c r="AI63" s="23">
        <f>((AI18*Constants!$H40*Constants!$H58*(1-Constants!$H76))+(AI18*Constants!$H40*Constants!$H92))</f>
        <v>1723154.844902731</v>
      </c>
      <c r="AJ63" s="23">
        <f>((AJ18*Constants!$H40*Constants!$H58*(1-Constants!$H76))+(AJ18*Constants!$H40*Constants!$H92))</f>
        <v>1799409.0091713918</v>
      </c>
      <c r="AK63" s="23">
        <f>((AK18*Constants!$H40*Constants!$H58*(1-Constants!$H76))+(AK18*Constants!$H40*Constants!$H92))</f>
        <v>1796764.3097261458</v>
      </c>
      <c r="AL63" s="23">
        <f>((AL18*Constants!$H40*Constants!$H58*(1-Constants!$H76))+(AL18*Constants!$H40*Constants!$H92))</f>
        <v>1803875.7721219307</v>
      </c>
      <c r="AM63" s="23">
        <f>((AM18*Constants!$H40*Constants!$H58*(1-Constants!$H76))+(AM18*Constants!$H40*Constants!$H92))</f>
        <v>1799754.5355866649</v>
      </c>
      <c r="AN63" s="23">
        <f>((AN18*Constants!$H40*Constants!$H58*(1-Constants!$H76))+(AN18*Constants!$H40*Constants!$H92))</f>
        <v>1795732.4728807157</v>
      </c>
      <c r="AO63" s="23">
        <f>((AO18*Constants!$H40*Constants!$H58*(1-Constants!$H76))+(AO18*Constants!$H40*Constants!$H92))</f>
        <v>1791688.1483704459</v>
      </c>
      <c r="AP63" s="23">
        <f>((AP18*Constants!$H40*Constants!$H58*(1-Constants!$H76))+(AP18*Constants!$H40*Constants!$H92))</f>
        <v>1787729.1986756246</v>
      </c>
      <c r="AQ63" s="23">
        <f>((AQ18*Constants!$H40*Constants!$H58*(1-Constants!$H76))+(AQ18*Constants!$H40*Constants!$H92))</f>
        <v>1783671.2229571328</v>
      </c>
      <c r="AR63" s="23">
        <f>((AR18*Constants!$H40*Constants!$H58*(1-Constants!$H76))+(AR18*Constants!$H40*Constants!$H92))</f>
        <v>1779023.5598602183</v>
      </c>
      <c r="AS63" s="23">
        <f>((AS18*Constants!$H40*Constants!$H58*(1-Constants!$H76))+(AS18*Constants!$H40*Constants!$H92))</f>
        <v>1774402.1531099733</v>
      </c>
      <c r="AT63" s="23">
        <f>((AT18*Constants!$H40*Constants!$H58*(1-Constants!$H76))+(AT18*Constants!$H40*Constants!$H92))</f>
        <v>1769646.7055876418</v>
      </c>
      <c r="AU63" s="23">
        <f>((AU18*Constants!$H40*Constants!$H58*(1-Constants!$H76))+(AU18*Constants!$H40*Constants!$H92))</f>
        <v>1764791.728016776</v>
      </c>
      <c r="AV63" s="23">
        <f>((AV18*Constants!$H40*Constants!$H58*(1-Constants!$H76))+(AV18*Constants!$H40*Constants!$H92))</f>
        <v>1759828.1360349385</v>
      </c>
      <c r="AW63" s="23">
        <f>((AW18*Constants!$H40*Constants!$H58*(1-Constants!$H76))+(AW18*Constants!$H40*Constants!$H92))</f>
        <v>1754287.0683835929</v>
      </c>
      <c r="AX63" s="23">
        <f>((AX18*Constants!$H40*Constants!$H58*(1-Constants!$H76))+(AX18*Constants!$H40*Constants!$H92))</f>
        <v>1748924.5651432681</v>
      </c>
      <c r="AY63" s="23">
        <f>((AY18*Constants!$H40*Constants!$H58*(1-Constants!$H76))+(AY18*Constants!$H40*Constants!$H92))</f>
        <v>1743159.3104349209</v>
      </c>
      <c r="AZ63" s="23">
        <f>((AZ18*Constants!$H40*Constants!$H58*(1-Constants!$H76))+(AZ18*Constants!$H40*Constants!$H92))</f>
        <v>1737112.4973696247</v>
      </c>
      <c r="BA63" s="23">
        <f>((BA18*Constants!$H40*Constants!$H58*(1-Constants!$H76))+(BA18*Constants!$H40*Constants!$H92))</f>
        <v>1730768.8867759285</v>
      </c>
      <c r="BB63" s="23">
        <f>((BB18*Constants!$H40*Constants!$H58*(1-Constants!$H76))+(BB18*Constants!$H40*Constants!$H92))</f>
        <v>1724221.3586607724</v>
      </c>
      <c r="BC63" s="23">
        <f>((BC18*Constants!$H40*Constants!$H58*(1-Constants!$H76))+(BC18*Constants!$H40*Constants!$H92))</f>
        <v>1717469.6844183474</v>
      </c>
      <c r="BD63" s="23">
        <f>((BD18*Constants!$H40*Constants!$H58*(1-Constants!$H76))+(BD18*Constants!$H40*Constants!$H92))</f>
        <v>1710642.1707499186</v>
      </c>
      <c r="BE63" s="23">
        <f>((BE18*Constants!$H40*Constants!$H58*(1-Constants!$H76))+(BE18*Constants!$H40*Constants!$H92))</f>
        <v>1703608.5856606353</v>
      </c>
      <c r="BF63" s="23">
        <f>((BF18*Constants!$H40*Constants!$H58*(1-Constants!$H76))+(BF18*Constants!$H40*Constants!$H92))</f>
        <v>1696253.6142471673</v>
      </c>
      <c r="BG63" s="23">
        <f>((BG18*Constants!$H40*Constants!$H58*(1-Constants!$H76))+(BG18*Constants!$H40*Constants!$H92))</f>
        <v>1688416.0818403806</v>
      </c>
      <c r="BH63" s="23">
        <f>((BH18*Constants!$H40*Constants!$H58*(1-Constants!$H76))+(BH18*Constants!$H40*Constants!$H92))</f>
        <v>1680331.8315204866</v>
      </c>
      <c r="BI63" s="23">
        <f>((BI18*Constants!$H40*Constants!$H58*(1-Constants!$H76))+(BI18*Constants!$H40*Constants!$H92))</f>
        <v>1672014.9275026675</v>
      </c>
      <c r="BJ63" s="23">
        <f>((BJ18*Constants!$H40*Constants!$H58*(1-Constants!$H76))+(BJ18*Constants!$H40*Constants!$H92))</f>
        <v>1663430.6544396894</v>
      </c>
      <c r="BK63" s="23">
        <f>((BK18*Constants!$H40*Constants!$H58*(1-Constants!$H76))+(BK18*Constants!$H40*Constants!$H92))</f>
        <v>1654441.3749553959</v>
      </c>
      <c r="BL63" s="23">
        <f>((BL18*Constants!$H40*Constants!$H58*(1-Constants!$H76))+(BL18*Constants!$H40*Constants!$H92))</f>
        <v>1645180.5771169611</v>
      </c>
      <c r="BM63" s="23">
        <f>((BM18*Constants!$H40*Constants!$H58*(1-Constants!$H76))+(BM18*Constants!$H40*Constants!$H92))</f>
        <v>1635570.5713837727</v>
      </c>
      <c r="BN63" s="23">
        <f>((BN18*Constants!$H40*Constants!$H58*(1-Constants!$H76))+(BN18*Constants!$H40*Constants!$H92))</f>
        <v>1625872.9964594748</v>
      </c>
      <c r="BO63" s="23">
        <f>((BO18*Constants!$H40*Constants!$H58*(1-Constants!$H76))+(BO18*Constants!$H40*Constants!$H92))</f>
        <v>1615794.5643128848</v>
      </c>
      <c r="BP63" s="23">
        <f>((BP18*Constants!$H40*Constants!$H58*(1-Constants!$H76))+(BP18*Constants!$H40*Constants!$H92))</f>
        <v>1605303.4929097898</v>
      </c>
    </row>
    <row r="64" spans="1:72" x14ac:dyDescent="0.25">
      <c r="A64" t="str">
        <f t="shared" si="14"/>
        <v>3C Aggregated and non-CO2 emissions on land</v>
      </c>
      <c r="B64" t="str">
        <f t="shared" si="15"/>
        <v>3C4 Direct N2O from managed soils (N2O)</v>
      </c>
      <c r="C64" t="s">
        <v>484</v>
      </c>
      <c r="D64" t="str">
        <f>Constants!D93</f>
        <v xml:space="preserve"> - Commercial layers</v>
      </c>
      <c r="E64" t="str">
        <f t="shared" si="17"/>
        <v>MM N available - Commercial layers</v>
      </c>
      <c r="F64" t="str">
        <f t="shared" si="18"/>
        <v>kg N</v>
      </c>
      <c r="H64" s="23">
        <f>((H19*Constants!$H41*Constants!$H59*(1-Constants!$H77))+(H19*Constants!$H41*Constants!$H93))</f>
        <v>6185488.2909675539</v>
      </c>
      <c r="I64" s="23">
        <f>((I19*Constants!$H41*Constants!$H59*(1-Constants!$H77))+(I19*Constants!$H41*Constants!$H93))</f>
        <v>6009109.2071274081</v>
      </c>
      <c r="J64" s="23">
        <f>((J19*Constants!$H41*Constants!$H59*(1-Constants!$H77))+(J19*Constants!$H41*Constants!$H93))</f>
        <v>5699222.0850570546</v>
      </c>
      <c r="K64" s="23">
        <f>((K19*Constants!$H41*Constants!$H59*(1-Constants!$H77))+(K19*Constants!$H41*Constants!$H93))</f>
        <v>5609611.8493190575</v>
      </c>
      <c r="L64" s="23">
        <f>((L19*Constants!$H41*Constants!$H59*(1-Constants!$H77))+(L19*Constants!$H41*Constants!$H93))</f>
        <v>5365613.9312671879</v>
      </c>
      <c r="M64" s="23">
        <f>((M19*Constants!$H41*Constants!$H59*(1-Constants!$H77))+(M19*Constants!$H41*Constants!$H93))</f>
        <v>5854552.6233854303</v>
      </c>
      <c r="N64" s="23">
        <f>((N19*Constants!$H41*Constants!$H59*(1-Constants!$H77))+(N19*Constants!$H41*Constants!$H93))</f>
        <v>6184194.3241279265</v>
      </c>
      <c r="O64" s="23">
        <f>((O19*Constants!$H41*Constants!$H59*(1-Constants!$H77))+(O19*Constants!$H41*Constants!$H93))</f>
        <v>6204530.2379142288</v>
      </c>
      <c r="P64" s="23">
        <f>((P19*Constants!$H41*Constants!$H59*(1-Constants!$H77))+(P19*Constants!$H41*Constants!$H93))</f>
        <v>6985777.5007305164</v>
      </c>
      <c r="Q64" s="23">
        <f>((Q19*Constants!$H41*Constants!$H59*(1-Constants!$H77))+(Q19*Constants!$H41*Constants!$H93))</f>
        <v>7489454.4973270632</v>
      </c>
      <c r="R64" s="23">
        <f>((R19*Constants!$H41*Constants!$H59*(1-Constants!$H77))+(R19*Constants!$H41*Constants!$H93))</f>
        <v>7330764.97378729</v>
      </c>
      <c r="S64" s="23">
        <f>((S19*Constants!$H41*Constants!$H59*(1-Constants!$H77))+(S19*Constants!$H41*Constants!$H93))</f>
        <v>7526323.6329122018</v>
      </c>
      <c r="T64" s="23">
        <f>((T19*Constants!$H41*Constants!$H59*(1-Constants!$H77))+(T19*Constants!$H41*Constants!$H93))</f>
        <v>7467252.7937713731</v>
      </c>
      <c r="U64" s="23">
        <f>((U19*Constants!$H41*Constants!$H59*(1-Constants!$H77))+(U19*Constants!$H41*Constants!$H93))</f>
        <v>7169141.381636614</v>
      </c>
      <c r="V64" s="23">
        <f>((V19*Constants!$H41*Constants!$H59*(1-Constants!$H77))+(V19*Constants!$H41*Constants!$H93))</f>
        <v>7429101.8801676938</v>
      </c>
      <c r="W64" s="23">
        <f>((W19*Constants!$H41*Constants!$H59*(1-Constants!$H77))+(W19*Constants!$H41*Constants!$H93))</f>
        <v>7877080.6206777897</v>
      </c>
      <c r="X64" s="23">
        <f>((X19*Constants!$H41*Constants!$H59*(1-Constants!$H77))+(X19*Constants!$H41*Constants!$H93))</f>
        <v>8693284.2187629454</v>
      </c>
      <c r="Y64" s="23">
        <f>((Y19*Constants!$H41*Constants!$H59*(1-Constants!$H77))+(Y19*Constants!$H41*Constants!$H93))</f>
        <v>9620616.8920187056</v>
      </c>
      <c r="Z64" s="23">
        <f>((Z19*Constants!$H41*Constants!$H59*(1-Constants!$H77))+(Z19*Constants!$H41*Constants!$H93))</f>
        <v>9747319.238270821</v>
      </c>
      <c r="AA64" s="23">
        <f>((AA19*Constants!$H41*Constants!$H59*(1-Constants!$H77))+(AA19*Constants!$H41*Constants!$H93))</f>
        <v>9387970.3735440131</v>
      </c>
      <c r="AB64" s="23">
        <f>((AB19*Constants!$H41*Constants!$H59*(1-Constants!$H77))+(AB19*Constants!$H41*Constants!$H93))</f>
        <v>9753664.2574823145</v>
      </c>
      <c r="AC64" s="23">
        <f>((AC19*Constants!$H41*Constants!$H59*(1-Constants!$H77))+(AC19*Constants!$H41*Constants!$H93))</f>
        <v>10203867.24700897</v>
      </c>
      <c r="AD64" s="23">
        <f>((AD19*Constants!$H41*Constants!$H59*(1-Constants!$H77))+(AD19*Constants!$H41*Constants!$H93))</f>
        <v>10575574.058281289</v>
      </c>
      <c r="AE64" s="23">
        <f>((AE19*Constants!$H41*Constants!$H59*(1-Constants!$H77))+(AE19*Constants!$H41*Constants!$H93))</f>
        <v>10369741.162670443</v>
      </c>
      <c r="AF64" s="23">
        <f>((AF19*Constants!$H41*Constants!$H59*(1-Constants!$H77))+(AF19*Constants!$H41*Constants!$H93))</f>
        <v>10281427.132989421</v>
      </c>
      <c r="AG64" s="23">
        <f>((AG19*Constants!$H41*Constants!$H59*(1-Constants!$H77))+(AG19*Constants!$H41*Constants!$H93))</f>
        <v>10497130.28838234</v>
      </c>
      <c r="AH64" s="23">
        <f>((AH19*Constants!$H41*Constants!$H59*(1-Constants!$H77))+(AH19*Constants!$H41*Constants!$H93))</f>
        <v>10475520</v>
      </c>
      <c r="AI64" s="23">
        <f>((AI19*Constants!$H41*Constants!$H59*(1-Constants!$H77))+(AI19*Constants!$H41*Constants!$H93))</f>
        <v>9782784</v>
      </c>
      <c r="AJ64" s="23">
        <f>((AJ19*Constants!$H41*Constants!$H59*(1-Constants!$H77))+(AJ19*Constants!$H41*Constants!$H93))</f>
        <v>10844260.640306029</v>
      </c>
      <c r="AK64" s="23">
        <f>((AK19*Constants!$H41*Constants!$H59*(1-Constants!$H77))+(AK19*Constants!$H41*Constants!$H93))</f>
        <v>10947740.316472266</v>
      </c>
      <c r="AL64" s="23">
        <f>((AL19*Constants!$H41*Constants!$H59*(1-Constants!$H77))+(AL19*Constants!$H41*Constants!$H93))</f>
        <v>10898569.650367748</v>
      </c>
      <c r="AM64" s="23">
        <f>((AM19*Constants!$H41*Constants!$H59*(1-Constants!$H77))+(AM19*Constants!$H41*Constants!$H93))</f>
        <v>11025997.08853914</v>
      </c>
      <c r="AN64" s="23">
        <f>((AN19*Constants!$H41*Constants!$H59*(1-Constants!$H77))+(AN19*Constants!$H41*Constants!$H93))</f>
        <v>11151872.796576139</v>
      </c>
      <c r="AO64" s="23">
        <f>((AO19*Constants!$H41*Constants!$H59*(1-Constants!$H77))+(AO19*Constants!$H41*Constants!$H93))</f>
        <v>11278096.825203199</v>
      </c>
      <c r="AP64" s="23">
        <f>((AP19*Constants!$H41*Constants!$H59*(1-Constants!$H77))+(AP19*Constants!$H41*Constants!$H93))</f>
        <v>11402985.031914638</v>
      </c>
      <c r="AQ64" s="23">
        <f>((AQ19*Constants!$H41*Constants!$H59*(1-Constants!$H77))+(AQ19*Constants!$H41*Constants!$H93))</f>
        <v>11529422.656110996</v>
      </c>
      <c r="AR64" s="23">
        <f>((AR19*Constants!$H41*Constants!$H59*(1-Constants!$H77))+(AR19*Constants!$H41*Constants!$H93))</f>
        <v>11670335.951091286</v>
      </c>
      <c r="AS64" s="23">
        <f>((AS19*Constants!$H41*Constants!$H59*(1-Constants!$H77))+(AS19*Constants!$H41*Constants!$H93))</f>
        <v>11810838.424646992</v>
      </c>
      <c r="AT64" s="23">
        <f>((AT19*Constants!$H41*Constants!$H59*(1-Constants!$H77))+(AT19*Constants!$H41*Constants!$H93))</f>
        <v>11953438.174782438</v>
      </c>
      <c r="AU64" s="23">
        <f>((AU19*Constants!$H41*Constants!$H59*(1-Constants!$H77))+(AU19*Constants!$H41*Constants!$H93))</f>
        <v>12097595.227494709</v>
      </c>
      <c r="AV64" s="23">
        <f>((AV19*Constants!$H41*Constants!$H59*(1-Constants!$H77))+(AV19*Constants!$H41*Constants!$H93))</f>
        <v>12243451.721778423</v>
      </c>
      <c r="AW64" s="23">
        <f>((AW19*Constants!$H41*Constants!$H59*(1-Constants!$H77))+(AW19*Constants!$H41*Constants!$H93))</f>
        <v>12396028.547864199</v>
      </c>
      <c r="AX64" s="23">
        <f>((AX19*Constants!$H41*Constants!$H59*(1-Constants!$H77))+(AX19*Constants!$H41*Constants!$H93))</f>
        <v>12545811.454554314</v>
      </c>
      <c r="AY64" s="23">
        <f>((AY19*Constants!$H41*Constants!$H59*(1-Constants!$H77))+(AY19*Constants!$H41*Constants!$H93))</f>
        <v>12701896.036204379</v>
      </c>
      <c r="AZ64" s="23">
        <f>((AZ19*Constants!$H41*Constants!$H59*(1-Constants!$H77))+(AZ19*Constants!$H41*Constants!$H93))</f>
        <v>12862386.035571231</v>
      </c>
      <c r="BA64" s="23">
        <f>((BA19*Constants!$H41*Constants!$H59*(1-Constants!$H77))+(BA19*Constants!$H41*Constants!$H93))</f>
        <v>13027519.894381328</v>
      </c>
      <c r="BB64" s="23">
        <f>((BB19*Constants!$H41*Constants!$H59*(1-Constants!$H77))+(BB19*Constants!$H41*Constants!$H93))</f>
        <v>13198434.341449691</v>
      </c>
      <c r="BC64" s="23">
        <f>((BC19*Constants!$H41*Constants!$H59*(1-Constants!$H77))+(BC19*Constants!$H41*Constants!$H93))</f>
        <v>13372542.972533096</v>
      </c>
      <c r="BD64" s="23">
        <f>((BD19*Constants!$H41*Constants!$H59*(1-Constants!$H77))+(BD19*Constants!$H41*Constants!$H93))</f>
        <v>13547838.228355883</v>
      </c>
      <c r="BE64" s="23">
        <f>((BE19*Constants!$H41*Constants!$H59*(1-Constants!$H77))+(BE19*Constants!$H41*Constants!$H93))</f>
        <v>13726357.793571379</v>
      </c>
      <c r="BF64" s="23">
        <f>((BF19*Constants!$H41*Constants!$H59*(1-Constants!$H77))+(BF19*Constants!$H41*Constants!$H93))</f>
        <v>13909905.94822474</v>
      </c>
      <c r="BG64" s="23">
        <f>((BG19*Constants!$H41*Constants!$H59*(1-Constants!$H77))+(BG19*Constants!$H41*Constants!$H93))</f>
        <v>14110694.708899774</v>
      </c>
      <c r="BH64" s="23">
        <f>((BH19*Constants!$H41*Constants!$H59*(1-Constants!$H77))+(BH19*Constants!$H41*Constants!$H93))</f>
        <v>14315343.75430138</v>
      </c>
      <c r="BI64" s="23">
        <f>((BI19*Constants!$H41*Constants!$H59*(1-Constants!$H77))+(BI19*Constants!$H41*Constants!$H93))</f>
        <v>14523633.030208861</v>
      </c>
      <c r="BJ64" s="23">
        <f>((BJ19*Constants!$H41*Constants!$H59*(1-Constants!$H77))+(BJ19*Constants!$H41*Constants!$H93))</f>
        <v>14736105.711119365</v>
      </c>
      <c r="BK64" s="23">
        <f>((BK19*Constants!$H41*Constants!$H59*(1-Constants!$H77))+(BK19*Constants!$H41*Constants!$H93))</f>
        <v>14954915.348083196</v>
      </c>
      <c r="BL64" s="23">
        <f>((BL19*Constants!$H41*Constants!$H59*(1-Constants!$H77))+(BL19*Constants!$H41*Constants!$H93))</f>
        <v>15175214.779168069</v>
      </c>
      <c r="BM64" s="23">
        <f>((BM19*Constants!$H41*Constants!$H59*(1-Constants!$H77))+(BM19*Constants!$H41*Constants!$H93))</f>
        <v>15400978.111480333</v>
      </c>
      <c r="BN64" s="23">
        <f>((BN19*Constants!$H41*Constants!$H59*(1-Constants!$H77))+(BN19*Constants!$H41*Constants!$H93))</f>
        <v>15628111.601293895</v>
      </c>
      <c r="BO64" s="23">
        <f>((BO19*Constants!$H41*Constants!$H59*(1-Constants!$H77))+(BO19*Constants!$H41*Constants!$H93))</f>
        <v>15861204.19418009</v>
      </c>
      <c r="BP64" s="23">
        <f>((BP19*Constants!$H41*Constants!$H59*(1-Constants!$H77))+(BP19*Constants!$H41*Constants!$H93))</f>
        <v>16100753.170710405</v>
      </c>
    </row>
    <row r="65" spans="1:68" x14ac:dyDescent="0.25">
      <c r="A65" t="str">
        <f t="shared" si="14"/>
        <v>3C Aggregated and non-CO2 emissions on land</v>
      </c>
      <c r="B65" t="str">
        <f t="shared" si="15"/>
        <v>3C4 Direct N2O from managed soils (N2O)</v>
      </c>
      <c r="C65" t="s">
        <v>484</v>
      </c>
      <c r="D65" t="str">
        <f>Constants!D94</f>
        <v xml:space="preserve"> - Commercial broilers</v>
      </c>
      <c r="E65" t="str">
        <f t="shared" si="17"/>
        <v>MM N available - Commercial broilers</v>
      </c>
      <c r="F65" t="str">
        <f t="shared" si="18"/>
        <v>kg N</v>
      </c>
      <c r="H65" s="23">
        <f>((H20*Constants!$H42*Constants!$H60*(1-Constants!$H78))+(H20*Constants!$H42*Constants!$H94))</f>
        <v>21441987.682912666</v>
      </c>
      <c r="I65" s="23">
        <f>((I20*Constants!$H42*Constants!$H60*(1-Constants!$H78))+(I20*Constants!$H42*Constants!$H94))</f>
        <v>20155468.447952528</v>
      </c>
      <c r="J65" s="23">
        <f>((J20*Constants!$H42*Constants!$H60*(1-Constants!$H78))+(J20*Constants!$H42*Constants!$H94))</f>
        <v>19048359.503315844</v>
      </c>
      <c r="K65" s="23">
        <f>((K20*Constants!$H42*Constants!$H60*(1-Constants!$H78))+(K20*Constants!$H42*Constants!$H94))</f>
        <v>21422633.120275144</v>
      </c>
      <c r="L65" s="23">
        <f>((L20*Constants!$H42*Constants!$H60*(1-Constants!$H78))+(L20*Constants!$H42*Constants!$H94))</f>
        <v>21221715.835297149</v>
      </c>
      <c r="M65" s="23">
        <f>((M20*Constants!$H42*Constants!$H60*(1-Constants!$H78))+(M20*Constants!$H42*Constants!$H94))</f>
        <v>24291356.099595293</v>
      </c>
      <c r="N65" s="23">
        <f>((N20*Constants!$H42*Constants!$H60*(1-Constants!$H78))+(N20*Constants!$H42*Constants!$H94))</f>
        <v>28244585.878194444</v>
      </c>
      <c r="O65" s="23">
        <f>((O20*Constants!$H42*Constants!$H60*(1-Constants!$H78))+(O20*Constants!$H42*Constants!$H94))</f>
        <v>28749759.856221307</v>
      </c>
      <c r="P65" s="23">
        <f>((P20*Constants!$H42*Constants!$H60*(1-Constants!$H78))+(P20*Constants!$H42*Constants!$H94))</f>
        <v>31502057.979110736</v>
      </c>
      <c r="Q65" s="23">
        <f>((Q20*Constants!$H42*Constants!$H60*(1-Constants!$H78))+(Q20*Constants!$H42*Constants!$H94))</f>
        <v>32887795.163968969</v>
      </c>
      <c r="R65" s="23">
        <f>((R20*Constants!$H42*Constants!$H60*(1-Constants!$H78))+(R20*Constants!$H42*Constants!$H94))</f>
        <v>35384844.130992576</v>
      </c>
      <c r="S65" s="23">
        <f>((S20*Constants!$H42*Constants!$H60*(1-Constants!$H78))+(S20*Constants!$H42*Constants!$H94))</f>
        <v>34167785.103477322</v>
      </c>
      <c r="T65" s="23">
        <f>((T20*Constants!$H42*Constants!$H60*(1-Constants!$H78))+(T20*Constants!$H42*Constants!$H94))</f>
        <v>37868988.696657754</v>
      </c>
      <c r="U65" s="23">
        <f>((U20*Constants!$H42*Constants!$H60*(1-Constants!$H78))+(U20*Constants!$H42*Constants!$H94))</f>
        <v>36019125.033984229</v>
      </c>
      <c r="V65" s="23">
        <f>((V20*Constants!$H42*Constants!$H60*(1-Constants!$H78))+(V20*Constants!$H42*Constants!$H94))</f>
        <v>36888658.133678004</v>
      </c>
      <c r="W65" s="23">
        <f>((W20*Constants!$H42*Constants!$H60*(1-Constants!$H78))+(W20*Constants!$H42*Constants!$H94))</f>
        <v>40816366.920982771</v>
      </c>
      <c r="X65" s="23">
        <f>((X20*Constants!$H42*Constants!$H60*(1-Constants!$H78))+(X20*Constants!$H42*Constants!$H94))</f>
        <v>43656919.259428479</v>
      </c>
      <c r="Y65" s="23">
        <f>((Y20*Constants!$H42*Constants!$H60*(1-Constants!$H78))+(Y20*Constants!$H42*Constants!$H94))</f>
        <v>45677104.261495814</v>
      </c>
      <c r="Z65" s="23">
        <f>((Z20*Constants!$H42*Constants!$H60*(1-Constants!$H78))+(Z20*Constants!$H42*Constants!$H94))</f>
        <v>48633713.378493287</v>
      </c>
      <c r="AA65" s="23">
        <f>((AA20*Constants!$H42*Constants!$H60*(1-Constants!$H78))+(AA20*Constants!$H42*Constants!$H94))</f>
        <v>45891232.801865354</v>
      </c>
      <c r="AB65" s="23">
        <f>((AB20*Constants!$H42*Constants!$H60*(1-Constants!$H78))+(AB20*Constants!$H42*Constants!$H94))</f>
        <v>47045433.899453834</v>
      </c>
      <c r="AC65" s="23">
        <f>((AC20*Constants!$H42*Constants!$H60*(1-Constants!$H78))+(AC20*Constants!$H42*Constants!$H94))</f>
        <v>48657312.573355399</v>
      </c>
      <c r="AD65" s="23">
        <f>((AD20*Constants!$H42*Constants!$H60*(1-Constants!$H78))+(AD20*Constants!$H42*Constants!$H94))</f>
        <v>49741277.642073199</v>
      </c>
      <c r="AE65" s="23">
        <f>((AE20*Constants!$H42*Constants!$H60*(1-Constants!$H78))+(AE20*Constants!$H42*Constants!$H94))</f>
        <v>48439336.9949224</v>
      </c>
      <c r="AF65" s="23">
        <f>((AF20*Constants!$H42*Constants!$H60*(1-Constants!$H78))+(AF20*Constants!$H42*Constants!$H94))</f>
        <v>50642415.234759815</v>
      </c>
      <c r="AG65" s="23">
        <f>((AG20*Constants!$H42*Constants!$H60*(1-Constants!$H78))+(AG20*Constants!$H42*Constants!$H94))</f>
        <v>52685637.608644724</v>
      </c>
      <c r="AH65" s="23">
        <f>((AH20*Constants!$H42*Constants!$H60*(1-Constants!$H78))+(AH20*Constants!$H42*Constants!$H94))</f>
        <v>48993946.287999995</v>
      </c>
      <c r="AI65" s="23">
        <f>((AI20*Constants!$H42*Constants!$H60*(1-Constants!$H78))+(AI20*Constants!$H42*Constants!$H94))</f>
        <v>48931253.811999999</v>
      </c>
      <c r="AJ65" s="23">
        <f>((AJ20*Constants!$H42*Constants!$H60*(1-Constants!$H78))+(AJ20*Constants!$H42*Constants!$H94))</f>
        <v>54284119.776456796</v>
      </c>
      <c r="AK65" s="23">
        <f>((AK20*Constants!$H42*Constants!$H60*(1-Constants!$H78))+(AK20*Constants!$H42*Constants!$H94))</f>
        <v>55262342.05072768</v>
      </c>
      <c r="AL65" s="23">
        <f>((AL20*Constants!$H42*Constants!$H60*(1-Constants!$H78))+(AL20*Constants!$H42*Constants!$H94))</f>
        <v>56240564.324998535</v>
      </c>
      <c r="AM65" s="23">
        <f>((AM20*Constants!$H42*Constants!$H60*(1-Constants!$H78))+(AM20*Constants!$H42*Constants!$H94))</f>
        <v>57232098.151531845</v>
      </c>
      <c r="AN65" s="23">
        <f>((AN20*Constants!$H42*Constants!$H60*(1-Constants!$H78))+(AN20*Constants!$H42*Constants!$H94))</f>
        <v>58223631.959763013</v>
      </c>
      <c r="AO65" s="23">
        <f>((AO20*Constants!$H42*Constants!$H60*(1-Constants!$H78))+(AO20*Constants!$H42*Constants!$H94))</f>
        <v>59215165.767994158</v>
      </c>
      <c r="AP65" s="23">
        <f>((AP20*Constants!$H42*Constants!$H60*(1-Constants!$H78))+(AP20*Constants!$H42*Constants!$H94))</f>
        <v>60206699.576225296</v>
      </c>
      <c r="AQ65" s="23">
        <f>((AQ20*Constants!$H42*Constants!$H60*(1-Constants!$H78))+(AQ20*Constants!$H42*Constants!$H94))</f>
        <v>61198233.402758583</v>
      </c>
      <c r="AR65" s="23">
        <f>((AR20*Constants!$H42*Constants!$H60*(1-Constants!$H78))+(AR20*Constants!$H42*Constants!$H94))</f>
        <v>62272453.920067474</v>
      </c>
      <c r="AS65" s="23">
        <f>((AS20*Constants!$H42*Constants!$H60*(1-Constants!$H78))+(AS20*Constants!$H42*Constants!$H94))</f>
        <v>63346674.437376335</v>
      </c>
      <c r="AT65" s="23">
        <f>((AT20*Constants!$H42*Constants!$H60*(1-Constants!$H78))+(AT20*Constants!$H42*Constants!$H94))</f>
        <v>64420894.954685189</v>
      </c>
      <c r="AU65" s="23">
        <f>((AU20*Constants!$H42*Constants!$H60*(1-Constants!$H78))+(AU20*Constants!$H42*Constants!$H94))</f>
        <v>65495115.47199405</v>
      </c>
      <c r="AV65" s="23">
        <f>((AV20*Constants!$H42*Constants!$H60*(1-Constants!$H78))+(AV20*Constants!$H42*Constants!$H94))</f>
        <v>66569335.989302933</v>
      </c>
      <c r="AW65" s="23">
        <f>((AW20*Constants!$H42*Constants!$H60*(1-Constants!$H78))+(AW20*Constants!$H42*Constants!$H94))</f>
        <v>67607086.573872656</v>
      </c>
      <c r="AX65" s="23">
        <f>((AX20*Constants!$H42*Constants!$H60*(1-Constants!$H78))+(AX20*Constants!$H42*Constants!$H94))</f>
        <v>68644837.140140235</v>
      </c>
      <c r="AY65" s="23">
        <f>((AY20*Constants!$H42*Constants!$H60*(1-Constants!$H78))+(AY20*Constants!$H42*Constants!$H94))</f>
        <v>69682587.724710003</v>
      </c>
      <c r="AZ65" s="23">
        <f>((AZ20*Constants!$H42*Constants!$H60*(1-Constants!$H78))+(AZ20*Constants!$H42*Constants!$H94))</f>
        <v>70720338.290977627</v>
      </c>
      <c r="BA65" s="23">
        <f>((BA20*Constants!$H42*Constants!$H60*(1-Constants!$H78))+(BA20*Constants!$H42*Constants!$H94))</f>
        <v>71758088.857245192</v>
      </c>
      <c r="BB65" s="23">
        <f>((BB20*Constants!$H42*Constants!$H60*(1-Constants!$H78))+(BB20*Constants!$H42*Constants!$H94))</f>
        <v>72836638.270953909</v>
      </c>
      <c r="BC65" s="23">
        <f>((BC20*Constants!$H42*Constants!$H60*(1-Constants!$H78))+(BC20*Constants!$H42*Constants!$H94))</f>
        <v>73915187.68466258</v>
      </c>
      <c r="BD65" s="23">
        <f>((BD20*Constants!$H42*Constants!$H60*(1-Constants!$H78))+(BD20*Constants!$H42*Constants!$H94))</f>
        <v>74993737.08006914</v>
      </c>
      <c r="BE65" s="23">
        <f>((BE20*Constants!$H42*Constants!$H60*(1-Constants!$H78))+(BE20*Constants!$H42*Constants!$H94))</f>
        <v>76072286.493777812</v>
      </c>
      <c r="BF65" s="23">
        <f>((BF20*Constants!$H42*Constants!$H60*(1-Constants!$H78))+(BF20*Constants!$H42*Constants!$H94))</f>
        <v>77150835.907486498</v>
      </c>
      <c r="BG65" s="23">
        <f>((BG20*Constants!$H42*Constants!$H60*(1-Constants!$H78))+(BG20*Constants!$H42*Constants!$H94))</f>
        <v>78382030.641149223</v>
      </c>
      <c r="BH65" s="23">
        <f>((BH20*Constants!$H42*Constants!$H60*(1-Constants!$H78))+(BH20*Constants!$H42*Constants!$H94))</f>
        <v>79613225.35650979</v>
      </c>
      <c r="BI65" s="23">
        <f>((BI20*Constants!$H42*Constants!$H60*(1-Constants!$H78))+(BI20*Constants!$H42*Constants!$H94))</f>
        <v>80844420.090172514</v>
      </c>
      <c r="BJ65" s="23">
        <f>((BJ20*Constants!$H42*Constants!$H60*(1-Constants!$H78))+(BJ20*Constants!$H42*Constants!$H94))</f>
        <v>82075614.823835224</v>
      </c>
      <c r="BK65" s="23">
        <f>((BK20*Constants!$H42*Constants!$H60*(1-Constants!$H78))+(BK20*Constants!$H42*Constants!$H94))</f>
        <v>83306809.557497919</v>
      </c>
      <c r="BL65" s="23">
        <f>((BL20*Constants!$H42*Constants!$H60*(1-Constants!$H78))+(BL20*Constants!$H42*Constants!$H94))</f>
        <v>84494550.315028563</v>
      </c>
      <c r="BM65" s="23">
        <f>((BM20*Constants!$H42*Constants!$H60*(1-Constants!$H78))+(BM20*Constants!$H42*Constants!$H94))</f>
        <v>85682291.072559148</v>
      </c>
      <c r="BN65" s="23">
        <f>((BN20*Constants!$H42*Constants!$H60*(1-Constants!$H78))+(BN20*Constants!$H42*Constants!$H94))</f>
        <v>86870031.848391891</v>
      </c>
      <c r="BO65" s="23">
        <f>((BO20*Constants!$H42*Constants!$H60*(1-Constants!$H78))+(BO20*Constants!$H42*Constants!$H94))</f>
        <v>88057772.605922475</v>
      </c>
      <c r="BP65" s="23">
        <f>((BP20*Constants!$H42*Constants!$H60*(1-Constants!$H78))+(BP20*Constants!$H42*Constants!$H94))</f>
        <v>89245513.363453075</v>
      </c>
    </row>
    <row r="66" spans="1:68" x14ac:dyDescent="0.25">
      <c r="A66" t="str">
        <f t="shared" ref="A66:A81" si="19">A65</f>
        <v>3C Aggregated and non-CO2 emissions on land</v>
      </c>
      <c r="B66" t="str">
        <f t="shared" ref="B66:B82" si="20">B65</f>
        <v>3C4 Direct N2O from managed soils (N2O)</v>
      </c>
      <c r="C66" t="s">
        <v>485</v>
      </c>
      <c r="D66" t="str">
        <f>D50</f>
        <v xml:space="preserve"> - TMR</v>
      </c>
      <c r="E66" t="str">
        <f t="shared" si="17"/>
        <v>Urine &amp; dung - TMR</v>
      </c>
      <c r="F66" t="str">
        <f t="shared" si="18"/>
        <v>kg N</v>
      </c>
      <c r="H66" s="23">
        <f>H5*Constants!$H27*(1-Constants!$H45)</f>
        <v>0</v>
      </c>
      <c r="I66" s="23">
        <f>I5*Constants!$H27*(1-Constants!$H45)</f>
        <v>0</v>
      </c>
      <c r="J66" s="23">
        <f>J5*Constants!$H27*(1-Constants!$H45)</f>
        <v>0</v>
      </c>
      <c r="K66" s="23">
        <f>K5*Constants!$H27*(1-Constants!$H45)</f>
        <v>0</v>
      </c>
      <c r="L66" s="23">
        <f>L5*Constants!$H27*(1-Constants!$H45)</f>
        <v>0</v>
      </c>
      <c r="M66" s="23">
        <f>M5*Constants!$H27*(1-Constants!$H45)</f>
        <v>0</v>
      </c>
      <c r="N66" s="23">
        <f>N5*Constants!$H27*(1-Constants!$H45)</f>
        <v>0</v>
      </c>
      <c r="O66" s="23">
        <f>O5*Constants!$H27*(1-Constants!$H45)</f>
        <v>0</v>
      </c>
      <c r="P66" s="23">
        <f>P5*Constants!$H27*(1-Constants!$H45)</f>
        <v>0</v>
      </c>
      <c r="Q66" s="23">
        <f>Q5*Constants!$H27*(1-Constants!$H45)</f>
        <v>0</v>
      </c>
      <c r="R66" s="23">
        <f>R5*Constants!$H27*(1-Constants!$H45)</f>
        <v>0</v>
      </c>
      <c r="S66" s="23">
        <f>S5*Constants!$H27*(1-Constants!$H45)</f>
        <v>0</v>
      </c>
      <c r="T66" s="23">
        <f>T5*Constants!$H27*(1-Constants!$H45)</f>
        <v>0</v>
      </c>
      <c r="U66" s="23">
        <f>U5*Constants!$H27*(1-Constants!$H45)</f>
        <v>0</v>
      </c>
      <c r="V66" s="23">
        <f>V5*Constants!$H27*(1-Constants!$H45)</f>
        <v>0</v>
      </c>
      <c r="W66" s="23">
        <f>W5*Constants!$H27*(1-Constants!$H45)</f>
        <v>0</v>
      </c>
      <c r="X66" s="23">
        <f>X5*Constants!$H27*(1-Constants!$H45)</f>
        <v>0</v>
      </c>
      <c r="Y66" s="23">
        <f>Y5*Constants!$H27*(1-Constants!$H45)</f>
        <v>0</v>
      </c>
      <c r="Z66" s="23">
        <f>Z5*Constants!$H27*(1-Constants!$H45)</f>
        <v>0</v>
      </c>
      <c r="AA66" s="23">
        <f>AA5*Constants!$H27*(1-Constants!$H45)</f>
        <v>0</v>
      </c>
      <c r="AB66" s="23">
        <f>AB5*Constants!$H27*(1-Constants!$H45)</f>
        <v>0</v>
      </c>
      <c r="AC66" s="23">
        <f>AC5*Constants!$H27*(1-Constants!$H45)</f>
        <v>0</v>
      </c>
      <c r="AD66" s="23">
        <f>AD5*Constants!$H27*(1-Constants!$H45)</f>
        <v>0</v>
      </c>
      <c r="AE66" s="23">
        <f>AE5*Constants!$H27*(1-Constants!$H45)</f>
        <v>0</v>
      </c>
      <c r="AF66" s="23">
        <f>AF5*Constants!$H27*(1-Constants!$H45)</f>
        <v>0</v>
      </c>
      <c r="AG66" s="23">
        <f>AG5*Constants!$H27*(1-Constants!$H45)</f>
        <v>0</v>
      </c>
      <c r="AH66" s="23">
        <f>AH5*Constants!$H27*(1-Constants!$H45)</f>
        <v>0</v>
      </c>
      <c r="AI66" s="23">
        <f>AI5*Constants!$H27*(1-Constants!$H45)</f>
        <v>0</v>
      </c>
      <c r="AJ66" s="23">
        <f>AJ5*Constants!$H27*(1-Constants!$H45)</f>
        <v>0</v>
      </c>
      <c r="AK66" s="23">
        <f>AK5*Constants!$H27*(1-Constants!$H45)</f>
        <v>0</v>
      </c>
      <c r="AL66" s="23">
        <f>AL5*Constants!$H27*(1-Constants!$H45)</f>
        <v>0</v>
      </c>
      <c r="AM66" s="23">
        <f>AM5*Constants!$H27*(1-Constants!$H45)</f>
        <v>0</v>
      </c>
      <c r="AN66" s="23">
        <f>AN5*Constants!$H27*(1-Constants!$H45)</f>
        <v>0</v>
      </c>
      <c r="AO66" s="23">
        <f>AO5*Constants!$H27*(1-Constants!$H45)</f>
        <v>0</v>
      </c>
      <c r="AP66" s="23">
        <f>AP5*Constants!$H27*(1-Constants!$H45)</f>
        <v>0</v>
      </c>
      <c r="AQ66" s="23">
        <f>AQ5*Constants!$H27*(1-Constants!$H45)</f>
        <v>0</v>
      </c>
      <c r="AR66" s="23">
        <f>AR5*Constants!$H27*(1-Constants!$H45)</f>
        <v>0</v>
      </c>
      <c r="AS66" s="23">
        <f>AS5*Constants!$H27*(1-Constants!$H45)</f>
        <v>0</v>
      </c>
      <c r="AT66" s="23">
        <f>AT5*Constants!$H27*(1-Constants!$H45)</f>
        <v>0</v>
      </c>
      <c r="AU66" s="23">
        <f>AU5*Constants!$H27*(1-Constants!$H45)</f>
        <v>0</v>
      </c>
      <c r="AV66" s="23">
        <f>AV5*Constants!$H27*(1-Constants!$H45)</f>
        <v>0</v>
      </c>
      <c r="AW66" s="23">
        <f>AW5*Constants!$H27*(1-Constants!$H45)</f>
        <v>0</v>
      </c>
      <c r="AX66" s="23">
        <f>AX5*Constants!$H27*(1-Constants!$H45)</f>
        <v>0</v>
      </c>
      <c r="AY66" s="23">
        <f>AY5*Constants!$H27*(1-Constants!$H45)</f>
        <v>0</v>
      </c>
      <c r="AZ66" s="23">
        <f>AZ5*Constants!$H27*(1-Constants!$H45)</f>
        <v>0</v>
      </c>
      <c r="BA66" s="23">
        <f>BA5*Constants!$H27*(1-Constants!$H45)</f>
        <v>0</v>
      </c>
      <c r="BB66" s="23">
        <f>BB5*Constants!$H27*(1-Constants!$H45)</f>
        <v>0</v>
      </c>
      <c r="BC66" s="23">
        <f>BC5*Constants!$H27*(1-Constants!$H45)</f>
        <v>0</v>
      </c>
      <c r="BD66" s="23">
        <f>BD5*Constants!$H27*(1-Constants!$H45)</f>
        <v>0</v>
      </c>
      <c r="BE66" s="23">
        <f>BE5*Constants!$H27*(1-Constants!$H45)</f>
        <v>0</v>
      </c>
      <c r="BF66" s="23">
        <f>BF5*Constants!$H27*(1-Constants!$H45)</f>
        <v>0</v>
      </c>
      <c r="BG66" s="23">
        <f>BG5*Constants!$H27*(1-Constants!$H45)</f>
        <v>0</v>
      </c>
      <c r="BH66" s="23">
        <f>BH5*Constants!$H27*(1-Constants!$H45)</f>
        <v>0</v>
      </c>
      <c r="BI66" s="23">
        <f>BI5*Constants!$H27*(1-Constants!$H45)</f>
        <v>0</v>
      </c>
      <c r="BJ66" s="23">
        <f>BJ5*Constants!$H27*(1-Constants!$H45)</f>
        <v>0</v>
      </c>
      <c r="BK66" s="23">
        <f>BK5*Constants!$H27*(1-Constants!$H45)</f>
        <v>0</v>
      </c>
      <c r="BL66" s="23">
        <f>BL5*Constants!$H27*(1-Constants!$H45)</f>
        <v>0</v>
      </c>
      <c r="BM66" s="23">
        <f>BM5*Constants!$H27*(1-Constants!$H45)</f>
        <v>0</v>
      </c>
      <c r="BN66" s="23">
        <f>BN5*Constants!$H27*(1-Constants!$H45)</f>
        <v>0</v>
      </c>
      <c r="BO66" s="23">
        <f>BO5*Constants!$H27*(1-Constants!$H45)</f>
        <v>0</v>
      </c>
      <c r="BP66" s="23">
        <f>BP5*Constants!$H27*(1-Constants!$H45)</f>
        <v>0</v>
      </c>
    </row>
    <row r="67" spans="1:68" x14ac:dyDescent="0.25">
      <c r="A67" t="str">
        <f t="shared" si="19"/>
        <v>3C Aggregated and non-CO2 emissions on land</v>
      </c>
      <c r="B67" t="str">
        <f t="shared" si="20"/>
        <v>3C4 Direct N2O from managed soils (N2O)</v>
      </c>
      <c r="C67" t="s">
        <v>485</v>
      </c>
      <c r="D67" t="str">
        <f t="shared" ref="D67:D81" si="21">D51</f>
        <v xml:space="preserve"> - Pasture</v>
      </c>
      <c r="E67" t="str">
        <f t="shared" ref="E67:E79" si="22">C67&amp;D67</f>
        <v>Urine &amp; dung - Pasture</v>
      </c>
      <c r="F67" t="str">
        <f t="shared" ref="F67:F79" si="23">F66</f>
        <v>kg N</v>
      </c>
      <c r="H67" s="23">
        <f>H6*Constants!$H28*(1-Constants!$H46)</f>
        <v>28033004.557779469</v>
      </c>
      <c r="I67" s="23">
        <f>I6*Constants!$H28*(1-Constants!$H46)</f>
        <v>32273269.726387568</v>
      </c>
      <c r="J67" s="23">
        <f>J6*Constants!$H28*(1-Constants!$H46)</f>
        <v>27920554.140614353</v>
      </c>
      <c r="K67" s="23">
        <f>K6*Constants!$H28*(1-Constants!$H46)</f>
        <v>29612364.349424317</v>
      </c>
      <c r="L67" s="23">
        <f>L6*Constants!$H28*(1-Constants!$H46)</f>
        <v>27470752.471953906</v>
      </c>
      <c r="M67" s="23">
        <f>M6*Constants!$H28*(1-Constants!$H46)</f>
        <v>29387463.51509409</v>
      </c>
      <c r="N67" s="23">
        <f>N6*Constants!$H28*(1-Constants!$H46)</f>
        <v>29499913.932259206</v>
      </c>
      <c r="O67" s="23">
        <f>O6*Constants!$H28*(1-Constants!$H46)</f>
        <v>28439847.640107188</v>
      </c>
      <c r="P67" s="23">
        <f>P6*Constants!$H28*(1-Constants!$H46)</f>
        <v>28102496.388611846</v>
      </c>
      <c r="Q67" s="23">
        <f>Q6*Constants!$H28*(1-Constants!$H46)</f>
        <v>27604682.18228538</v>
      </c>
      <c r="R67" s="23">
        <f>R6*Constants!$H28*(1-Constants!$H46)</f>
        <v>35544439.726842389</v>
      </c>
      <c r="S67" s="23">
        <f>S6*Constants!$H28*(1-Constants!$H46)</f>
        <v>35431989.309677273</v>
      </c>
      <c r="T67" s="23">
        <f>T6*Constants!$H28*(1-Constants!$H46)</f>
        <v>30897331.47590657</v>
      </c>
      <c r="U67" s="23">
        <f>U6*Constants!$H28*(1-Constants!$H46)</f>
        <v>28102496.388611846</v>
      </c>
      <c r="V67" s="23">
        <f>V6*Constants!$H28*(1-Constants!$H46)</f>
        <v>27133401.22045856</v>
      </c>
      <c r="W67" s="23">
        <f>W6*Constants!$H28*(1-Constants!$H46)</f>
        <v>29050112.263598755</v>
      </c>
      <c r="X67" s="23">
        <f>X6*Constants!$H28*(1-Constants!$H46)</f>
        <v>28418368.346940812</v>
      </c>
      <c r="Y67" s="23">
        <f>Y6*Constants!$H28*(1-Constants!$H46)</f>
        <v>28214946.805776961</v>
      </c>
      <c r="Z67" s="23">
        <f>Z6*Constants!$H28*(1-Constants!$H46)</f>
        <v>34553865.265522733</v>
      </c>
      <c r="AA67" s="23">
        <f>AA6*Constants!$H28*(1-Constants!$H46)</f>
        <v>35410510.016510896</v>
      </c>
      <c r="AB67" s="23">
        <f>AB6*Constants!$H28*(1-Constants!$H46)</f>
        <v>35410510.016510896</v>
      </c>
      <c r="AC67" s="23">
        <f>AC6*Constants!$H28*(1-Constants!$H46)</f>
        <v>34125542.890028648</v>
      </c>
      <c r="AD67" s="23">
        <f>AD6*Constants!$H28*(1-Constants!$H46)</f>
        <v>32862055.056712769</v>
      </c>
      <c r="AE67" s="23">
        <f>AE6*Constants!$H28*(1-Constants!$H46)</f>
        <v>35431989.309677273</v>
      </c>
      <c r="AF67" s="23">
        <f>AF6*Constants!$H28*(1-Constants!$H46)</f>
        <v>33493798.973370712</v>
      </c>
      <c r="AG67" s="23">
        <f>AG6*Constants!$H28*(1-Constants!$H46)</f>
        <v>33900642.055698417</v>
      </c>
      <c r="AH67" s="23">
        <f>AH6*Constants!$H28*(1-Constants!$H46)</f>
        <v>35164129.889014304</v>
      </c>
      <c r="AI67" s="23">
        <f>AI6*Constants!$H28*(1-Constants!$H46)</f>
        <v>37825035.265977554</v>
      </c>
      <c r="AJ67" s="23">
        <f>AJ6*Constants!$H28*(1-Constants!$H46)</f>
        <v>34468774.387354374</v>
      </c>
      <c r="AK67" s="23">
        <f>AK6*Constants!$H28*(1-Constants!$H46)</f>
        <v>34590902.216513775</v>
      </c>
      <c r="AL67" s="23">
        <f>AL6*Constants!$H28*(1-Constants!$H46)</f>
        <v>34522488.35237129</v>
      </c>
      <c r="AM67" s="23">
        <f>AM6*Constants!$H28*(1-Constants!$H46)</f>
        <v>34674412.561759993</v>
      </c>
      <c r="AN67" s="23">
        <f>AN6*Constants!$H28*(1-Constants!$H46)</f>
        <v>34824399.865781449</v>
      </c>
      <c r="AO67" s="23">
        <f>AO6*Constants!$H28*(1-Constants!$H46)</f>
        <v>34974821.951632127</v>
      </c>
      <c r="AP67" s="23">
        <f>AP6*Constants!$H28*(1-Constants!$H46)</f>
        <v>35123576.633623973</v>
      </c>
      <c r="AQ67" s="23">
        <f>AQ6*Constants!$H28*(1-Constants!$H46)</f>
        <v>35274265.334280424</v>
      </c>
      <c r="AR67" s="23">
        <f>AR6*Constants!$H28*(1-Constants!$H46)</f>
        <v>35442428.00641185</v>
      </c>
      <c r="AS67" s="23">
        <f>AS6*Constants!$H28*(1-Constants!$H46)</f>
        <v>35610077.881724618</v>
      </c>
      <c r="AT67" s="23">
        <f>AT6*Constants!$H28*(1-Constants!$H46)</f>
        <v>35780345.626246713</v>
      </c>
      <c r="AU67" s="23">
        <f>AU6*Constants!$H28*(1-Constants!$H46)</f>
        <v>35952557.231919453</v>
      </c>
      <c r="AV67" s="23">
        <f>AV6*Constants!$H28*(1-Constants!$H46)</f>
        <v>36126890.119928487</v>
      </c>
      <c r="AW67" s="23">
        <f>AW6*Constants!$H28*(1-Constants!$H46)</f>
        <v>36309873.867663004</v>
      </c>
      <c r="AX67" s="23">
        <f>AX6*Constants!$H28*(1-Constants!$H46)</f>
        <v>36489370.180619583</v>
      </c>
      <c r="AY67" s="23">
        <f>AY6*Constants!$H28*(1-Constants!$H46)</f>
        <v>36676732.390105091</v>
      </c>
      <c r="AZ67" s="23">
        <f>AZ6*Constants!$H28*(1-Constants!$H46)</f>
        <v>36869593.544165976</v>
      </c>
      <c r="BA67" s="23">
        <f>BA6*Constants!$H28*(1-Constants!$H46)</f>
        <v>37068251.271156922</v>
      </c>
      <c r="BB67" s="23">
        <f>BB6*Constants!$H28*(1-Constants!$H46)</f>
        <v>37273830.931691326</v>
      </c>
      <c r="BC67" s="23">
        <f>BC6*Constants!$H28*(1-Constants!$H46)</f>
        <v>37483397.64670521</v>
      </c>
      <c r="BD67" s="23">
        <f>BD6*Constants!$H28*(1-Constants!$H46)</f>
        <v>37694445.534338109</v>
      </c>
      <c r="BE67" s="23">
        <f>BE6*Constants!$H28*(1-Constants!$H46)</f>
        <v>37909518.079513058</v>
      </c>
      <c r="BF67" s="23">
        <f>BF6*Constants!$H28*(1-Constants!$H46)</f>
        <v>38130867.426509447</v>
      </c>
      <c r="BG67" s="23">
        <f>BG6*Constants!$H28*(1-Constants!$H46)</f>
        <v>38372638.678147003</v>
      </c>
      <c r="BH67" s="23">
        <f>BH6*Constants!$H28*(1-Constants!$H46)</f>
        <v>38619228.426733799</v>
      </c>
      <c r="BI67" s="23">
        <f>BI6*Constants!$H28*(1-Constants!$H46)</f>
        <v>38870361.995230705</v>
      </c>
      <c r="BJ67" s="23">
        <f>BJ6*Constants!$H28*(1-Constants!$H46)</f>
        <v>39126717.386759184</v>
      </c>
      <c r="BK67" s="23">
        <f>BK6*Constants!$H28*(1-Constants!$H46)</f>
        <v>39390982.713626258</v>
      </c>
      <c r="BL67" s="23">
        <f>BL6*Constants!$H28*(1-Constants!$H46)</f>
        <v>39657420.269190289</v>
      </c>
      <c r="BM67" s="23">
        <f>BM6*Constants!$H28*(1-Constants!$H46)</f>
        <v>39930677.992835268</v>
      </c>
      <c r="BN67" s="23">
        <f>BN6*Constants!$H28*(1-Constants!$H46)</f>
        <v>40205645.978680812</v>
      </c>
      <c r="BO67" s="23">
        <f>BO6*Constants!$H28*(1-Constants!$H46)</f>
        <v>40488052.255153321</v>
      </c>
      <c r="BP67" s="23">
        <f>BP6*Constants!$H28*(1-Constants!$H46)</f>
        <v>40778517.539249808</v>
      </c>
    </row>
    <row r="68" spans="1:68" x14ac:dyDescent="0.25">
      <c r="A68" t="str">
        <f t="shared" si="19"/>
        <v>3C Aggregated and non-CO2 emissions on land</v>
      </c>
      <c r="B68" t="str">
        <f t="shared" si="20"/>
        <v>3C4 Direct N2O from managed soils (N2O)</v>
      </c>
      <c r="C68" t="s">
        <v>485</v>
      </c>
      <c r="D68" t="str">
        <f t="shared" si="21"/>
        <v xml:space="preserve"> - Non-lactating</v>
      </c>
      <c r="E68" t="str">
        <f t="shared" si="22"/>
        <v>Urine &amp; dung - Non-lactating</v>
      </c>
      <c r="F68" t="str">
        <f t="shared" si="23"/>
        <v>kg N</v>
      </c>
      <c r="H68" s="23">
        <f>H7*Constants!$H29*(1-Constants!$H47)</f>
        <v>22536672.502374578</v>
      </c>
      <c r="I68" s="23">
        <f>I7*Constants!$H29*(1-Constants!$H47)</f>
        <v>25616525.79063822</v>
      </c>
      <c r="J68" s="23">
        <f>J7*Constants!$H29*(1-Constants!$H47)</f>
        <v>22158361.515645087</v>
      </c>
      <c r="K68" s="23">
        <f>K7*Constants!$H29*(1-Constants!$H47)</f>
        <v>23189426.39460196</v>
      </c>
      <c r="L68" s="23">
        <f>L7*Constants!$H29*(1-Constants!$H47)</f>
        <v>20645117.568727165</v>
      </c>
      <c r="M68" s="23">
        <f>M7*Constants!$H29*(1-Constants!$H47)</f>
        <v>22432804.421142988</v>
      </c>
      <c r="N68" s="23">
        <f>N7*Constants!$H29*(1-Constants!$H47)</f>
        <v>22811115.407872468</v>
      </c>
      <c r="O68" s="23">
        <f>O7*Constants!$H29*(1-Constants!$H47)</f>
        <v>22041152.085806556</v>
      </c>
      <c r="P68" s="23">
        <f>P7*Constants!$H29*(1-Constants!$H47)</f>
        <v>20906219.125618115</v>
      </c>
      <c r="Q68" s="23">
        <f>Q7*Constants!$H29*(1-Constants!$H47)</f>
        <v>22027810.737199616</v>
      </c>
      <c r="R68" s="23">
        <f>R7*Constants!$H29*(1-Constants!$H47)</f>
        <v>27300344.561822459</v>
      </c>
      <c r="S68" s="23">
        <f>S7*Constants!$H29*(1-Constants!$H47)</f>
        <v>26922033.575092979</v>
      </c>
      <c r="T68" s="23">
        <f>T7*Constants!$H29*(1-Constants!$H47)</f>
        <v>24716011.690126833</v>
      </c>
      <c r="U68" s="23">
        <f>U7*Constants!$H29*(1-Constants!$H47)</f>
        <v>20906219.125618115</v>
      </c>
      <c r="V68" s="23">
        <f>V7*Constants!$H29*(1-Constants!$H47)</f>
        <v>19510184.608538713</v>
      </c>
      <c r="W68" s="23">
        <f>W7*Constants!$H29*(1-Constants!$H47)</f>
        <v>21297871.460954543</v>
      </c>
      <c r="X68" s="23">
        <f>X7*Constants!$H29*(1-Constants!$H47)</f>
        <v>21036769.90406359</v>
      </c>
      <c r="Y68" s="23">
        <f>Y7*Constants!$H29*(1-Constants!$H47)</f>
        <v>21284530.112347595</v>
      </c>
      <c r="Z68" s="23">
        <f>Z7*Constants!$H29*(1-Constants!$H47)</f>
        <v>24899927.863000095</v>
      </c>
      <c r="AA68" s="23">
        <f>AA7*Constants!$H29*(1-Constants!$H47)</f>
        <v>25917651.393350005</v>
      </c>
      <c r="AB68" s="23">
        <f>AB7*Constants!$H29*(1-Constants!$H47)</f>
        <v>25917651.393350005</v>
      </c>
      <c r="AC68" s="23">
        <f>AC7*Constants!$H29*(1-Constants!$H47)</f>
        <v>24391066.097825136</v>
      </c>
      <c r="AD68" s="23">
        <f>AD7*Constants!$H29*(1-Constants!$H47)</f>
        <v>23868862.984043226</v>
      </c>
      <c r="AE68" s="23">
        <f>AE7*Constants!$H29*(1-Constants!$H47)</f>
        <v>26922033.575092979</v>
      </c>
      <c r="AF68" s="23">
        <f>AF7*Constants!$H29*(1-Constants!$H47)</f>
        <v>24129964.540934175</v>
      </c>
      <c r="AG68" s="23">
        <f>AG7*Constants!$H29*(1-Constants!$H47)</f>
        <v>23634444.124366164</v>
      </c>
      <c r="AH68" s="23">
        <f>AH7*Constants!$H29*(1-Constants!$H47)</f>
        <v>24156647.238148067</v>
      </c>
      <c r="AI68" s="23">
        <f>AI7*Constants!$H29*(1-Constants!$H47)</f>
        <v>26583746.634184327</v>
      </c>
      <c r="AJ68" s="23">
        <f>AJ7*Constants!$H29*(1-Constants!$H47)</f>
        <v>25334311.361630466</v>
      </c>
      <c r="AK68" s="23">
        <f>AK7*Constants!$H29*(1-Constants!$H47)</f>
        <v>25407063.475537676</v>
      </c>
      <c r="AL68" s="23">
        <f>AL7*Constants!$H29*(1-Constants!$H47)</f>
        <v>25366309.019561633</v>
      </c>
      <c r="AM68" s="23">
        <f>AM7*Constants!$H29*(1-Constants!$H47)</f>
        <v>25456810.975281198</v>
      </c>
      <c r="AN68" s="23">
        <f>AN7*Constants!$H29*(1-Constants!$H47)</f>
        <v>25546159.107495703</v>
      </c>
      <c r="AO68" s="23">
        <f>AO7*Constants!$H29*(1-Constants!$H47)</f>
        <v>25635766.241261136</v>
      </c>
      <c r="AP68" s="23">
        <f>AP7*Constants!$H29*(1-Constants!$H47)</f>
        <v>25724380.094819263</v>
      </c>
      <c r="AQ68" s="23">
        <f>AQ7*Constants!$H29*(1-Constants!$H47)</f>
        <v>25814146.052260283</v>
      </c>
      <c r="AR68" s="23">
        <f>AR7*Constants!$H29*(1-Constants!$H47)</f>
        <v>25914321.335502885</v>
      </c>
      <c r="AS68" s="23">
        <f>AS7*Constants!$H29*(1-Constants!$H47)</f>
        <v>26014191.143303733</v>
      </c>
      <c r="AT68" s="23">
        <f>AT7*Constants!$H29*(1-Constants!$H47)</f>
        <v>26115620.427926723</v>
      </c>
      <c r="AU68" s="23">
        <f>AU7*Constants!$H29*(1-Constants!$H47)</f>
        <v>26218207.679647166</v>
      </c>
      <c r="AV68" s="23">
        <f>AV7*Constants!$H29*(1-Constants!$H47)</f>
        <v>26322058.589087743</v>
      </c>
      <c r="AW68" s="23">
        <f>AW7*Constants!$H29*(1-Constants!$H47)</f>
        <v>26431062.855764546</v>
      </c>
      <c r="AX68" s="23">
        <f>AX7*Constants!$H29*(1-Constants!$H47)</f>
        <v>26537989.641379457</v>
      </c>
      <c r="AY68" s="23">
        <f>AY7*Constants!$H29*(1-Constants!$H47)</f>
        <v>26649602.178016011</v>
      </c>
      <c r="AZ68" s="23">
        <f>AZ7*Constants!$H29*(1-Constants!$H47)</f>
        <v>26764490.461424373</v>
      </c>
      <c r="BA68" s="23">
        <f>BA7*Constants!$H29*(1-Constants!$H47)</f>
        <v>26882831.790194985</v>
      </c>
      <c r="BB68" s="23">
        <f>BB7*Constants!$H29*(1-Constants!$H47)</f>
        <v>27005296.546861414</v>
      </c>
      <c r="BC68" s="23">
        <f>BC7*Constants!$H29*(1-Constants!$H47)</f>
        <v>27130136.410361741</v>
      </c>
      <c r="BD68" s="23">
        <f>BD7*Constants!$H29*(1-Constants!$H47)</f>
        <v>27255858.615256622</v>
      </c>
      <c r="BE68" s="23">
        <f>BE7*Constants!$H29*(1-Constants!$H47)</f>
        <v>27383978.327304058</v>
      </c>
      <c r="BF68" s="23">
        <f>BF7*Constants!$H29*(1-Constants!$H47)</f>
        <v>27515837.159290265</v>
      </c>
      <c r="BG68" s="23">
        <f>BG7*Constants!$H29*(1-Constants!$H47)</f>
        <v>27659861.414529148</v>
      </c>
      <c r="BH68" s="23">
        <f>BH7*Constants!$H29*(1-Constants!$H47)</f>
        <v>27806756.070735008</v>
      </c>
      <c r="BI68" s="23">
        <f>BI7*Constants!$H29*(1-Constants!$H47)</f>
        <v>27956357.501522459</v>
      </c>
      <c r="BJ68" s="23">
        <f>BJ7*Constants!$H29*(1-Constants!$H47)</f>
        <v>28109069.596493587</v>
      </c>
      <c r="BK68" s="23">
        <f>BK7*Constants!$H29*(1-Constants!$H47)</f>
        <v>28266493.676609397</v>
      </c>
      <c r="BL68" s="23">
        <f>BL7*Constants!$H29*(1-Constants!$H47)</f>
        <v>28425211.763428535</v>
      </c>
      <c r="BM68" s="23">
        <f>BM7*Constants!$H29*(1-Constants!$H47)</f>
        <v>28587992.655985765</v>
      </c>
      <c r="BN68" s="23">
        <f>BN7*Constants!$H29*(1-Constants!$H47)</f>
        <v>28751792.359663147</v>
      </c>
      <c r="BO68" s="23">
        <f>BO7*Constants!$H29*(1-Constants!$H47)</f>
        <v>28920023.087544382</v>
      </c>
      <c r="BP68" s="23">
        <f>BP7*Constants!$H29*(1-Constants!$H47)</f>
        <v>29093054.603621662</v>
      </c>
    </row>
    <row r="69" spans="1:68" x14ac:dyDescent="0.25">
      <c r="A69" t="str">
        <f t="shared" si="19"/>
        <v>3C Aggregated and non-CO2 emissions on land</v>
      </c>
      <c r="B69" t="str">
        <f t="shared" si="20"/>
        <v>3C4 Direct N2O from managed soils (N2O)</v>
      </c>
      <c r="C69" t="s">
        <v>485</v>
      </c>
      <c r="D69" t="str">
        <f t="shared" si="21"/>
        <v xml:space="preserve"> - Commercial cattle</v>
      </c>
      <c r="E69" t="str">
        <f t="shared" si="22"/>
        <v>Urine &amp; dung - Commercial cattle</v>
      </c>
      <c r="F69" t="str">
        <f t="shared" si="23"/>
        <v>kg N</v>
      </c>
      <c r="H69" s="23">
        <f>H8*Constants!$H30*(1-Constants!$H48)</f>
        <v>559255370.31703663</v>
      </c>
      <c r="I69" s="23">
        <f>I8*Constants!$H30*(1-Constants!$H48)</f>
        <v>535116762.9675647</v>
      </c>
      <c r="J69" s="23">
        <f>J8*Constants!$H30*(1-Constants!$H48)</f>
        <v>534922334.95159727</v>
      </c>
      <c r="K69" s="23">
        <f>K8*Constants!$H30*(1-Constants!$H48)</f>
        <v>500438844.55845898</v>
      </c>
      <c r="L69" s="23">
        <f>L8*Constants!$H30*(1-Constants!$H48)</f>
        <v>515525474.15187901</v>
      </c>
      <c r="M69" s="23">
        <f>M8*Constants!$H30*(1-Constants!$H48)</f>
        <v>527246940.36344963</v>
      </c>
      <c r="N69" s="23">
        <f>N8*Constants!$H30*(1-Constants!$H48)</f>
        <v>549118861.60271931</v>
      </c>
      <c r="O69" s="23">
        <f>O8*Constants!$H30*(1-Constants!$H48)</f>
        <v>569920198.19710505</v>
      </c>
      <c r="P69" s="23">
        <f>P8*Constants!$H30*(1-Constants!$H48)</f>
        <v>574856372.76282609</v>
      </c>
      <c r="Q69" s="23">
        <f>Q8*Constants!$H30*(1-Constants!$H48)</f>
        <v>565554181.73728025</v>
      </c>
      <c r="R69" s="23">
        <f>R8*Constants!$H30*(1-Constants!$H48)</f>
        <v>527135369.85639662</v>
      </c>
      <c r="S69" s="23">
        <f>S8*Constants!$H30*(1-Constants!$H48)</f>
        <v>529874589.8788234</v>
      </c>
      <c r="T69" s="23">
        <f>T8*Constants!$H30*(1-Constants!$H48)</f>
        <v>493847980.92857671</v>
      </c>
      <c r="U69" s="23">
        <f>U8*Constants!$H30*(1-Constants!$H48)</f>
        <v>506765548.60546583</v>
      </c>
      <c r="V69" s="23">
        <f>V8*Constants!$H30*(1-Constants!$H48)</f>
        <v>511437563.5883112</v>
      </c>
      <c r="W69" s="23">
        <f>W8*Constants!$H30*(1-Constants!$H48)</f>
        <v>515775687.42137289</v>
      </c>
      <c r="X69" s="23">
        <f>X8*Constants!$H30*(1-Constants!$H48)</f>
        <v>504026328.58303899</v>
      </c>
      <c r="Y69" s="23">
        <f>Y8*Constants!$H30*(1-Constants!$H48)</f>
        <v>518793013.34005684</v>
      </c>
      <c r="Z69" s="23">
        <f>Z8*Constants!$H30*(1-Constants!$H48)</f>
        <v>504376811.74388993</v>
      </c>
      <c r="AA69" s="23">
        <f>AA8*Constants!$H30*(1-Constants!$H48)</f>
        <v>495907981.30717754</v>
      </c>
      <c r="AB69" s="23">
        <f>AB8*Constants!$H30*(1-Constants!$H48)</f>
        <v>494349036.41895235</v>
      </c>
      <c r="AC69" s="23">
        <f>AC8*Constants!$H30*(1-Constants!$H48)</f>
        <v>492573930.50973994</v>
      </c>
      <c r="AD69" s="23">
        <f>AD8*Constants!$H30*(1-Constants!$H48)</f>
        <v>582903915.15256321</v>
      </c>
      <c r="AE69" s="23">
        <f>AE8*Constants!$H30*(1-Constants!$H48)</f>
        <v>483716476.47964925</v>
      </c>
      <c r="AF69" s="23">
        <f>AF8*Constants!$H30*(1-Constants!$H48)</f>
        <v>494834477.50748301</v>
      </c>
      <c r="AG69" s="23">
        <f>AG8*Constants!$H30*(1-Constants!$H48)</f>
        <v>483482588.60052556</v>
      </c>
      <c r="AH69" s="23">
        <f>AH8*Constants!$H30*(1-Constants!$H48)</f>
        <v>460323832.82181931</v>
      </c>
      <c r="AI69" s="23">
        <f>AI8*Constants!$H30*(1-Constants!$H48)</f>
        <v>428268723.73697263</v>
      </c>
      <c r="AJ69" s="23">
        <f>AJ8*Constants!$H30*(1-Constants!$H48)</f>
        <v>479855331.52716392</v>
      </c>
      <c r="AK69" s="23">
        <f>AK8*Constants!$H30*(1-Constants!$H48)</f>
        <v>478398124.71570802</v>
      </c>
      <c r="AL69" s="23">
        <f>AL8*Constants!$H30*(1-Constants!$H48)</f>
        <v>479057370.55775505</v>
      </c>
      <c r="AM69" s="23">
        <f>AM8*Constants!$H30*(1-Constants!$H48)</f>
        <v>477267828.92498416</v>
      </c>
      <c r="AN69" s="23">
        <f>AN8*Constants!$H30*(1-Constants!$H48)</f>
        <v>475499801.58019876</v>
      </c>
      <c r="AO69" s="23">
        <f>AO8*Constants!$H30*(1-Constants!$H48)</f>
        <v>473726944.87161291</v>
      </c>
      <c r="AP69" s="23">
        <f>AP8*Constants!$H30*(1-Constants!$H48)</f>
        <v>471972608.94585574</v>
      </c>
      <c r="AQ69" s="23">
        <f>AQ8*Constants!$H30*(1-Constants!$H48)</f>
        <v>470196790.7963261</v>
      </c>
      <c r="AR69" s="23">
        <f>AR8*Constants!$H30*(1-Constants!$H48)</f>
        <v>468218370.55456334</v>
      </c>
      <c r="AS69" s="23">
        <f>AS8*Constants!$H30*(1-Constants!$H48)</f>
        <v>466245646.23251629</v>
      </c>
      <c r="AT69" s="23">
        <f>AT8*Constants!$H30*(1-Constants!$H48)</f>
        <v>464243843.77991098</v>
      </c>
      <c r="AU69" s="23">
        <f>AU8*Constants!$H30*(1-Constants!$H48)</f>
        <v>462220449.77944535</v>
      </c>
      <c r="AV69" s="23">
        <f>AV8*Constants!$H30*(1-Constants!$H48)</f>
        <v>460173493.51524794</v>
      </c>
      <c r="AW69" s="23">
        <f>AW8*Constants!$H30*(1-Constants!$H48)</f>
        <v>458034200.31473452</v>
      </c>
      <c r="AX69" s="23">
        <f>AX8*Constants!$H30*(1-Constants!$H48)</f>
        <v>455933643.99548131</v>
      </c>
      <c r="AY69" s="23">
        <f>AY8*Constants!$H30*(1-Constants!$H48)</f>
        <v>453745716.78300667</v>
      </c>
      <c r="AZ69" s="23">
        <f>AZ8*Constants!$H30*(1-Constants!$H48)</f>
        <v>451496709.73400146</v>
      </c>
      <c r="BA69" s="23">
        <f>BA8*Constants!$H30*(1-Constants!$H48)</f>
        <v>449183316.92277032</v>
      </c>
      <c r="BB69" s="23">
        <f>BB8*Constants!$H30*(1-Constants!$H48)</f>
        <v>446788839.89265466</v>
      </c>
      <c r="BC69" s="23">
        <f>BC8*Constants!$H30*(1-Constants!$H48)</f>
        <v>444350076.42902136</v>
      </c>
      <c r="BD69" s="23">
        <f>BD8*Constants!$H30*(1-Constants!$H48)</f>
        <v>441894860.75848973</v>
      </c>
      <c r="BE69" s="23">
        <f>BE8*Constants!$H30*(1-Constants!$H48)</f>
        <v>439394940.97440916</v>
      </c>
      <c r="BF69" s="23">
        <f>BF8*Constants!$H30*(1-Constants!$H48)</f>
        <v>436825301.25848436</v>
      </c>
      <c r="BG69" s="23">
        <f>BG8*Constants!$H30*(1-Constants!$H48)</f>
        <v>434013115.94664013</v>
      </c>
      <c r="BH69" s="23">
        <f>BH8*Constants!$H30*(1-Constants!$H48)</f>
        <v>431147408.90882379</v>
      </c>
      <c r="BI69" s="23">
        <f>BI8*Constants!$H30*(1-Constants!$H48)</f>
        <v>428231231.13204175</v>
      </c>
      <c r="BJ69" s="23">
        <f>BJ8*Constants!$H30*(1-Constants!$H48)</f>
        <v>425257051.6600939</v>
      </c>
      <c r="BK69" s="23">
        <f>BK8*Constants!$H30*(1-Constants!$H48)</f>
        <v>422195012.13323462</v>
      </c>
      <c r="BL69" s="23">
        <f>BL8*Constants!$H30*(1-Constants!$H48)</f>
        <v>419113316.13185769</v>
      </c>
      <c r="BM69" s="23">
        <f>BM8*Constants!$H30*(1-Constants!$H48)</f>
        <v>415955864.72712451</v>
      </c>
      <c r="BN69" s="23">
        <f>BN8*Constants!$H30*(1-Constants!$H48)</f>
        <v>412779416.48622018</v>
      </c>
      <c r="BO69" s="23">
        <f>BO8*Constants!$H30*(1-Constants!$H48)</f>
        <v>409520347.0126431</v>
      </c>
      <c r="BP69" s="23">
        <f>BP8*Constants!$H30*(1-Constants!$H48)</f>
        <v>406171761.65529943</v>
      </c>
    </row>
    <row r="70" spans="1:68" x14ac:dyDescent="0.25">
      <c r="A70" t="str">
        <f t="shared" si="19"/>
        <v>3C Aggregated and non-CO2 emissions on land</v>
      </c>
      <c r="B70" t="str">
        <f t="shared" si="20"/>
        <v>3C4 Direct N2O from managed soils (N2O)</v>
      </c>
      <c r="C70" t="s">
        <v>485</v>
      </c>
      <c r="D70" t="str">
        <f t="shared" si="21"/>
        <v xml:space="preserve"> - Subsistence cattle</v>
      </c>
      <c r="E70" t="str">
        <f t="shared" si="22"/>
        <v>Urine &amp; dung - Subsistence cattle</v>
      </c>
      <c r="F70" t="str">
        <f t="shared" si="23"/>
        <v>kg N</v>
      </c>
      <c r="H70" s="23">
        <f>H9*Constants!$H31*(1-Constants!$H49)</f>
        <v>330989233.74116176</v>
      </c>
      <c r="I70" s="23">
        <f>I9*Constants!$H31*(1-Constants!$H49)</f>
        <v>356584183.27474904</v>
      </c>
      <c r="J70" s="23">
        <f>J9*Constants!$H31*(1-Constants!$H49)</f>
        <v>360074403.66569275</v>
      </c>
      <c r="K70" s="23">
        <f>K9*Constants!$H31*(1-Constants!$H49)</f>
        <v>360074403.66569269</v>
      </c>
      <c r="L70" s="23">
        <f>L9*Constants!$H31*(1-Constants!$H49)</f>
        <v>316446648.77889633</v>
      </c>
      <c r="M70" s="23">
        <f>M9*Constants!$H31*(1-Constants!$H49)</f>
        <v>312374724.98946202</v>
      </c>
      <c r="N70" s="23">
        <f>N9*Constants!$H31*(1-Constants!$H49)</f>
        <v>319936869.1698401</v>
      </c>
      <c r="O70" s="23">
        <f>O9*Constants!$H31*(1-Constants!$H49)</f>
        <v>329244123.54568994</v>
      </c>
      <c r="P70" s="23">
        <f>P9*Constants!$H31*(1-Constants!$H49)</f>
        <v>343786708.50795549</v>
      </c>
      <c r="Q70" s="23">
        <f>Q9*Constants!$H31*(1-Constants!$H49)</f>
        <v>356002479.87625837</v>
      </c>
      <c r="R70" s="23">
        <f>R9*Constants!$H31*(1-Constants!$H49)</f>
        <v>365891437.65059894</v>
      </c>
      <c r="S70" s="23">
        <f>S9*Constants!$H31*(1-Constants!$H49)</f>
        <v>358329293.47022092</v>
      </c>
      <c r="T70" s="23">
        <f>T9*Constants!$H31*(1-Constants!$H49)</f>
        <v>386832759.99626118</v>
      </c>
      <c r="U70" s="23">
        <f>U9*Constants!$H31*(1-Constants!$H49)</f>
        <v>386251056.59777063</v>
      </c>
      <c r="V70" s="23">
        <f>V9*Constants!$H31*(1-Constants!$H49)</f>
        <v>378107209.01890194</v>
      </c>
      <c r="W70" s="23">
        <f>W9*Constants!$H31*(1-Constants!$H49)</f>
        <v>373453581.83097696</v>
      </c>
      <c r="X70" s="23">
        <f>X9*Constants!$H31*(1-Constants!$H49)</f>
        <v>382179132.80833626</v>
      </c>
      <c r="Y70" s="23">
        <f>Y9*Constants!$H31*(1-Constants!$H49)</f>
        <v>394976607.57512981</v>
      </c>
      <c r="Z70" s="23">
        <f>Z9*Constants!$H31*(1-Constants!$H49)</f>
        <v>402538751.75550789</v>
      </c>
      <c r="AA70" s="23">
        <f>AA9*Constants!$H31*(1-Constants!$H49)</f>
        <v>401375344.95852667</v>
      </c>
      <c r="AB70" s="23">
        <f>AB9*Constants!$H31*(1-Constants!$H49)</f>
        <v>396721717.77060175</v>
      </c>
      <c r="AC70" s="23">
        <f>AC9*Constants!$H31*(1-Constants!$H49)</f>
        <v>395558310.97362047</v>
      </c>
      <c r="AD70" s="23">
        <f>AD9*Constants!$H31*(1-Constants!$H49)</f>
        <v>342623301.71097422</v>
      </c>
      <c r="AE70" s="23">
        <f>AE9*Constants!$H31*(1-Constants!$H49)</f>
        <v>409519192.5373953</v>
      </c>
      <c r="AF70" s="23">
        <f>AF9*Constants!$H31*(1-Constants!$H49)</f>
        <v>402538751.75550789</v>
      </c>
      <c r="AG70" s="23">
        <f>AG9*Constants!$H31*(1-Constants!$H49)</f>
        <v>397885124.56758296</v>
      </c>
      <c r="AH70" s="23">
        <f>AH9*Constants!$H31*(1-Constants!$H49)</f>
        <v>394394904.17663932</v>
      </c>
      <c r="AI70" s="23">
        <f>AI9*Constants!$H31*(1-Constants!$H49)</f>
        <v>390322980.38720489</v>
      </c>
      <c r="AJ70" s="23">
        <f>AJ9*Constants!$H31*(1-Constants!$H49)</f>
        <v>405380490.9796949</v>
      </c>
      <c r="AK70" s="23">
        <f>AK9*Constants!$H31*(1-Constants!$H49)</f>
        <v>445420285.27065086</v>
      </c>
      <c r="AL70" s="23">
        <f>AL9*Constants!$H31*(1-Constants!$H49)</f>
        <v>448526293.91133696</v>
      </c>
      <c r="AM70" s="23">
        <f>AM9*Constants!$H31*(1-Constants!$H49)</f>
        <v>451674568.81137496</v>
      </c>
      <c r="AN70" s="23">
        <f>AN9*Constants!$H31*(1-Constants!$H49)</f>
        <v>454822843.65330076</v>
      </c>
      <c r="AO70" s="23">
        <f>AO9*Constants!$H31*(1-Constants!$H49)</f>
        <v>457971118.49522656</v>
      </c>
      <c r="AP70" s="23">
        <f>AP9*Constants!$H31*(1-Constants!$H49)</f>
        <v>461119393.33715236</v>
      </c>
      <c r="AQ70" s="23">
        <f>AQ9*Constants!$H31*(1-Constants!$H49)</f>
        <v>464267668.23719025</v>
      </c>
      <c r="AR70" s="23">
        <f>AR9*Constants!$H31*(1-Constants!$H49)</f>
        <v>467678486.30637664</v>
      </c>
      <c r="AS70" s="23">
        <f>AS9*Constants!$H31*(1-Constants!$H49)</f>
        <v>471089304.37556303</v>
      </c>
      <c r="AT70" s="23">
        <f>AT9*Constants!$H31*(1-Constants!$H49)</f>
        <v>474500122.44474936</v>
      </c>
      <c r="AU70" s="23">
        <f>AU9*Constants!$H31*(1-Constants!$H49)</f>
        <v>477910940.51393574</v>
      </c>
      <c r="AV70" s="23">
        <f>AV9*Constants!$H31*(1-Constants!$H49)</f>
        <v>481321758.58312213</v>
      </c>
      <c r="AW70" s="23">
        <f>AW9*Constants!$H31*(1-Constants!$H49)</f>
        <v>484616778.9147265</v>
      </c>
      <c r="AX70" s="23">
        <f>AX9*Constants!$H31*(1-Constants!$H49)</f>
        <v>487911799.18821859</v>
      </c>
      <c r="AY70" s="23">
        <f>AY9*Constants!$H31*(1-Constants!$H49)</f>
        <v>491206819.51982296</v>
      </c>
      <c r="AZ70" s="23">
        <f>AZ9*Constants!$H31*(1-Constants!$H49)</f>
        <v>494501839.79331517</v>
      </c>
      <c r="BA70" s="23">
        <f>BA9*Constants!$H31*(1-Constants!$H49)</f>
        <v>497796860.06680727</v>
      </c>
      <c r="BB70" s="23">
        <f>BB9*Constants!$H31*(1-Constants!$H49)</f>
        <v>501221423.05877459</v>
      </c>
      <c r="BC70" s="23">
        <f>BC9*Constants!$H31*(1-Constants!$H49)</f>
        <v>504645986.05074203</v>
      </c>
      <c r="BD70" s="23">
        <f>BD9*Constants!$H31*(1-Constants!$H49)</f>
        <v>508070548.98459715</v>
      </c>
      <c r="BE70" s="23">
        <f>BE9*Constants!$H31*(1-Constants!$H49)</f>
        <v>511495111.97656447</v>
      </c>
      <c r="BF70" s="23">
        <f>BF9*Constants!$H31*(1-Constants!$H49)</f>
        <v>514919674.96853191</v>
      </c>
      <c r="BG70" s="23">
        <f>BG9*Constants!$H31*(1-Constants!$H49)</f>
        <v>518828910.71352047</v>
      </c>
      <c r="BH70" s="23">
        <f>BH9*Constants!$H31*(1-Constants!$H49)</f>
        <v>522738146.40039682</v>
      </c>
      <c r="BI70" s="23">
        <f>BI9*Constants!$H31*(1-Constants!$H49)</f>
        <v>526647382.1453855</v>
      </c>
      <c r="BJ70" s="23">
        <f>BJ9*Constants!$H31*(1-Constants!$H49)</f>
        <v>530556617.89037389</v>
      </c>
      <c r="BK70" s="23">
        <f>BK9*Constants!$H31*(1-Constants!$H49)</f>
        <v>534465853.63536245</v>
      </c>
      <c r="BL70" s="23">
        <f>BL9*Constants!$H31*(1-Constants!$H49)</f>
        <v>538237116.21322095</v>
      </c>
      <c r="BM70" s="23">
        <f>BM9*Constants!$H31*(1-Constants!$H49)</f>
        <v>542008378.79107904</v>
      </c>
      <c r="BN70" s="23">
        <f>BN9*Constants!$H31*(1-Constants!$H49)</f>
        <v>545779641.42704952</v>
      </c>
      <c r="BO70" s="23">
        <f>BO9*Constants!$H31*(1-Constants!$H49)</f>
        <v>549550904.00490785</v>
      </c>
      <c r="BP70" s="23">
        <f>BP9*Constants!$H31*(1-Constants!$H49)</f>
        <v>553322166.58276606</v>
      </c>
    </row>
    <row r="71" spans="1:68" x14ac:dyDescent="0.25">
      <c r="A71" t="str">
        <f t="shared" si="19"/>
        <v>3C Aggregated and non-CO2 emissions on land</v>
      </c>
      <c r="B71" t="str">
        <f t="shared" si="20"/>
        <v>3C4 Direct N2O from managed soils (N2O)</v>
      </c>
      <c r="C71" t="s">
        <v>485</v>
      </c>
      <c r="D71" t="str">
        <f t="shared" si="21"/>
        <v xml:space="preserve"> - Feedlot</v>
      </c>
      <c r="E71" t="str">
        <f t="shared" si="22"/>
        <v>Urine &amp; dung - Feedlot</v>
      </c>
      <c r="F71" t="str">
        <f t="shared" si="23"/>
        <v>kg N</v>
      </c>
      <c r="H71" s="23">
        <f>H10*Constants!$H32*(1-Constants!$H50)</f>
        <v>0</v>
      </c>
      <c r="I71" s="23">
        <f>I10*Constants!$H32*(1-Constants!$H50)</f>
        <v>0</v>
      </c>
      <c r="J71" s="23">
        <f>J10*Constants!$H32*(1-Constants!$H50)</f>
        <v>0</v>
      </c>
      <c r="K71" s="23">
        <f>K10*Constants!$H32*(1-Constants!$H50)</f>
        <v>0</v>
      </c>
      <c r="L71" s="23">
        <f>L10*Constants!$H32*(1-Constants!$H50)</f>
        <v>0</v>
      </c>
      <c r="M71" s="23">
        <f>M10*Constants!$H32*(1-Constants!$H50)</f>
        <v>0</v>
      </c>
      <c r="N71" s="23">
        <f>N10*Constants!$H32*(1-Constants!$H50)</f>
        <v>0</v>
      </c>
      <c r="O71" s="23">
        <f>O10*Constants!$H32*(1-Constants!$H50)</f>
        <v>0</v>
      </c>
      <c r="P71" s="23">
        <f>P10*Constants!$H32*(1-Constants!$H50)</f>
        <v>0</v>
      </c>
      <c r="Q71" s="23">
        <f>Q10*Constants!$H32*(1-Constants!$H50)</f>
        <v>0</v>
      </c>
      <c r="R71" s="23">
        <f>R10*Constants!$H32*(1-Constants!$H50)</f>
        <v>0</v>
      </c>
      <c r="S71" s="23">
        <f>S10*Constants!$H32*(1-Constants!$H50)</f>
        <v>0</v>
      </c>
      <c r="T71" s="23">
        <f>T10*Constants!$H32*(1-Constants!$H50)</f>
        <v>0</v>
      </c>
      <c r="U71" s="23">
        <f>U10*Constants!$H32*(1-Constants!$H50)</f>
        <v>0</v>
      </c>
      <c r="V71" s="23">
        <f>V10*Constants!$H32*(1-Constants!$H50)</f>
        <v>0</v>
      </c>
      <c r="W71" s="23">
        <f>W10*Constants!$H32*(1-Constants!$H50)</f>
        <v>0</v>
      </c>
      <c r="X71" s="23">
        <f>X10*Constants!$H32*(1-Constants!$H50)</f>
        <v>0</v>
      </c>
      <c r="Y71" s="23">
        <f>Y10*Constants!$H32*(1-Constants!$H50)</f>
        <v>0</v>
      </c>
      <c r="Z71" s="23">
        <f>Z10*Constants!$H32*(1-Constants!$H50)</f>
        <v>0</v>
      </c>
      <c r="AA71" s="23">
        <f>AA10*Constants!$H32*(1-Constants!$H50)</f>
        <v>0</v>
      </c>
      <c r="AB71" s="23">
        <f>AB10*Constants!$H32*(1-Constants!$H50)</f>
        <v>0</v>
      </c>
      <c r="AC71" s="23">
        <f>AC10*Constants!$H32*(1-Constants!$H50)</f>
        <v>0</v>
      </c>
      <c r="AD71" s="23">
        <f>AD10*Constants!$H32*(1-Constants!$H50)</f>
        <v>0</v>
      </c>
      <c r="AE71" s="23">
        <f>AE10*Constants!$H32*(1-Constants!$H50)</f>
        <v>0</v>
      </c>
      <c r="AF71" s="23">
        <f>AF10*Constants!$H32*(1-Constants!$H50)</f>
        <v>0</v>
      </c>
      <c r="AG71" s="23">
        <f>AG10*Constants!$H32*(1-Constants!$H50)</f>
        <v>0</v>
      </c>
      <c r="AH71" s="23">
        <f>AH10*Constants!$H32*(1-Constants!$H50)</f>
        <v>0</v>
      </c>
      <c r="AI71" s="23">
        <f>AI10*Constants!$H32*(1-Constants!$H50)</f>
        <v>0</v>
      </c>
      <c r="AJ71" s="23">
        <f>AJ10*Constants!$H32*(1-Constants!$H50)</f>
        <v>0</v>
      </c>
      <c r="AK71" s="23">
        <f>AK10*Constants!$H32*(1-Constants!$H50)</f>
        <v>0</v>
      </c>
      <c r="AL71" s="23">
        <f>AL10*Constants!$H32*(1-Constants!$H50)</f>
        <v>0</v>
      </c>
      <c r="AM71" s="23">
        <f>AM10*Constants!$H32*(1-Constants!$H50)</f>
        <v>0</v>
      </c>
      <c r="AN71" s="23">
        <f>AN10*Constants!$H32*(1-Constants!$H50)</f>
        <v>0</v>
      </c>
      <c r="AO71" s="23">
        <f>AO10*Constants!$H32*(1-Constants!$H50)</f>
        <v>0</v>
      </c>
      <c r="AP71" s="23">
        <f>AP10*Constants!$H32*(1-Constants!$H50)</f>
        <v>0</v>
      </c>
      <c r="AQ71" s="23">
        <f>AQ10*Constants!$H32*(1-Constants!$H50)</f>
        <v>0</v>
      </c>
      <c r="AR71" s="23">
        <f>AR10*Constants!$H32*(1-Constants!$H50)</f>
        <v>0</v>
      </c>
      <c r="AS71" s="23">
        <f>AS10*Constants!$H32*(1-Constants!$H50)</f>
        <v>0</v>
      </c>
      <c r="AT71" s="23">
        <f>AT10*Constants!$H32*(1-Constants!$H50)</f>
        <v>0</v>
      </c>
      <c r="AU71" s="23">
        <f>AU10*Constants!$H32*(1-Constants!$H50)</f>
        <v>0</v>
      </c>
      <c r="AV71" s="23">
        <f>AV10*Constants!$H32*(1-Constants!$H50)</f>
        <v>0</v>
      </c>
      <c r="AW71" s="23">
        <f>AW10*Constants!$H32*(1-Constants!$H50)</f>
        <v>0</v>
      </c>
      <c r="AX71" s="23">
        <f>AX10*Constants!$H32*(1-Constants!$H50)</f>
        <v>0</v>
      </c>
      <c r="AY71" s="23">
        <f>AY10*Constants!$H32*(1-Constants!$H50)</f>
        <v>0</v>
      </c>
      <c r="AZ71" s="23">
        <f>AZ10*Constants!$H32*(1-Constants!$H50)</f>
        <v>0</v>
      </c>
      <c r="BA71" s="23">
        <f>BA10*Constants!$H32*(1-Constants!$H50)</f>
        <v>0</v>
      </c>
      <c r="BB71" s="23">
        <f>BB10*Constants!$H32*(1-Constants!$H50)</f>
        <v>0</v>
      </c>
      <c r="BC71" s="23">
        <f>BC10*Constants!$H32*(1-Constants!$H50)</f>
        <v>0</v>
      </c>
      <c r="BD71" s="23">
        <f>BD10*Constants!$H32*(1-Constants!$H50)</f>
        <v>0</v>
      </c>
      <c r="BE71" s="23">
        <f>BE10*Constants!$H32*(1-Constants!$H50)</f>
        <v>0</v>
      </c>
      <c r="BF71" s="23">
        <f>BF10*Constants!$H32*(1-Constants!$H50)</f>
        <v>0</v>
      </c>
      <c r="BG71" s="23">
        <f>BG10*Constants!$H32*(1-Constants!$H50)</f>
        <v>0</v>
      </c>
      <c r="BH71" s="23">
        <f>BH10*Constants!$H32*(1-Constants!$H50)</f>
        <v>0</v>
      </c>
      <c r="BI71" s="23">
        <f>BI10*Constants!$H32*(1-Constants!$H50)</f>
        <v>0</v>
      </c>
      <c r="BJ71" s="23">
        <f>BJ10*Constants!$H32*(1-Constants!$H50)</f>
        <v>0</v>
      </c>
      <c r="BK71" s="23">
        <f>BK10*Constants!$H32*(1-Constants!$H50)</f>
        <v>0</v>
      </c>
      <c r="BL71" s="23">
        <f>BL10*Constants!$H32*(1-Constants!$H50)</f>
        <v>0</v>
      </c>
      <c r="BM71" s="23">
        <f>BM10*Constants!$H32*(1-Constants!$H50)</f>
        <v>0</v>
      </c>
      <c r="BN71" s="23">
        <f>BN10*Constants!$H32*(1-Constants!$H50)</f>
        <v>0</v>
      </c>
      <c r="BO71" s="23">
        <f>BO10*Constants!$H32*(1-Constants!$H50)</f>
        <v>0</v>
      </c>
      <c r="BP71" s="23">
        <f>BP10*Constants!$H32*(1-Constants!$H50)</f>
        <v>0</v>
      </c>
    </row>
    <row r="72" spans="1:68" x14ac:dyDescent="0.25">
      <c r="A72" t="str">
        <f t="shared" si="19"/>
        <v>3C Aggregated and non-CO2 emissions on land</v>
      </c>
      <c r="B72" t="str">
        <f t="shared" si="20"/>
        <v>3C4 Direct N2O from managed soils (N2O)</v>
      </c>
      <c r="C72" t="s">
        <v>485</v>
      </c>
      <c r="D72" t="str">
        <f t="shared" si="21"/>
        <v xml:space="preserve"> - Commercial sheep</v>
      </c>
      <c r="E72" t="str">
        <f t="shared" si="22"/>
        <v>Urine &amp; dung - Commercial sheep</v>
      </c>
      <c r="F72" t="str">
        <f t="shared" si="23"/>
        <v>kg N</v>
      </c>
      <c r="H72" s="23">
        <f>H11*Constants!$H33*(1-Constants!$H51)</f>
        <v>581876225.33466685</v>
      </c>
      <c r="I72" s="23">
        <f>I11*Constants!$H33*(1-Constants!$H51)</f>
        <v>555712272.17575133</v>
      </c>
      <c r="J72" s="23">
        <f>J11*Constants!$H33*(1-Constants!$H51)</f>
        <v>532750880.04889882</v>
      </c>
      <c r="K72" s="23">
        <f>K11*Constants!$H33*(1-Constants!$H51)</f>
        <v>498240858.74581867</v>
      </c>
      <c r="L72" s="23">
        <f>L11*Constants!$H33*(1-Constants!$H51)</f>
        <v>501753971.15068793</v>
      </c>
      <c r="M72" s="23">
        <f>M11*Constants!$H33*(1-Constants!$H51)</f>
        <v>494572470.65454638</v>
      </c>
      <c r="N72" s="23">
        <f>N11*Constants!$H33*(1-Constants!$H51)</f>
        <v>496222274.82257891</v>
      </c>
      <c r="O72" s="23">
        <f>O11*Constants!$H33*(1-Constants!$H51)</f>
        <v>485430614.61756623</v>
      </c>
      <c r="P72" s="23">
        <f>P11*Constants!$H33*(1-Constants!$H51)</f>
        <v>486769867.41279262</v>
      </c>
      <c r="Q72" s="23">
        <f>Q11*Constants!$H33*(1-Constants!$H51)</f>
        <v>474813639.55975699</v>
      </c>
      <c r="R72" s="23">
        <f>R11*Constants!$H33*(1-Constants!$H51)</f>
        <v>457791542.43782157</v>
      </c>
      <c r="S72" s="23">
        <f>S11*Constants!$H33*(1-Constants!$H51)</f>
        <v>446378779.48719668</v>
      </c>
      <c r="T72" s="23">
        <f>T11*Constants!$H33*(1-Constants!$H51)</f>
        <v>438925546.53984982</v>
      </c>
      <c r="U72" s="23">
        <f>U11*Constants!$H33*(1-Constants!$H51)</f>
        <v>440458893.94308001</v>
      </c>
      <c r="V72" s="23">
        <f>V11*Constants!$H33*(1-Constants!$H51)</f>
        <v>432617471.77972549</v>
      </c>
      <c r="W72" s="23">
        <f>W11*Constants!$H33*(1-Constants!$H51)</f>
        <v>431588770.35730517</v>
      </c>
      <c r="X72" s="23">
        <f>X11*Constants!$H33*(1-Constants!$H51)</f>
        <v>425940617.26439387</v>
      </c>
      <c r="Y72" s="23">
        <f>Y11*Constants!$H33*(1-Constants!$H51)</f>
        <v>425533018.58758587</v>
      </c>
      <c r="Z72" s="23">
        <f>Z11*Constants!$H33*(1-Constants!$H51)</f>
        <v>426911090.30441302</v>
      </c>
      <c r="AA72" s="23">
        <f>AA11*Constants!$H33*(1-Constants!$H51)</f>
        <v>425397152.36198318</v>
      </c>
      <c r="AB72" s="23">
        <f>AB11*Constants!$H33*(1-Constants!$H51)</f>
        <v>417167540.98262095</v>
      </c>
      <c r="AC72" s="23">
        <f>AC11*Constants!$H33*(1-Constants!$H51)</f>
        <v>413906751.56815672</v>
      </c>
      <c r="AD72" s="23">
        <f>AD11*Constants!$H33*(1-Constants!$H51)</f>
        <v>415886516.56979579</v>
      </c>
      <c r="AE72" s="23">
        <f>AE11*Constants!$H33*(1-Constants!$H51)</f>
        <v>419030849.21945769</v>
      </c>
      <c r="AF72" s="23">
        <f>AF11*Constants!$H33*(1-Constants!$H51)</f>
        <v>411519387.88970971</v>
      </c>
      <c r="AG72" s="23">
        <f>AG11*Constants!$H33*(1-Constants!$H51)</f>
        <v>408239189.01444507</v>
      </c>
      <c r="AH72" s="23">
        <f>AH11*Constants!$H33*(1-Constants!$H51)</f>
        <v>396690559.8382175</v>
      </c>
      <c r="AI72" s="23">
        <f>AI11*Constants!$H33*(1-Constants!$H51)</f>
        <v>387063467.28122777</v>
      </c>
      <c r="AJ72" s="23">
        <f>AJ11*Constants!$H33*(1-Constants!$H51)</f>
        <v>411631633.71492749</v>
      </c>
      <c r="AK72" s="23">
        <f>AK11*Constants!$H33*(1-Constants!$H51)</f>
        <v>410344966.59366846</v>
      </c>
      <c r="AL72" s="23">
        <f>AL11*Constants!$H33*(1-Constants!$H51)</f>
        <v>406071708.79062676</v>
      </c>
      <c r="AM72" s="23">
        <f>AM11*Constants!$H33*(1-Constants!$H51)</f>
        <v>405208518.55187762</v>
      </c>
      <c r="AN72" s="23">
        <f>AN11*Constants!$H33*(1-Constants!$H51)</f>
        <v>404314968.9098404</v>
      </c>
      <c r="AO72" s="23">
        <f>AO11*Constants!$H33*(1-Constants!$H51)</f>
        <v>403428234.12988007</v>
      </c>
      <c r="AP72" s="23">
        <f>AP11*Constants!$H33*(1-Constants!$H51)</f>
        <v>402515364.11021847</v>
      </c>
      <c r="AQ72" s="23">
        <f>AQ11*Constants!$H33*(1-Constants!$H51)</f>
        <v>401632808.24705893</v>
      </c>
      <c r="AR72" s="23">
        <f>AR11*Constants!$H33*(1-Constants!$H51)</f>
        <v>400753576.9300698</v>
      </c>
      <c r="AS72" s="23">
        <f>AS11*Constants!$H33*(1-Constants!$H51)</f>
        <v>399866307.92760772</v>
      </c>
      <c r="AT72" s="23">
        <f>AT11*Constants!$H33*(1-Constants!$H51)</f>
        <v>399020071.95918268</v>
      </c>
      <c r="AU72" s="23">
        <f>AU11*Constants!$H33*(1-Constants!$H51)</f>
        <v>398204304.48034942</v>
      </c>
      <c r="AV72" s="23">
        <f>AV11*Constants!$H33*(1-Constants!$H51)</f>
        <v>397421786.42818624</v>
      </c>
      <c r="AW72" s="23">
        <f>AW11*Constants!$H33*(1-Constants!$H51)</f>
        <v>396894200.15058208</v>
      </c>
      <c r="AX72" s="23">
        <f>AX11*Constants!$H33*(1-Constants!$H51)</f>
        <v>396311951.14473492</v>
      </c>
      <c r="AY72" s="23">
        <f>AY11*Constants!$H33*(1-Constants!$H51)</f>
        <v>395852993.79993522</v>
      </c>
      <c r="AZ72" s="23">
        <f>AZ11*Constants!$H33*(1-Constants!$H51)</f>
        <v>395480228.1319018</v>
      </c>
      <c r="BA72" s="23">
        <f>BA11*Constants!$H33*(1-Constants!$H51)</f>
        <v>395198319.17034173</v>
      </c>
      <c r="BB72" s="23">
        <f>BB11*Constants!$H33*(1-Constants!$H51)</f>
        <v>394891404.66915816</v>
      </c>
      <c r="BC72" s="23">
        <f>BC11*Constants!$H33*(1-Constants!$H51)</f>
        <v>394646984.10066634</v>
      </c>
      <c r="BD72" s="23">
        <f>BD11*Constants!$H33*(1-Constants!$H51)</f>
        <v>394425779.80403906</v>
      </c>
      <c r="BE72" s="23">
        <f>BE11*Constants!$H33*(1-Constants!$H51)</f>
        <v>394267658.778548</v>
      </c>
      <c r="BF72" s="23">
        <f>BF11*Constants!$H33*(1-Constants!$H51)</f>
        <v>394207921.6684429</v>
      </c>
      <c r="BG72" s="23">
        <f>BG11*Constants!$H33*(1-Constants!$H51)</f>
        <v>393968798.03807169</v>
      </c>
      <c r="BH72" s="23">
        <f>BH11*Constants!$H33*(1-Constants!$H51)</f>
        <v>393805200.60488343</v>
      </c>
      <c r="BI72" s="23">
        <f>BI11*Constants!$H33*(1-Constants!$H51)</f>
        <v>393712823.90326828</v>
      </c>
      <c r="BJ72" s="23">
        <f>BJ11*Constants!$H33*(1-Constants!$H51)</f>
        <v>393702295.15701532</v>
      </c>
      <c r="BK72" s="23">
        <f>BK11*Constants!$H33*(1-Constants!$H51)</f>
        <v>393815748.40528768</v>
      </c>
      <c r="BL72" s="23">
        <f>BL11*Constants!$H33*(1-Constants!$H51)</f>
        <v>394105439.08275867</v>
      </c>
      <c r="BM72" s="23">
        <f>BM11*Constants!$H33*(1-Constants!$H51)</f>
        <v>394502030.51295125</v>
      </c>
      <c r="BN72" s="23">
        <f>BN11*Constants!$H33*(1-Constants!$H51)</f>
        <v>394925428.89364308</v>
      </c>
      <c r="BO72" s="23">
        <f>BO11*Constants!$H33*(1-Constants!$H51)</f>
        <v>395465416.67007917</v>
      </c>
      <c r="BP72" s="23">
        <f>BP11*Constants!$H33*(1-Constants!$H51)</f>
        <v>396131723.03147697</v>
      </c>
    </row>
    <row r="73" spans="1:68" x14ac:dyDescent="0.25">
      <c r="A73" t="str">
        <f t="shared" si="19"/>
        <v>3C Aggregated and non-CO2 emissions on land</v>
      </c>
      <c r="B73" t="str">
        <f t="shared" si="20"/>
        <v>3C4 Direct N2O from managed soils (N2O)</v>
      </c>
      <c r="C73" t="s">
        <v>485</v>
      </c>
      <c r="D73" t="str">
        <f t="shared" si="21"/>
        <v xml:space="preserve"> - Subsistence sheep</v>
      </c>
      <c r="E73" t="str">
        <f t="shared" si="22"/>
        <v>Urine &amp; dung - Subsistence sheep</v>
      </c>
      <c r="F73" t="str">
        <f t="shared" si="23"/>
        <v>kg N</v>
      </c>
      <c r="H73" s="23">
        <f>H12*Constants!$H34*(1-Constants!$H52)</f>
        <v>60666073.386478163</v>
      </c>
      <c r="I73" s="23">
        <f>I12*Constants!$H34*(1-Constants!$H52)</f>
        <v>57938235.002110019</v>
      </c>
      <c r="J73" s="23">
        <f>J12*Constants!$H34*(1-Constants!$H52)</f>
        <v>55544293.74935963</v>
      </c>
      <c r="K73" s="23">
        <f>K12*Constants!$H34*(1-Constants!$H52)</f>
        <v>51946299.203805812</v>
      </c>
      <c r="L73" s="23">
        <f>L12*Constants!$H34*(1-Constants!$H52)</f>
        <v>52312574.239095598</v>
      </c>
      <c r="M73" s="23">
        <f>M12*Constants!$H34*(1-Constants!$H52)</f>
        <v>51563835.216680013</v>
      </c>
      <c r="N73" s="23">
        <f>N12*Constants!$H34*(1-Constants!$H52)</f>
        <v>51735842.829937644</v>
      </c>
      <c r="O73" s="23">
        <f>O12*Constants!$H34*(1-Constants!$H52)</f>
        <v>50610710.677334763</v>
      </c>
      <c r="P73" s="23">
        <f>P12*Constants!$H34*(1-Constants!$H52)</f>
        <v>50750340.386920534</v>
      </c>
      <c r="Q73" s="23">
        <f>Q12*Constants!$H34*(1-Constants!$H52)</f>
        <v>49503791.095547549</v>
      </c>
      <c r="R73" s="23">
        <f>R12*Constants!$H34*(1-Constants!$H52)</f>
        <v>47729077.250524655</v>
      </c>
      <c r="S73" s="23">
        <f>S12*Constants!$H34*(1-Constants!$H52)</f>
        <v>46539189.29057771</v>
      </c>
      <c r="T73" s="23">
        <f>T12*Constants!$H34*(1-Constants!$H52)</f>
        <v>45762119.602449097</v>
      </c>
      <c r="U73" s="23">
        <f>U12*Constants!$H34*(1-Constants!$H52)</f>
        <v>45921985.501829728</v>
      </c>
      <c r="V73" s="23">
        <f>V12*Constants!$H34*(1-Constants!$H52)</f>
        <v>45104443.434111074</v>
      </c>
      <c r="W73" s="23">
        <f>W12*Constants!$H34*(1-Constants!$H52)</f>
        <v>44997191.628197499</v>
      </c>
      <c r="X73" s="23">
        <f>X12*Constants!$H34*(1-Constants!$H52)</f>
        <v>44408318.50516253</v>
      </c>
      <c r="Y73" s="23">
        <f>Y12*Constants!$H34*(1-Constants!$H52)</f>
        <v>44365822.506592996</v>
      </c>
      <c r="Z73" s="23">
        <f>Z12*Constants!$H34*(1-Constants!$H52)</f>
        <v>44509499.454137608</v>
      </c>
      <c r="AA73" s="23">
        <f>AA12*Constants!$H34*(1-Constants!$H52)</f>
        <v>44351657.173736483</v>
      </c>
      <c r="AB73" s="23">
        <f>AB12*Constants!$H34*(1-Constants!$H52)</f>
        <v>43493642.726427816</v>
      </c>
      <c r="AC73" s="23">
        <f>AC12*Constants!$H34*(1-Constants!$H52)</f>
        <v>43153674.737871543</v>
      </c>
      <c r="AD73" s="23">
        <f>AD12*Constants!$H34*(1-Constants!$H52)</f>
        <v>43360083.873780705</v>
      </c>
      <c r="AE73" s="23">
        <f>AE12*Constants!$H34*(1-Constants!$H52)</f>
        <v>43687910.148459964</v>
      </c>
      <c r="AF73" s="23">
        <f>AF12*Constants!$H34*(1-Constants!$H52)</f>
        <v>42904769.603392847</v>
      </c>
      <c r="AG73" s="23">
        <f>AG12*Constants!$H34*(1-Constants!$H52)</f>
        <v>42562777.995857082</v>
      </c>
      <c r="AH73" s="23">
        <f>AH12*Constants!$H34*(1-Constants!$H52)</f>
        <v>41358724.703053631</v>
      </c>
      <c r="AI73" s="23">
        <f>AI12*Constants!$H34*(1-Constants!$H52)</f>
        <v>40355009.689220838</v>
      </c>
      <c r="AJ73" s="23">
        <f>AJ12*Constants!$H34*(1-Constants!$H52)</f>
        <v>43051844.494736612</v>
      </c>
      <c r="AK73" s="23">
        <f>AK12*Constants!$H34*(1-Constants!$H52)</f>
        <v>42917274.193807565</v>
      </c>
      <c r="AL73" s="23">
        <f>AL12*Constants!$H34*(1-Constants!$H52)</f>
        <v>42470341.510908172</v>
      </c>
      <c r="AM73" s="23">
        <f>AM12*Constants!$H34*(1-Constants!$H52)</f>
        <v>42380061.928669505</v>
      </c>
      <c r="AN73" s="23">
        <f>AN12*Constants!$H34*(1-Constants!$H52)</f>
        <v>42286607.108664215</v>
      </c>
      <c r="AO73" s="23">
        <f>AO12*Constants!$H34*(1-Constants!$H52)</f>
        <v>42193865.043360837</v>
      </c>
      <c r="AP73" s="23">
        <f>AP12*Constants!$H34*(1-Constants!$H52)</f>
        <v>42098389.538294107</v>
      </c>
      <c r="AQ73" s="23">
        <f>AQ12*Constants!$H34*(1-Constants!$H52)</f>
        <v>42006084.538710482</v>
      </c>
      <c r="AR73" s="23">
        <f>AR12*Constants!$H34*(1-Constants!$H52)</f>
        <v>41914127.247692034</v>
      </c>
      <c r="AS73" s="23">
        <f>AS12*Constants!$H34*(1-Constants!$H52)</f>
        <v>41821329.308976151</v>
      </c>
      <c r="AT73" s="23">
        <f>AT12*Constants!$H34*(1-Constants!$H52)</f>
        <v>41732822.9447065</v>
      </c>
      <c r="AU73" s="23">
        <f>AU12*Constants!$H34*(1-Constants!$H52)</f>
        <v>41647503.227352321</v>
      </c>
      <c r="AV73" s="23">
        <f>AV12*Constants!$H34*(1-Constants!$H52)</f>
        <v>41565661.010338977</v>
      </c>
      <c r="AW73" s="23">
        <f>AW12*Constants!$H34*(1-Constants!$H52)</f>
        <v>41510481.66910132</v>
      </c>
      <c r="AX73" s="23">
        <f>AX12*Constants!$H34*(1-Constants!$H52)</f>
        <v>41449585.247145794</v>
      </c>
      <c r="AY73" s="23">
        <f>AY12*Constants!$H34*(1-Constants!$H52)</f>
        <v>41401583.687936865</v>
      </c>
      <c r="AZ73" s="23">
        <f>AZ12*Constants!$H34*(1-Constants!$H52)</f>
        <v>41362596.767936774</v>
      </c>
      <c r="BA73" s="23">
        <f>BA12*Constants!$H34*(1-Constants!$H52)</f>
        <v>41333112.394577958</v>
      </c>
      <c r="BB73" s="23">
        <f>BB12*Constants!$H34*(1-Constants!$H52)</f>
        <v>41301012.734843619</v>
      </c>
      <c r="BC73" s="23">
        <f>BC12*Constants!$H34*(1-Constants!$H52)</f>
        <v>41275449.208029464</v>
      </c>
      <c r="BD73" s="23">
        <f>BD12*Constants!$H34*(1-Constants!$H52)</f>
        <v>41252313.83115375</v>
      </c>
      <c r="BE73" s="23">
        <f>BE12*Constants!$H34*(1-Constants!$H52)</f>
        <v>41235776.225092337</v>
      </c>
      <c r="BF73" s="23">
        <f>BF12*Constants!$H34*(1-Constants!$H52)</f>
        <v>41229528.4235043</v>
      </c>
      <c r="BG73" s="23">
        <f>BG12*Constants!$H34*(1-Constants!$H52)</f>
        <v>41204518.894336566</v>
      </c>
      <c r="BH73" s="23">
        <f>BH12*Constants!$H34*(1-Constants!$H52)</f>
        <v>41187408.520214446</v>
      </c>
      <c r="BI73" s="23">
        <f>BI12*Constants!$H34*(1-Constants!$H52)</f>
        <v>41177746.99989596</v>
      </c>
      <c r="BJ73" s="23">
        <f>BJ12*Constants!$H34*(1-Constants!$H52)</f>
        <v>41176645.816436566</v>
      </c>
      <c r="BK73" s="23">
        <f>BK12*Constants!$H34*(1-Constants!$H52)</f>
        <v>41188511.696514741</v>
      </c>
      <c r="BL73" s="23">
        <f>BL12*Constants!$H34*(1-Constants!$H52)</f>
        <v>41218809.946154848</v>
      </c>
      <c r="BM73" s="23">
        <f>BM12*Constants!$H34*(1-Constants!$H52)</f>
        <v>41260288.761634849</v>
      </c>
      <c r="BN73" s="23">
        <f>BN12*Constants!$H34*(1-Constants!$H52)</f>
        <v>41304571.269955114</v>
      </c>
      <c r="BO73" s="23">
        <f>BO12*Constants!$H34*(1-Constants!$H52)</f>
        <v>41361047.662622951</v>
      </c>
      <c r="BP73" s="23">
        <f>BP12*Constants!$H34*(1-Constants!$H52)</f>
        <v>41430735.498802759</v>
      </c>
    </row>
    <row r="74" spans="1:68" x14ac:dyDescent="0.25">
      <c r="A74" t="str">
        <f t="shared" si="19"/>
        <v>3C Aggregated and non-CO2 emissions on land</v>
      </c>
      <c r="B74" t="str">
        <f t="shared" si="20"/>
        <v>3C4 Direct N2O from managed soils (N2O)</v>
      </c>
      <c r="C74" t="s">
        <v>485</v>
      </c>
      <c r="D74" t="str">
        <f t="shared" si="21"/>
        <v xml:space="preserve"> - Commercial goats</v>
      </c>
      <c r="E74" t="str">
        <f t="shared" si="22"/>
        <v>Urine &amp; dung - Commercial goats</v>
      </c>
      <c r="F74" t="str">
        <f t="shared" si="23"/>
        <v>kg N</v>
      </c>
      <c r="H74" s="23">
        <f>H13*Constants!$H35*(1-Constants!$H53)</f>
        <v>61206867.799308397</v>
      </c>
      <c r="I74" s="23">
        <f>I13*Constants!$H35*(1-Constants!$H53)</f>
        <v>54124169.686987571</v>
      </c>
      <c r="J74" s="23">
        <f>J13*Constants!$H35*(1-Constants!$H53)</f>
        <v>50417337.030071966</v>
      </c>
      <c r="K74" s="23">
        <f>K13*Constants!$H35*(1-Constants!$H53)</f>
        <v>47637212.537385285</v>
      </c>
      <c r="L74" s="23">
        <f>L13*Constants!$H35*(1-Constants!$H53)</f>
        <v>51564689.995307736</v>
      </c>
      <c r="M74" s="23">
        <f>M13*Constants!$H35*(1-Constants!$H53)</f>
        <v>52270753.358529769</v>
      </c>
      <c r="N74" s="23">
        <f>N13*Constants!$H35*(1-Constants!$H53)</f>
        <v>53087139.122255206</v>
      </c>
      <c r="O74" s="23">
        <f>O13*Constants!$H35*(1-Constants!$H53)</f>
        <v>52822365.361046962</v>
      </c>
      <c r="P74" s="23">
        <f>P13*Constants!$H35*(1-Constants!$H53)</f>
        <v>52072173.037623577</v>
      </c>
      <c r="Q74" s="23">
        <f>Q13*Constants!$H35*(1-Constants!$H53)</f>
        <v>51299916.234099507</v>
      </c>
      <c r="R74" s="23">
        <f>R13*Constants!$H35*(1-Constants!$H53)</f>
        <v>51961850.637120128</v>
      </c>
      <c r="S74" s="23">
        <f>S13*Constants!$H35*(1-Constants!$H53)</f>
        <v>53550493.204369679</v>
      </c>
      <c r="T74" s="23">
        <f>T13*Constants!$H35*(1-Constants!$H53)</f>
        <v>48894887.903124519</v>
      </c>
      <c r="U74" s="23">
        <f>U13*Constants!$H35*(1-Constants!$H53)</f>
        <v>47659277.017485984</v>
      </c>
      <c r="V74" s="23">
        <f>V13*Constants!$H35*(1-Constants!$H53)</f>
        <v>47747534.937888749</v>
      </c>
      <c r="W74" s="23">
        <f>W13*Constants!$H35*(1-Constants!$H53)</f>
        <v>47129729.495069467</v>
      </c>
      <c r="X74" s="23">
        <f>X13*Constants!$H35*(1-Constants!$H53)</f>
        <v>48122631.099600427</v>
      </c>
      <c r="Y74" s="23">
        <f>Y13*Constants!$H35*(1-Constants!$H53)</f>
        <v>46688439.893055715</v>
      </c>
      <c r="Z74" s="23">
        <f>Z13*Constants!$H35*(1-Constants!$H53)</f>
        <v>46644310.932854347</v>
      </c>
      <c r="AA74" s="23">
        <f>AA13*Constants!$H35*(1-Constants!$H53)</f>
        <v>45827925.16912888</v>
      </c>
      <c r="AB74" s="23">
        <f>AB13*Constants!$H35*(1-Constants!$H53)</f>
        <v>45276313.166611686</v>
      </c>
      <c r="AC74" s="23">
        <f>AC13*Constants!$H35*(1-Constants!$H53)</f>
        <v>44857088.044698618</v>
      </c>
      <c r="AD74" s="23">
        <f>AD13*Constants!$H35*(1-Constants!$H53)</f>
        <v>44746765.644195177</v>
      </c>
      <c r="AE74" s="23">
        <f>AE13*Constants!$H35*(1-Constants!$H53)</f>
        <v>44239282.601879351</v>
      </c>
      <c r="AF74" s="23">
        <f>AF13*Constants!$H35*(1-Constants!$H53)</f>
        <v>43842121.960066974</v>
      </c>
      <c r="AG74" s="23">
        <f>AG13*Constants!$H35*(1-Constants!$H53)</f>
        <v>43246380.997348398</v>
      </c>
      <c r="AH74" s="23">
        <f>AH13*Constants!$H35*(1-Constants!$H53)</f>
        <v>41944576.671407796</v>
      </c>
      <c r="AI74" s="23">
        <f>AI13*Constants!$H35*(1-Constants!$H53)</f>
        <v>40664836.825567901</v>
      </c>
      <c r="AJ74" s="23">
        <f>AJ13*Constants!$H35*(1-Constants!$H53)</f>
        <v>46462714.203980312</v>
      </c>
      <c r="AK74" s="23">
        <f>AK13*Constants!$H35*(1-Constants!$H53)</f>
        <v>46328767.712887116</v>
      </c>
      <c r="AL74" s="23">
        <f>AL13*Constants!$H35*(1-Constants!$H53)</f>
        <v>46199369.110506028</v>
      </c>
      <c r="AM74" s="23">
        <f>AM13*Constants!$H35*(1-Constants!$H53)</f>
        <v>46062928.369232982</v>
      </c>
      <c r="AN74" s="23">
        <f>AN13*Constants!$H35*(1-Constants!$H53)</f>
        <v>45926533.860871084</v>
      </c>
      <c r="AO74" s="23">
        <f>AO13*Constants!$H35*(1-Constants!$H53)</f>
        <v>45790128.975046188</v>
      </c>
      <c r="AP74" s="23">
        <f>AP13*Constants!$H35*(1-Constants!$H53)</f>
        <v>45653763.887162916</v>
      </c>
      <c r="AQ74" s="23">
        <f>AQ13*Constants!$H35*(1-Constants!$H53)</f>
        <v>45517352.635268904</v>
      </c>
      <c r="AR74" s="23">
        <f>AR13*Constants!$H35*(1-Constants!$H53)</f>
        <v>45369448.543294482</v>
      </c>
      <c r="AS74" s="23">
        <f>AS13*Constants!$H35*(1-Constants!$H53)</f>
        <v>45221556.690861031</v>
      </c>
      <c r="AT74" s="23">
        <f>AT13*Constants!$H35*(1-Constants!$H53)</f>
        <v>45073602.35458155</v>
      </c>
      <c r="AU74" s="23">
        <f>AU13*Constants!$H35*(1-Constants!$H53)</f>
        <v>44925601.621820375</v>
      </c>
      <c r="AV74" s="23">
        <f>AV13*Constants!$H35*(1-Constants!$H53)</f>
        <v>44777550.257851794</v>
      </c>
      <c r="AW74" s="23">
        <f>AW13*Constants!$H35*(1-Constants!$H53)</f>
        <v>44634177.51034227</v>
      </c>
      <c r="AX74" s="23">
        <f>AX13*Constants!$H35*(1-Constants!$H53)</f>
        <v>44490888.004101932</v>
      </c>
      <c r="AY74" s="23">
        <f>AY13*Constants!$H35*(1-Constants!$H53)</f>
        <v>44347410.750557914</v>
      </c>
      <c r="AZ74" s="23">
        <f>AZ13*Constants!$H35*(1-Constants!$H53)</f>
        <v>44203802.249514155</v>
      </c>
      <c r="BA74" s="23">
        <f>BA13*Constants!$H35*(1-Constants!$H53)</f>
        <v>44060055.394663721</v>
      </c>
      <c r="BB74" s="23">
        <f>BB13*Constants!$H35*(1-Constants!$H53)</f>
        <v>43910678.376561619</v>
      </c>
      <c r="BC74" s="23">
        <f>BC13*Constants!$H35*(1-Constants!$H53)</f>
        <v>43761206.194615074</v>
      </c>
      <c r="BD74" s="23">
        <f>BD13*Constants!$H35*(1-Constants!$H53)</f>
        <v>43611698.66218435</v>
      </c>
      <c r="BE74" s="23">
        <f>BE13*Constants!$H35*(1-Constants!$H53)</f>
        <v>43462095.065939933</v>
      </c>
      <c r="BF74" s="23">
        <f>BF13*Constants!$H35*(1-Constants!$H53)</f>
        <v>43312341.65368592</v>
      </c>
      <c r="BG74" s="23">
        <f>BG13*Constants!$H35*(1-Constants!$H53)</f>
        <v>43141654.1779918</v>
      </c>
      <c r="BH74" s="23">
        <f>BH13*Constants!$H35*(1-Constants!$H53)</f>
        <v>42970851.695863225</v>
      </c>
      <c r="BI74" s="23">
        <f>BI13*Constants!$H35*(1-Constants!$H53)</f>
        <v>42799940.75844571</v>
      </c>
      <c r="BJ74" s="23">
        <f>BJ13*Constants!$H35*(1-Constants!$H53)</f>
        <v>42628905.185471475</v>
      </c>
      <c r="BK74" s="23">
        <f>BK13*Constants!$H35*(1-Constants!$H53)</f>
        <v>42457680.816517659</v>
      </c>
      <c r="BL74" s="23">
        <f>BL13*Constants!$H35*(1-Constants!$H53)</f>
        <v>42292225.200272791</v>
      </c>
      <c r="BM74" s="23">
        <f>BM13*Constants!$H35*(1-Constants!$H53)</f>
        <v>42126606.798839606</v>
      </c>
      <c r="BN74" s="23">
        <f>BN13*Constants!$H35*(1-Constants!$H53)</f>
        <v>41960947.574061424</v>
      </c>
      <c r="BO74" s="23">
        <f>BO13*Constants!$H35*(1-Constants!$H53)</f>
        <v>41795110.81306915</v>
      </c>
      <c r="BP74" s="23">
        <f>BP13*Constants!$H35*(1-Constants!$H53)</f>
        <v>41629081.698008999</v>
      </c>
    </row>
    <row r="75" spans="1:68" x14ac:dyDescent="0.25">
      <c r="A75" t="str">
        <f t="shared" si="19"/>
        <v>3C Aggregated and non-CO2 emissions on land</v>
      </c>
      <c r="B75" t="str">
        <f t="shared" si="20"/>
        <v>3C4 Direct N2O from managed soils (N2O)</v>
      </c>
      <c r="C75" t="s">
        <v>485</v>
      </c>
      <c r="D75" t="str">
        <f t="shared" si="21"/>
        <v xml:space="preserve"> - Subsistence goats</v>
      </c>
      <c r="E75" t="str">
        <f t="shared" si="22"/>
        <v>Urine &amp; dung - Subsistence goats</v>
      </c>
      <c r="F75" t="str">
        <f t="shared" si="23"/>
        <v>kg N</v>
      </c>
      <c r="H75" s="23">
        <f>H14*Constants!$H36*(1-Constants!$H54)</f>
        <v>103073074.7293009</v>
      </c>
      <c r="I75" s="23">
        <f>I14*Constants!$H36*(1-Constants!$H54)</f>
        <v>91145729.023422912</v>
      </c>
      <c r="J75" s="23">
        <f>J14*Constants!$H36*(1-Constants!$H54)</f>
        <v>84903379.868944705</v>
      </c>
      <c r="K75" s="23">
        <f>K14*Constants!$H36*(1-Constants!$H54)</f>
        <v>80221618.003086045</v>
      </c>
      <c r="L75" s="23">
        <f>L14*Constants!$H36*(1-Constants!$H54)</f>
        <v>86835535.559616521</v>
      </c>
      <c r="M75" s="23">
        <f>M14*Constants!$H36*(1-Constants!$H54)</f>
        <v>88024554.446183816</v>
      </c>
      <c r="N75" s="23">
        <f>N14*Constants!$H36*(1-Constants!$H54)</f>
        <v>89399357.533777222</v>
      </c>
      <c r="O75" s="23">
        <f>O14*Constants!$H36*(1-Constants!$H54)</f>
        <v>88953475.451314494</v>
      </c>
      <c r="P75" s="23">
        <f>P14*Constants!$H36*(1-Constants!$H54)</f>
        <v>87690142.884336755</v>
      </c>
      <c r="Q75" s="23">
        <f>Q14*Constants!$H36*(1-Constants!$H54)</f>
        <v>86389653.477153808</v>
      </c>
      <c r="R75" s="23">
        <f>R14*Constants!$H36*(1-Constants!$H54)</f>
        <v>87504358.683310628</v>
      </c>
      <c r="S75" s="23">
        <f>S14*Constants!$H36*(1-Constants!$H54)</f>
        <v>90179651.178086996</v>
      </c>
      <c r="T75" s="23">
        <f>T14*Constants!$H36*(1-Constants!$H54)</f>
        <v>82339557.894784003</v>
      </c>
      <c r="U75" s="23">
        <f>U14*Constants!$H36*(1-Constants!$H54)</f>
        <v>80258774.843291268</v>
      </c>
      <c r="V75" s="23">
        <f>V14*Constants!$H36*(1-Constants!$H54)</f>
        <v>80407402.204112172</v>
      </c>
      <c r="W75" s="23">
        <f>W14*Constants!$H36*(1-Constants!$H54)</f>
        <v>79367010.678365812</v>
      </c>
      <c r="X75" s="23">
        <f>X14*Constants!$H36*(1-Constants!$H54)</f>
        <v>81039068.487601057</v>
      </c>
      <c r="Y75" s="23">
        <f>Y14*Constants!$H36*(1-Constants!$H54)</f>
        <v>78623873.874261275</v>
      </c>
      <c r="Z75" s="23">
        <f>Z14*Constants!$H36*(1-Constants!$H54)</f>
        <v>78549560.1938508</v>
      </c>
      <c r="AA75" s="23">
        <f>AA14*Constants!$H36*(1-Constants!$H54)</f>
        <v>77174757.106257394</v>
      </c>
      <c r="AB75" s="23">
        <f>AB14*Constants!$H36*(1-Constants!$H54)</f>
        <v>76245836.101126716</v>
      </c>
      <c r="AC75" s="23">
        <f>AC14*Constants!$H36*(1-Constants!$H54)</f>
        <v>75539856.137227386</v>
      </c>
      <c r="AD75" s="23">
        <f>AD14*Constants!$H36*(1-Constants!$H54)</f>
        <v>75354071.936201245</v>
      </c>
      <c r="AE75" s="23">
        <f>AE14*Constants!$H36*(1-Constants!$H54)</f>
        <v>74499464.611481026</v>
      </c>
      <c r="AF75" s="23">
        <f>AF14*Constants!$H36*(1-Constants!$H54)</f>
        <v>73830641.487786934</v>
      </c>
      <c r="AG75" s="23">
        <f>AG14*Constants!$H36*(1-Constants!$H54)</f>
        <v>72827406.802245781</v>
      </c>
      <c r="AH75" s="23">
        <f>AH14*Constants!$H36*(1-Constants!$H54)</f>
        <v>70635153.230137363</v>
      </c>
      <c r="AI75" s="23">
        <f>AI14*Constants!$H36*(1-Constants!$H54)</f>
        <v>68480056.498234183</v>
      </c>
      <c r="AJ75" s="23">
        <f>AJ14*Constants!$H36*(1-Constants!$H54)</f>
        <v>69698945.46235393</v>
      </c>
      <c r="AK75" s="23">
        <f>AK14*Constants!$H36*(1-Constants!$H54)</f>
        <v>68944449.372650146</v>
      </c>
      <c r="AL75" s="23">
        <f>AL14*Constants!$H36*(1-Constants!$H54)</f>
        <v>68189953.282946363</v>
      </c>
      <c r="AM75" s="23">
        <f>AM14*Constants!$H36*(1-Constants!$H54)</f>
        <v>67425190.084841922</v>
      </c>
      <c r="AN75" s="23">
        <f>AN14*Constants!$H36*(1-Constants!$H54)</f>
        <v>66660426.900853798</v>
      </c>
      <c r="AO75" s="23">
        <f>AO14*Constants!$H36*(1-Constants!$H54)</f>
        <v>65895663.716865659</v>
      </c>
      <c r="AP75" s="23">
        <f>AP14*Constants!$H36*(1-Constants!$H54)</f>
        <v>65130900.532877527</v>
      </c>
      <c r="AQ75" s="23">
        <f>AQ14*Constants!$H36*(1-Constants!$H54)</f>
        <v>64366137.334773093</v>
      </c>
      <c r="AR75" s="23">
        <f>AR14*Constants!$H36*(1-Constants!$H54)</f>
        <v>63537598.462671429</v>
      </c>
      <c r="AS75" s="23">
        <f>AS14*Constants!$H36*(1-Constants!$H54)</f>
        <v>62709059.590569779</v>
      </c>
      <c r="AT75" s="23">
        <f>AT14*Constants!$H36*(1-Constants!$H54)</f>
        <v>61880520.718468115</v>
      </c>
      <c r="AU75" s="23">
        <f>AU14*Constants!$H36*(1-Constants!$H54)</f>
        <v>61051981.846366458</v>
      </c>
      <c r="AV75" s="23">
        <f>AV14*Constants!$H36*(1-Constants!$H54)</f>
        <v>60223442.974264801</v>
      </c>
      <c r="AW75" s="23">
        <f>AW14*Constants!$H36*(1-Constants!$H54)</f>
        <v>59423033.1096159</v>
      </c>
      <c r="AX75" s="23">
        <f>AX14*Constants!$H36*(1-Constants!$H54)</f>
        <v>58622623.259083331</v>
      </c>
      <c r="AY75" s="23">
        <f>AY14*Constants!$H36*(1-Constants!$H54)</f>
        <v>57822213.394434437</v>
      </c>
      <c r="AZ75" s="23">
        <f>AZ14*Constants!$H36*(1-Constants!$H54)</f>
        <v>57021803.543901853</v>
      </c>
      <c r="BA75" s="23">
        <f>BA14*Constants!$H36*(1-Constants!$H54)</f>
        <v>56221393.693369284</v>
      </c>
      <c r="BB75" s="23">
        <f>BB14*Constants!$H36*(1-Constants!$H54)</f>
        <v>55389515.973346934</v>
      </c>
      <c r="BC75" s="23">
        <f>BC14*Constants!$H36*(1-Constants!$H54)</f>
        <v>54557638.25332462</v>
      </c>
      <c r="BD75" s="23">
        <f>BD14*Constants!$H36*(1-Constants!$H54)</f>
        <v>53725760.547418602</v>
      </c>
      <c r="BE75" s="23">
        <f>BE14*Constants!$H36*(1-Constants!$H54)</f>
        <v>52893882.827396289</v>
      </c>
      <c r="BF75" s="23">
        <f>BF14*Constants!$H36*(1-Constants!$H54)</f>
        <v>52062005.10737396</v>
      </c>
      <c r="BG75" s="23">
        <f>BG14*Constants!$H36*(1-Constants!$H54)</f>
        <v>51112393.105434217</v>
      </c>
      <c r="BH75" s="23">
        <f>BH14*Constants!$H36*(1-Constants!$H54)</f>
        <v>50162781.117610797</v>
      </c>
      <c r="BI75" s="23">
        <f>BI14*Constants!$H36*(1-Constants!$H54)</f>
        <v>49213169.115671054</v>
      </c>
      <c r="BJ75" s="23">
        <f>BJ14*Constants!$H36*(1-Constants!$H54)</f>
        <v>48263557.113731332</v>
      </c>
      <c r="BK75" s="23">
        <f>BK14*Constants!$H36*(1-Constants!$H54)</f>
        <v>47313945.111791603</v>
      </c>
      <c r="BL75" s="23">
        <f>BL14*Constants!$H36*(1-Constants!$H54)</f>
        <v>46397848.861778669</v>
      </c>
      <c r="BM75" s="23">
        <f>BM14*Constants!$H36*(1-Constants!$H54)</f>
        <v>45481752.61176578</v>
      </c>
      <c r="BN75" s="23">
        <f>BN14*Constants!$H36*(1-Constants!$H54)</f>
        <v>44565656.347636558</v>
      </c>
      <c r="BO75" s="23">
        <f>BO14*Constants!$H36*(1-Constants!$H54)</f>
        <v>43649560.097623669</v>
      </c>
      <c r="BP75" s="23">
        <f>BP14*Constants!$H36*(1-Constants!$H54)</f>
        <v>42733463.847610757</v>
      </c>
    </row>
    <row r="76" spans="1:68" x14ac:dyDescent="0.25">
      <c r="A76" t="str">
        <f t="shared" si="19"/>
        <v>3C Aggregated and non-CO2 emissions on land</v>
      </c>
      <c r="B76" t="str">
        <f t="shared" si="20"/>
        <v>3C4 Direct N2O from managed soils (N2O)</v>
      </c>
      <c r="C76" t="s">
        <v>485</v>
      </c>
      <c r="D76" t="str">
        <f t="shared" si="21"/>
        <v xml:space="preserve"> - Horses</v>
      </c>
      <c r="E76" t="str">
        <f t="shared" si="22"/>
        <v>Urine &amp; dung - Horses</v>
      </c>
      <c r="F76" t="str">
        <f t="shared" si="23"/>
        <v>kg N</v>
      </c>
      <c r="H76" s="23">
        <f>H15*Constants!$H37*(1-Constants!$H55)</f>
        <v>9085000</v>
      </c>
      <c r="I76" s="23">
        <f>I15*Constants!$H37*(1-Constants!$H55)</f>
        <v>9085000</v>
      </c>
      <c r="J76" s="23">
        <f>J15*Constants!$H37*(1-Constants!$H55)</f>
        <v>9085000</v>
      </c>
      <c r="K76" s="23">
        <f>K15*Constants!$H37*(1-Constants!$H55)</f>
        <v>9282500</v>
      </c>
      <c r="L76" s="23">
        <f>L15*Constants!$H37*(1-Constants!$H55)</f>
        <v>9480000</v>
      </c>
      <c r="M76" s="23">
        <f>M15*Constants!$H37*(1-Constants!$H55)</f>
        <v>9677500</v>
      </c>
      <c r="N76" s="23">
        <f>N15*Constants!$H37*(1-Constants!$H55)</f>
        <v>9875000</v>
      </c>
      <c r="O76" s="23">
        <f>O15*Constants!$H37*(1-Constants!$H55)</f>
        <v>10072500</v>
      </c>
      <c r="P76" s="23">
        <f>P15*Constants!$H37*(1-Constants!$H55)</f>
        <v>10270000</v>
      </c>
      <c r="Q76" s="23">
        <f>Q15*Constants!$H37*(1-Constants!$H55)</f>
        <v>10191000</v>
      </c>
      <c r="R76" s="23">
        <f>R15*Constants!$H37*(1-Constants!$H55)</f>
        <v>10665000</v>
      </c>
      <c r="S76" s="23">
        <f>S15*Constants!$H37*(1-Constants!$H55)</f>
        <v>10665000</v>
      </c>
      <c r="T76" s="23">
        <f>T15*Constants!$H37*(1-Constants!$H55)</f>
        <v>10665000</v>
      </c>
      <c r="U76" s="23">
        <f>U15*Constants!$H37*(1-Constants!$H55)</f>
        <v>10665000</v>
      </c>
      <c r="V76" s="23">
        <f>V15*Constants!$H37*(1-Constants!$H55)</f>
        <v>10665000</v>
      </c>
      <c r="W76" s="23">
        <f>W15*Constants!$H37*(1-Constants!$H55)</f>
        <v>10665000</v>
      </c>
      <c r="X76" s="23">
        <f>X15*Constants!$H37*(1-Constants!$H55)</f>
        <v>11060000</v>
      </c>
      <c r="Y76" s="23">
        <f>Y15*Constants!$H37*(1-Constants!$H55)</f>
        <v>11455000</v>
      </c>
      <c r="Z76" s="23">
        <f>Z15*Constants!$H37*(1-Constants!$H55)</f>
        <v>11771000</v>
      </c>
      <c r="AA76" s="23">
        <f>AA15*Constants!$H37*(1-Constants!$H55)</f>
        <v>11850000</v>
      </c>
      <c r="AB76" s="23">
        <f>AB15*Constants!$H37*(1-Constants!$H55)</f>
        <v>11850000</v>
      </c>
      <c r="AC76" s="23">
        <f>AC15*Constants!$H37*(1-Constants!$H55)</f>
        <v>12047500</v>
      </c>
      <c r="AD76" s="23">
        <f>AD15*Constants!$H37*(1-Constants!$H55)</f>
        <v>12166000</v>
      </c>
      <c r="AE76" s="23">
        <f>AE15*Constants!$H37*(1-Constants!$H55)</f>
        <v>12245000</v>
      </c>
      <c r="AF76" s="23">
        <f>AF15*Constants!$H37*(1-Constants!$H55)</f>
        <v>12324000</v>
      </c>
      <c r="AG76" s="23">
        <f>AG15*Constants!$H37*(1-Constants!$H55)</f>
        <v>12435587.5</v>
      </c>
      <c r="AH76" s="23">
        <f>AH15*Constants!$H37*(1-Constants!$H55)</f>
        <v>12673970</v>
      </c>
      <c r="AI76" s="23">
        <f>AI15*Constants!$H37*(1-Constants!$H55)</f>
        <v>12749454.5</v>
      </c>
      <c r="AJ76" s="23">
        <f>AJ15*Constants!$H37*(1-Constants!$H55)</f>
        <v>12539993.792057827</v>
      </c>
      <c r="AK76" s="23">
        <f>AK15*Constants!$H37*(1-Constants!$H55)</f>
        <v>12537544.351072049</v>
      </c>
      <c r="AL76" s="23">
        <f>AL15*Constants!$H37*(1-Constants!$H55)</f>
        <v>12324907.206501765</v>
      </c>
      <c r="AM76" s="23">
        <f>AM15*Constants!$H37*(1-Constants!$H55)</f>
        <v>12355240.7139019</v>
      </c>
      <c r="AN76" s="23">
        <f>AN15*Constants!$H37*(1-Constants!$H55)</f>
        <v>12382912.627351599</v>
      </c>
      <c r="AO76" s="23">
        <f>AO15*Constants!$H37*(1-Constants!$H55)</f>
        <v>12410540.975732107</v>
      </c>
      <c r="AP76" s="23">
        <f>AP15*Constants!$H37*(1-Constants!$H55)</f>
        <v>12435892.231151333</v>
      </c>
      <c r="AQ76" s="23">
        <f>AQ15*Constants!$H37*(1-Constants!$H55)</f>
        <v>12462822.042394428</v>
      </c>
      <c r="AR76" s="23">
        <f>AR15*Constants!$H37*(1-Constants!$H55)</f>
        <v>12496572.573332647</v>
      </c>
      <c r="AS76" s="23">
        <f>AS15*Constants!$H37*(1-Constants!$H55)</f>
        <v>12529144.29210517</v>
      </c>
      <c r="AT76" s="23">
        <f>AT15*Constants!$H37*(1-Constants!$H55)</f>
        <v>12563774.585945945</v>
      </c>
      <c r="AU76" s="23">
        <f>AU15*Constants!$H37*(1-Constants!$H55)</f>
        <v>12599721.969923673</v>
      </c>
      <c r="AV76" s="23">
        <f>AV15*Constants!$H37*(1-Constants!$H55)</f>
        <v>12637127.6859056</v>
      </c>
      <c r="AW76" s="23">
        <f>AW15*Constants!$H37*(1-Constants!$H55)</f>
        <v>12687105.332662955</v>
      </c>
      <c r="AX76" s="23">
        <f>AX15*Constants!$H37*(1-Constants!$H55)</f>
        <v>12732756.610018386</v>
      </c>
      <c r="AY76" s="23">
        <f>AY15*Constants!$H37*(1-Constants!$H55)</f>
        <v>12785296.028784163</v>
      </c>
      <c r="AZ76" s="23">
        <f>AZ15*Constants!$H37*(1-Constants!$H55)</f>
        <v>12842249.476249717</v>
      </c>
      <c r="BA76" s="23">
        <f>BA15*Constants!$H37*(1-Constants!$H55)</f>
        <v>12903788.536208183</v>
      </c>
      <c r="BB76" s="23">
        <f>BB15*Constants!$H37*(1-Constants!$H55)</f>
        <v>12965784.491619885</v>
      </c>
      <c r="BC76" s="23">
        <f>BC15*Constants!$H37*(1-Constants!$H55)</f>
        <v>13030450.254697116</v>
      </c>
      <c r="BD76" s="23">
        <f>BD15*Constants!$H37*(1-Constants!$H55)</f>
        <v>13095371.219509846</v>
      </c>
      <c r="BE76" s="23">
        <f>BE15*Constants!$H37*(1-Constants!$H55)</f>
        <v>13162899.893810647</v>
      </c>
      <c r="BF76" s="23">
        <f>BF15*Constants!$H37*(1-Constants!$H55)</f>
        <v>13235040.037532294</v>
      </c>
      <c r="BG76" s="23">
        <f>BG15*Constants!$H37*(1-Constants!$H55)</f>
        <v>13305958.903127169</v>
      </c>
      <c r="BH76" s="23">
        <f>BH15*Constants!$H37*(1-Constants!$H55)</f>
        <v>13379859.035322905</v>
      </c>
      <c r="BI76" s="23">
        <f>BI15*Constants!$H37*(1-Constants!$H55)</f>
        <v>13456409.855303591</v>
      </c>
      <c r="BJ76" s="23">
        <f>BJ15*Constants!$H37*(1-Constants!$H55)</f>
        <v>13536136.242160885</v>
      </c>
      <c r="BK76" s="23">
        <f>BK15*Constants!$H37*(1-Constants!$H55)</f>
        <v>13621305.444223916</v>
      </c>
      <c r="BL76" s="23">
        <f>BL15*Constants!$H37*(1-Constants!$H55)</f>
        <v>13711962.705130829</v>
      </c>
      <c r="BM76" s="23">
        <f>BM15*Constants!$H37*(1-Constants!$H55)</f>
        <v>13806886.004819371</v>
      </c>
      <c r="BN76" s="23">
        <f>BN15*Constants!$H37*(1-Constants!$H55)</f>
        <v>13901601.768301787</v>
      </c>
      <c r="BO76" s="23">
        <f>BO15*Constants!$H37*(1-Constants!$H55)</f>
        <v>14000961.596184393</v>
      </c>
      <c r="BP76" s="23">
        <f>BP15*Constants!$H37*(1-Constants!$H55)</f>
        <v>14105365.870925574</v>
      </c>
    </row>
    <row r="77" spans="1:68" x14ac:dyDescent="0.25">
      <c r="A77" t="str">
        <f t="shared" si="19"/>
        <v>3C Aggregated and non-CO2 emissions on land</v>
      </c>
      <c r="B77" t="str">
        <f t="shared" si="20"/>
        <v>3C4 Direct N2O from managed soils (N2O)</v>
      </c>
      <c r="C77" t="s">
        <v>485</v>
      </c>
      <c r="D77" t="str">
        <f t="shared" si="21"/>
        <v xml:space="preserve"> - Mules &amp; Asses</v>
      </c>
      <c r="E77" t="str">
        <f t="shared" si="22"/>
        <v>Urine &amp; dung - Mules &amp; Asses</v>
      </c>
      <c r="F77" t="str">
        <f t="shared" si="23"/>
        <v>kg N</v>
      </c>
      <c r="H77" s="23">
        <f>H16*Constants!$H38*(1-Constants!$H56)</f>
        <v>2956800</v>
      </c>
      <c r="I77" s="23">
        <f>I16*Constants!$H38*(1-Constants!$H56)</f>
        <v>2956800</v>
      </c>
      <c r="J77" s="23">
        <f>J16*Constants!$H38*(1-Constants!$H56)</f>
        <v>2956800</v>
      </c>
      <c r="K77" s="23">
        <f>K16*Constants!$H38*(1-Constants!$H56)</f>
        <v>2956800</v>
      </c>
      <c r="L77" s="23">
        <f>L16*Constants!$H38*(1-Constants!$H56)</f>
        <v>2956800</v>
      </c>
      <c r="M77" s="23">
        <f>M16*Constants!$H38*(1-Constants!$H56)</f>
        <v>2956800</v>
      </c>
      <c r="N77" s="23">
        <f>N16*Constants!$H38*(1-Constants!$H56)</f>
        <v>2956800</v>
      </c>
      <c r="O77" s="23">
        <f>O16*Constants!$H38*(1-Constants!$H56)</f>
        <v>2956800</v>
      </c>
      <c r="P77" s="23">
        <f>P16*Constants!$H38*(1-Constants!$H56)</f>
        <v>2956800</v>
      </c>
      <c r="Q77" s="23">
        <f>Q16*Constants!$H38*(1-Constants!$H56)</f>
        <v>2956800</v>
      </c>
      <c r="R77" s="23">
        <f>R16*Constants!$H38*(1-Constants!$H56)</f>
        <v>2164800</v>
      </c>
      <c r="S77" s="23">
        <f>S16*Constants!$H38*(1-Constants!$H56)</f>
        <v>2164800</v>
      </c>
      <c r="T77" s="23">
        <f>T16*Constants!$H38*(1-Constants!$H56)</f>
        <v>2164800</v>
      </c>
      <c r="U77" s="23">
        <f>U16*Constants!$H38*(1-Constants!$H56)</f>
        <v>2164800</v>
      </c>
      <c r="V77" s="23">
        <f>V16*Constants!$H38*(1-Constants!$H56)</f>
        <v>2164800</v>
      </c>
      <c r="W77" s="23">
        <f>W16*Constants!$H38*(1-Constants!$H56)</f>
        <v>2164800</v>
      </c>
      <c r="X77" s="23">
        <f>X16*Constants!$H38*(1-Constants!$H56)</f>
        <v>2165460</v>
      </c>
      <c r="Y77" s="23">
        <f>Y16*Constants!$H38*(1-Constants!$H56)</f>
        <v>2172720</v>
      </c>
      <c r="Z77" s="23">
        <f>Z16*Constants!$H38*(1-Constants!$H56)</f>
        <v>2174040</v>
      </c>
      <c r="AA77" s="23">
        <f>AA16*Constants!$H38*(1-Constants!$H56)</f>
        <v>2175360</v>
      </c>
      <c r="AB77" s="23">
        <f>AB16*Constants!$H38*(1-Constants!$H56)</f>
        <v>2195160</v>
      </c>
      <c r="AC77" s="23">
        <f>AC16*Constants!$H38*(1-Constants!$H56)</f>
        <v>2204400</v>
      </c>
      <c r="AD77" s="23">
        <f>AD16*Constants!$H38*(1-Constants!$H56)</f>
        <v>2204400</v>
      </c>
      <c r="AE77" s="23">
        <f>AE16*Constants!$H38*(1-Constants!$H56)</f>
        <v>2250600</v>
      </c>
      <c r="AF77" s="23">
        <f>AF16*Constants!$H38*(1-Constants!$H56)</f>
        <v>2257200</v>
      </c>
      <c r="AG77" s="23">
        <f>AG16*Constants!$H38*(1-Constants!$H56)</f>
        <v>2231182.7999999998</v>
      </c>
      <c r="AH77" s="23">
        <f>AH16*Constants!$H38*(1-Constants!$H56)</f>
        <v>2136657.6</v>
      </c>
      <c r="AI77" s="23">
        <f>AI16*Constants!$H38*(1-Constants!$H56)</f>
        <v>2149224</v>
      </c>
      <c r="AJ77" s="23">
        <f>AJ16*Constants!$H38*(1-Constants!$H56)</f>
        <v>2112000</v>
      </c>
      <c r="AK77" s="23">
        <f>AK16*Constants!$H38*(1-Constants!$H56)</f>
        <v>2112000</v>
      </c>
      <c r="AL77" s="23">
        <f>AL16*Constants!$H38*(1-Constants!$H56)</f>
        <v>2112000</v>
      </c>
      <c r="AM77" s="23">
        <f>AM16*Constants!$H38*(1-Constants!$H56)</f>
        <v>2112000</v>
      </c>
      <c r="AN77" s="23">
        <f>AN16*Constants!$H38*(1-Constants!$H56)</f>
        <v>2112000</v>
      </c>
      <c r="AO77" s="23">
        <f>AO16*Constants!$H38*(1-Constants!$H56)</f>
        <v>2112000</v>
      </c>
      <c r="AP77" s="23">
        <f>AP16*Constants!$H38*(1-Constants!$H56)</f>
        <v>2112000</v>
      </c>
      <c r="AQ77" s="23">
        <f>AQ16*Constants!$H38*(1-Constants!$H56)</f>
        <v>2112000</v>
      </c>
      <c r="AR77" s="23">
        <f>AR16*Constants!$H38*(1-Constants!$H56)</f>
        <v>2112000</v>
      </c>
      <c r="AS77" s="23">
        <f>AS16*Constants!$H38*(1-Constants!$H56)</f>
        <v>2112000</v>
      </c>
      <c r="AT77" s="23">
        <f>AT16*Constants!$H38*(1-Constants!$H56)</f>
        <v>2112000</v>
      </c>
      <c r="AU77" s="23">
        <f>AU16*Constants!$H38*(1-Constants!$H56)</f>
        <v>2112000</v>
      </c>
      <c r="AV77" s="23">
        <f>AV16*Constants!$H38*(1-Constants!$H56)</f>
        <v>2112000</v>
      </c>
      <c r="AW77" s="23">
        <f>AW16*Constants!$H38*(1-Constants!$H56)</f>
        <v>2112000</v>
      </c>
      <c r="AX77" s="23">
        <f>AX16*Constants!$H38*(1-Constants!$H56)</f>
        <v>2112000</v>
      </c>
      <c r="AY77" s="23">
        <f>AY16*Constants!$H38*(1-Constants!$H56)</f>
        <v>2112000</v>
      </c>
      <c r="AZ77" s="23">
        <f>AZ16*Constants!$H38*(1-Constants!$H56)</f>
        <v>2112000</v>
      </c>
      <c r="BA77" s="23">
        <f>BA16*Constants!$H38*(1-Constants!$H56)</f>
        <v>2112000</v>
      </c>
      <c r="BB77" s="23">
        <f>BB16*Constants!$H38*(1-Constants!$H56)</f>
        <v>2112000</v>
      </c>
      <c r="BC77" s="23">
        <f>BC16*Constants!$H38*(1-Constants!$H56)</f>
        <v>2112000</v>
      </c>
      <c r="BD77" s="23">
        <f>BD16*Constants!$H38*(1-Constants!$H56)</f>
        <v>2112000</v>
      </c>
      <c r="BE77" s="23">
        <f>BE16*Constants!$H38*(1-Constants!$H56)</f>
        <v>2112000</v>
      </c>
      <c r="BF77" s="23">
        <f>BF16*Constants!$H38*(1-Constants!$H56)</f>
        <v>2112000</v>
      </c>
      <c r="BG77" s="23">
        <f>BG16*Constants!$H38*(1-Constants!$H56)</f>
        <v>2112000</v>
      </c>
      <c r="BH77" s="23">
        <f>BH16*Constants!$H38*(1-Constants!$H56)</f>
        <v>2112000</v>
      </c>
      <c r="BI77" s="23">
        <f>BI16*Constants!$H38*(1-Constants!$H56)</f>
        <v>2112000</v>
      </c>
      <c r="BJ77" s="23">
        <f>BJ16*Constants!$H38*(1-Constants!$H56)</f>
        <v>2112000</v>
      </c>
      <c r="BK77" s="23">
        <f>BK16*Constants!$H38*(1-Constants!$H56)</f>
        <v>2112000</v>
      </c>
      <c r="BL77" s="23">
        <f>BL16*Constants!$H38*(1-Constants!$H56)</f>
        <v>2112000</v>
      </c>
      <c r="BM77" s="23">
        <f>BM16*Constants!$H38*(1-Constants!$H56)</f>
        <v>2112000</v>
      </c>
      <c r="BN77" s="23">
        <f>BN16*Constants!$H38*(1-Constants!$H56)</f>
        <v>2112000</v>
      </c>
      <c r="BO77" s="23">
        <f>BO16*Constants!$H38*(1-Constants!$H56)</f>
        <v>2112000</v>
      </c>
      <c r="BP77" s="23">
        <f>BP16*Constants!$H38*(1-Constants!$H56)</f>
        <v>2112000</v>
      </c>
    </row>
    <row r="78" spans="1:68" x14ac:dyDescent="0.25">
      <c r="A78" t="str">
        <f t="shared" si="19"/>
        <v>3C Aggregated and non-CO2 emissions on land</v>
      </c>
      <c r="B78" t="str">
        <f t="shared" si="20"/>
        <v>3C4 Direct N2O from managed soils (N2O)</v>
      </c>
      <c r="C78" t="s">
        <v>485</v>
      </c>
      <c r="D78" t="str">
        <f t="shared" si="21"/>
        <v xml:space="preserve"> - Commercial swine</v>
      </c>
      <c r="E78" t="str">
        <f t="shared" si="22"/>
        <v>Urine &amp; dung - Commercial swine</v>
      </c>
      <c r="F78" t="str">
        <f t="shared" si="23"/>
        <v>kg N</v>
      </c>
      <c r="H78" s="23">
        <f>H17*Constants!$H39*(1-Constants!$H57)</f>
        <v>0</v>
      </c>
      <c r="I78" s="23">
        <f>I17*Constants!$H39*(1-Constants!$H57)</f>
        <v>0</v>
      </c>
      <c r="J78" s="23">
        <f>J17*Constants!$H39*(1-Constants!$H57)</f>
        <v>0</v>
      </c>
      <c r="K78" s="23">
        <f>K17*Constants!$H39*(1-Constants!$H57)</f>
        <v>0</v>
      </c>
      <c r="L78" s="23">
        <f>L17*Constants!$H39*(1-Constants!$H57)</f>
        <v>0</v>
      </c>
      <c r="M78" s="23">
        <f>M17*Constants!$H39*(1-Constants!$H57)</f>
        <v>0</v>
      </c>
      <c r="N78" s="23">
        <f>N17*Constants!$H39*(1-Constants!$H57)</f>
        <v>0</v>
      </c>
      <c r="O78" s="23">
        <f>O17*Constants!$H39*(1-Constants!$H57)</f>
        <v>0</v>
      </c>
      <c r="P78" s="23">
        <f>P17*Constants!$H39*(1-Constants!$H57)</f>
        <v>0</v>
      </c>
      <c r="Q78" s="23">
        <f>Q17*Constants!$H39*(1-Constants!$H57)</f>
        <v>0</v>
      </c>
      <c r="R78" s="23">
        <f>R17*Constants!$H39*(1-Constants!$H57)</f>
        <v>0</v>
      </c>
      <c r="S78" s="23">
        <f>S17*Constants!$H39*(1-Constants!$H57)</f>
        <v>0</v>
      </c>
      <c r="T78" s="23">
        <f>T17*Constants!$H39*(1-Constants!$H57)</f>
        <v>0</v>
      </c>
      <c r="U78" s="23">
        <f>U17*Constants!$H39*(1-Constants!$H57)</f>
        <v>0</v>
      </c>
      <c r="V78" s="23">
        <f>V17*Constants!$H39*(1-Constants!$H57)</f>
        <v>0</v>
      </c>
      <c r="W78" s="23">
        <f>W17*Constants!$H39*(1-Constants!$H57)</f>
        <v>0</v>
      </c>
      <c r="X78" s="23">
        <f>X17*Constants!$H39*(1-Constants!$H57)</f>
        <v>0</v>
      </c>
      <c r="Y78" s="23">
        <f>Y17*Constants!$H39*(1-Constants!$H57)</f>
        <v>0</v>
      </c>
      <c r="Z78" s="23">
        <f>Z17*Constants!$H39*(1-Constants!$H57)</f>
        <v>0</v>
      </c>
      <c r="AA78" s="23">
        <f>AA17*Constants!$H39*(1-Constants!$H57)</f>
        <v>0</v>
      </c>
      <c r="AB78" s="23">
        <f>AB17*Constants!$H39*(1-Constants!$H57)</f>
        <v>0</v>
      </c>
      <c r="AC78" s="23">
        <f>AC17*Constants!$H39*(1-Constants!$H57)</f>
        <v>0</v>
      </c>
      <c r="AD78" s="23">
        <f>AD17*Constants!$H39*(1-Constants!$H57)</f>
        <v>0</v>
      </c>
      <c r="AE78" s="23">
        <f>AE17*Constants!$H39*(1-Constants!$H57)</f>
        <v>0</v>
      </c>
      <c r="AF78" s="23">
        <f>AF17*Constants!$H39*(1-Constants!$H57)</f>
        <v>0</v>
      </c>
      <c r="AG78" s="23">
        <f>AG17*Constants!$H39*(1-Constants!$H57)</f>
        <v>0</v>
      </c>
      <c r="AH78" s="23">
        <f>AH17*Constants!$H39*(1-Constants!$H57)</f>
        <v>0</v>
      </c>
      <c r="AI78" s="23">
        <f>AI17*Constants!$H39*(1-Constants!$H57)</f>
        <v>0</v>
      </c>
      <c r="AJ78" s="23">
        <f>AJ17*Constants!$H39*(1-Constants!$H57)</f>
        <v>0</v>
      </c>
      <c r="AK78" s="23">
        <f>AK17*Constants!$H39*(1-Constants!$H57)</f>
        <v>0</v>
      </c>
      <c r="AL78" s="23">
        <f>AL17*Constants!$H39*(1-Constants!$H57)</f>
        <v>0</v>
      </c>
      <c r="AM78" s="23">
        <f>AM17*Constants!$H39*(1-Constants!$H57)</f>
        <v>0</v>
      </c>
      <c r="AN78" s="23">
        <f>AN17*Constants!$H39*(1-Constants!$H57)</f>
        <v>0</v>
      </c>
      <c r="AO78" s="23">
        <f>AO17*Constants!$H39*(1-Constants!$H57)</f>
        <v>0</v>
      </c>
      <c r="AP78" s="23">
        <f>AP17*Constants!$H39*(1-Constants!$H57)</f>
        <v>0</v>
      </c>
      <c r="AQ78" s="23">
        <f>AQ17*Constants!$H39*(1-Constants!$H57)</f>
        <v>0</v>
      </c>
      <c r="AR78" s="23">
        <f>AR17*Constants!$H39*(1-Constants!$H57)</f>
        <v>0</v>
      </c>
      <c r="AS78" s="23">
        <f>AS17*Constants!$H39*(1-Constants!$H57)</f>
        <v>0</v>
      </c>
      <c r="AT78" s="23">
        <f>AT17*Constants!$H39*(1-Constants!$H57)</f>
        <v>0</v>
      </c>
      <c r="AU78" s="23">
        <f>AU17*Constants!$H39*(1-Constants!$H57)</f>
        <v>0</v>
      </c>
      <c r="AV78" s="23">
        <f>AV17*Constants!$H39*(1-Constants!$H57)</f>
        <v>0</v>
      </c>
      <c r="AW78" s="23">
        <f>AW17*Constants!$H39*(1-Constants!$H57)</f>
        <v>0</v>
      </c>
      <c r="AX78" s="23">
        <f>AX17*Constants!$H39*(1-Constants!$H57)</f>
        <v>0</v>
      </c>
      <c r="AY78" s="23">
        <f>AY17*Constants!$H39*(1-Constants!$H57)</f>
        <v>0</v>
      </c>
      <c r="AZ78" s="23">
        <f>AZ17*Constants!$H39*(1-Constants!$H57)</f>
        <v>0</v>
      </c>
      <c r="BA78" s="23">
        <f>BA17*Constants!$H39*(1-Constants!$H57)</f>
        <v>0</v>
      </c>
      <c r="BB78" s="23">
        <f>BB17*Constants!$H39*(1-Constants!$H57)</f>
        <v>0</v>
      </c>
      <c r="BC78" s="23">
        <f>BC17*Constants!$H39*(1-Constants!$H57)</f>
        <v>0</v>
      </c>
      <c r="BD78" s="23">
        <f>BD17*Constants!$H39*(1-Constants!$H57)</f>
        <v>0</v>
      </c>
      <c r="BE78" s="23">
        <f>BE17*Constants!$H39*(1-Constants!$H57)</f>
        <v>0</v>
      </c>
      <c r="BF78" s="23">
        <f>BF17*Constants!$H39*(1-Constants!$H57)</f>
        <v>0</v>
      </c>
      <c r="BG78" s="23">
        <f>BG17*Constants!$H39*(1-Constants!$H57)</f>
        <v>0</v>
      </c>
      <c r="BH78" s="23">
        <f>BH17*Constants!$H39*(1-Constants!$H57)</f>
        <v>0</v>
      </c>
      <c r="BI78" s="23">
        <f>BI17*Constants!$H39*(1-Constants!$H57)</f>
        <v>0</v>
      </c>
      <c r="BJ78" s="23">
        <f>BJ17*Constants!$H39*(1-Constants!$H57)</f>
        <v>0</v>
      </c>
      <c r="BK78" s="23">
        <f>BK17*Constants!$H39*(1-Constants!$H57)</f>
        <v>0</v>
      </c>
      <c r="BL78" s="23">
        <f>BL17*Constants!$H39*(1-Constants!$H57)</f>
        <v>0</v>
      </c>
      <c r="BM78" s="23">
        <f>BM17*Constants!$H39*(1-Constants!$H57)</f>
        <v>0</v>
      </c>
      <c r="BN78" s="23">
        <f>BN17*Constants!$H39*(1-Constants!$H57)</f>
        <v>0</v>
      </c>
      <c r="BO78" s="23">
        <f>BO17*Constants!$H39*(1-Constants!$H57)</f>
        <v>0</v>
      </c>
      <c r="BP78" s="23">
        <f>BP17*Constants!$H39*(1-Constants!$H57)</f>
        <v>0</v>
      </c>
    </row>
    <row r="79" spans="1:68" x14ac:dyDescent="0.25">
      <c r="A79" t="str">
        <f t="shared" si="19"/>
        <v>3C Aggregated and non-CO2 emissions on land</v>
      </c>
      <c r="B79" t="str">
        <f t="shared" si="20"/>
        <v>3C4 Direct N2O from managed soils (N2O)</v>
      </c>
      <c r="C79" t="s">
        <v>485</v>
      </c>
      <c r="D79" t="str">
        <f>D63</f>
        <v xml:space="preserve"> - Subsistence swine</v>
      </c>
      <c r="E79" t="str">
        <f t="shared" si="22"/>
        <v>Urine &amp; dung - Subsistence swine</v>
      </c>
      <c r="F79" t="str">
        <f t="shared" si="23"/>
        <v>kg N</v>
      </c>
      <c r="H79" s="23">
        <f>H18*Constants!$H40*(1-Constants!$H58)</f>
        <v>0</v>
      </c>
      <c r="I79" s="23">
        <f>I18*Constants!$H40*(1-Constants!$H58)</f>
        <v>0</v>
      </c>
      <c r="J79" s="23">
        <f>J18*Constants!$H40*(1-Constants!$H58)</f>
        <v>0</v>
      </c>
      <c r="K79" s="23">
        <f>K18*Constants!$H40*(1-Constants!$H58)</f>
        <v>0</v>
      </c>
      <c r="L79" s="23">
        <f>L18*Constants!$H40*(1-Constants!$H58)</f>
        <v>0</v>
      </c>
      <c r="M79" s="23">
        <f>M18*Constants!$H40*(1-Constants!$H58)</f>
        <v>0</v>
      </c>
      <c r="N79" s="23">
        <f>N18*Constants!$H40*(1-Constants!$H58)</f>
        <v>0</v>
      </c>
      <c r="O79" s="23">
        <f>O18*Constants!$H40*(1-Constants!$H58)</f>
        <v>0</v>
      </c>
      <c r="P79" s="23">
        <f>P18*Constants!$H40*(1-Constants!$H58)</f>
        <v>0</v>
      </c>
      <c r="Q79" s="23">
        <f>Q18*Constants!$H40*(1-Constants!$H58)</f>
        <v>0</v>
      </c>
      <c r="R79" s="23">
        <f>R18*Constants!$H40*(1-Constants!$H58)</f>
        <v>0</v>
      </c>
      <c r="S79" s="23">
        <f>S18*Constants!$H40*(1-Constants!$H58)</f>
        <v>0</v>
      </c>
      <c r="T79" s="23">
        <f>T18*Constants!$H40*(1-Constants!$H58)</f>
        <v>0</v>
      </c>
      <c r="U79" s="23">
        <f>U18*Constants!$H40*(1-Constants!$H58)</f>
        <v>0</v>
      </c>
      <c r="V79" s="23">
        <f>V18*Constants!$H40*(1-Constants!$H58)</f>
        <v>0</v>
      </c>
      <c r="W79" s="23">
        <f>W18*Constants!$H40*(1-Constants!$H58)</f>
        <v>0</v>
      </c>
      <c r="X79" s="23">
        <f>X18*Constants!$H40*(1-Constants!$H58)</f>
        <v>0</v>
      </c>
      <c r="Y79" s="23">
        <f>Y18*Constants!$H40*(1-Constants!$H58)</f>
        <v>0</v>
      </c>
      <c r="Z79" s="23">
        <f>Z18*Constants!$H40*(1-Constants!$H58)</f>
        <v>0</v>
      </c>
      <c r="AA79" s="23">
        <f>AA18*Constants!$H40*(1-Constants!$H58)</f>
        <v>0</v>
      </c>
      <c r="AB79" s="23">
        <f>AB18*Constants!$H40*(1-Constants!$H58)</f>
        <v>0</v>
      </c>
      <c r="AC79" s="23">
        <f>AC18*Constants!$H40*(1-Constants!$H58)</f>
        <v>0</v>
      </c>
      <c r="AD79" s="23">
        <f>AD18*Constants!$H40*(1-Constants!$H58)</f>
        <v>0</v>
      </c>
      <c r="AE79" s="23">
        <f>AE18*Constants!$H40*(1-Constants!$H58)</f>
        <v>0</v>
      </c>
      <c r="AF79" s="23">
        <f>AF18*Constants!$H40*(1-Constants!$H58)</f>
        <v>0</v>
      </c>
      <c r="AG79" s="23">
        <f>AG18*Constants!$H40*(1-Constants!$H58)</f>
        <v>0</v>
      </c>
      <c r="AH79" s="23">
        <f>AH18*Constants!$H40*(1-Constants!$H58)</f>
        <v>0</v>
      </c>
      <c r="AI79" s="23">
        <f>AI18*Constants!$H40*(1-Constants!$H58)</f>
        <v>0</v>
      </c>
      <c r="AJ79" s="23">
        <f>AJ18*Constants!$H40*(1-Constants!$H58)</f>
        <v>0</v>
      </c>
      <c r="AK79" s="23">
        <f>AK18*Constants!$H40*(1-Constants!$H58)</f>
        <v>0</v>
      </c>
      <c r="AL79" s="23">
        <f>AL18*Constants!$H40*(1-Constants!$H58)</f>
        <v>0</v>
      </c>
      <c r="AM79" s="23">
        <f>AM18*Constants!$H40*(1-Constants!$H58)</f>
        <v>0</v>
      </c>
      <c r="AN79" s="23">
        <f>AN18*Constants!$H40*(1-Constants!$H58)</f>
        <v>0</v>
      </c>
      <c r="AO79" s="23">
        <f>AO18*Constants!$H40*(1-Constants!$H58)</f>
        <v>0</v>
      </c>
      <c r="AP79" s="23">
        <f>AP18*Constants!$H40*(1-Constants!$H58)</f>
        <v>0</v>
      </c>
      <c r="AQ79" s="23">
        <f>AQ18*Constants!$H40*(1-Constants!$H58)</f>
        <v>0</v>
      </c>
      <c r="AR79" s="23">
        <f>AR18*Constants!$H40*(1-Constants!$H58)</f>
        <v>0</v>
      </c>
      <c r="AS79" s="23">
        <f>AS18*Constants!$H40*(1-Constants!$H58)</f>
        <v>0</v>
      </c>
      <c r="AT79" s="23">
        <f>AT18*Constants!$H40*(1-Constants!$H58)</f>
        <v>0</v>
      </c>
      <c r="AU79" s="23">
        <f>AU18*Constants!$H40*(1-Constants!$H58)</f>
        <v>0</v>
      </c>
      <c r="AV79" s="23">
        <f>AV18*Constants!$H40*(1-Constants!$H58)</f>
        <v>0</v>
      </c>
      <c r="AW79" s="23">
        <f>AW18*Constants!$H40*(1-Constants!$H58)</f>
        <v>0</v>
      </c>
      <c r="AX79" s="23">
        <f>AX18*Constants!$H40*(1-Constants!$H58)</f>
        <v>0</v>
      </c>
      <c r="AY79" s="23">
        <f>AY18*Constants!$H40*(1-Constants!$H58)</f>
        <v>0</v>
      </c>
      <c r="AZ79" s="23">
        <f>AZ18*Constants!$H40*(1-Constants!$H58)</f>
        <v>0</v>
      </c>
      <c r="BA79" s="23">
        <f>BA18*Constants!$H40*(1-Constants!$H58)</f>
        <v>0</v>
      </c>
      <c r="BB79" s="23">
        <f>BB18*Constants!$H40*(1-Constants!$H58)</f>
        <v>0</v>
      </c>
      <c r="BC79" s="23">
        <f>BC18*Constants!$H40*(1-Constants!$H58)</f>
        <v>0</v>
      </c>
      <c r="BD79" s="23">
        <f>BD18*Constants!$H40*(1-Constants!$H58)</f>
        <v>0</v>
      </c>
      <c r="BE79" s="23">
        <f>BE18*Constants!$H40*(1-Constants!$H58)</f>
        <v>0</v>
      </c>
      <c r="BF79" s="23">
        <f>BF18*Constants!$H40*(1-Constants!$H58)</f>
        <v>0</v>
      </c>
      <c r="BG79" s="23">
        <f>BG18*Constants!$H40*(1-Constants!$H58)</f>
        <v>0</v>
      </c>
      <c r="BH79" s="23">
        <f>BH18*Constants!$H40*(1-Constants!$H58)</f>
        <v>0</v>
      </c>
      <c r="BI79" s="23">
        <f>BI18*Constants!$H40*(1-Constants!$H58)</f>
        <v>0</v>
      </c>
      <c r="BJ79" s="23">
        <f>BJ18*Constants!$H40*(1-Constants!$H58)</f>
        <v>0</v>
      </c>
      <c r="BK79" s="23">
        <f>BK18*Constants!$H40*(1-Constants!$H58)</f>
        <v>0</v>
      </c>
      <c r="BL79" s="23">
        <f>BL18*Constants!$H40*(1-Constants!$H58)</f>
        <v>0</v>
      </c>
      <c r="BM79" s="23">
        <f>BM18*Constants!$H40*(1-Constants!$H58)</f>
        <v>0</v>
      </c>
      <c r="BN79" s="23">
        <f>BN18*Constants!$H40*(1-Constants!$H58)</f>
        <v>0</v>
      </c>
      <c r="BO79" s="23">
        <f>BO18*Constants!$H40*(1-Constants!$H58)</f>
        <v>0</v>
      </c>
      <c r="BP79" s="23">
        <f>BP18*Constants!$H40*(1-Constants!$H58)</f>
        <v>0</v>
      </c>
    </row>
    <row r="80" spans="1:68" x14ac:dyDescent="0.25">
      <c r="A80" t="str">
        <f t="shared" si="19"/>
        <v>3C Aggregated and non-CO2 emissions on land</v>
      </c>
      <c r="B80" t="str">
        <f t="shared" si="20"/>
        <v>3C4 Direct N2O from managed soils (N2O)</v>
      </c>
      <c r="C80" t="s">
        <v>485</v>
      </c>
      <c r="D80" t="str">
        <f t="shared" si="21"/>
        <v xml:space="preserve"> - Commercial layers</v>
      </c>
      <c r="E80" t="str">
        <f t="shared" ref="E80:E81" si="24">C80&amp;D80</f>
        <v>Urine &amp; dung - Commercial layers</v>
      </c>
      <c r="F80" t="str">
        <f t="shared" ref="F80:F81" si="25">F79</f>
        <v>kg N</v>
      </c>
      <c r="H80" s="23">
        <f>H19*Constants!$H41*(1-Constants!$H59)</f>
        <v>0</v>
      </c>
      <c r="I80" s="23">
        <f>I19*Constants!$H41*(1-Constants!$H59)</f>
        <v>0</v>
      </c>
      <c r="J80" s="23">
        <f>J19*Constants!$H41*(1-Constants!$H59)</f>
        <v>0</v>
      </c>
      <c r="K80" s="23">
        <f>K19*Constants!$H41*(1-Constants!$H59)</f>
        <v>0</v>
      </c>
      <c r="L80" s="23">
        <f>L19*Constants!$H41*(1-Constants!$H59)</f>
        <v>0</v>
      </c>
      <c r="M80" s="23">
        <f>M19*Constants!$H41*(1-Constants!$H59)</f>
        <v>0</v>
      </c>
      <c r="N80" s="23">
        <f>N19*Constants!$H41*(1-Constants!$H59)</f>
        <v>0</v>
      </c>
      <c r="O80" s="23">
        <f>O19*Constants!$H41*(1-Constants!$H59)</f>
        <v>0</v>
      </c>
      <c r="P80" s="23">
        <f>P19*Constants!$H41*(1-Constants!$H59)</f>
        <v>0</v>
      </c>
      <c r="Q80" s="23">
        <f>Q19*Constants!$H41*(1-Constants!$H59)</f>
        <v>0</v>
      </c>
      <c r="R80" s="23">
        <f>R19*Constants!$H41*(1-Constants!$H59)</f>
        <v>0</v>
      </c>
      <c r="S80" s="23">
        <f>S19*Constants!$H41*(1-Constants!$H59)</f>
        <v>0</v>
      </c>
      <c r="T80" s="23">
        <f>T19*Constants!$H41*(1-Constants!$H59)</f>
        <v>0</v>
      </c>
      <c r="U80" s="23">
        <f>U19*Constants!$H41*(1-Constants!$H59)</f>
        <v>0</v>
      </c>
      <c r="V80" s="23">
        <f>V19*Constants!$H41*(1-Constants!$H59)</f>
        <v>0</v>
      </c>
      <c r="W80" s="23">
        <f>W19*Constants!$H41*(1-Constants!$H59)</f>
        <v>0</v>
      </c>
      <c r="X80" s="23">
        <f>X19*Constants!$H41*(1-Constants!$H59)</f>
        <v>0</v>
      </c>
      <c r="Y80" s="23">
        <f>Y19*Constants!$H41*(1-Constants!$H59)</f>
        <v>0</v>
      </c>
      <c r="Z80" s="23">
        <f>Z19*Constants!$H41*(1-Constants!$H59)</f>
        <v>0</v>
      </c>
      <c r="AA80" s="23">
        <f>AA19*Constants!$H41*(1-Constants!$H59)</f>
        <v>0</v>
      </c>
      <c r="AB80" s="23">
        <f>AB19*Constants!$H41*(1-Constants!$H59)</f>
        <v>0</v>
      </c>
      <c r="AC80" s="23">
        <f>AC19*Constants!$H41*(1-Constants!$H59)</f>
        <v>0</v>
      </c>
      <c r="AD80" s="23">
        <f>AD19*Constants!$H41*(1-Constants!$H59)</f>
        <v>0</v>
      </c>
      <c r="AE80" s="23">
        <f>AE19*Constants!$H41*(1-Constants!$H59)</f>
        <v>0</v>
      </c>
      <c r="AF80" s="23">
        <f>AF19*Constants!$H41*(1-Constants!$H59)</f>
        <v>0</v>
      </c>
      <c r="AG80" s="23">
        <f>AG19*Constants!$H41*(1-Constants!$H59)</f>
        <v>0</v>
      </c>
      <c r="AH80" s="23">
        <f>AH19*Constants!$H41*(1-Constants!$H59)</f>
        <v>0</v>
      </c>
      <c r="AI80" s="23">
        <f>AI19*Constants!$H41*(1-Constants!$H59)</f>
        <v>0</v>
      </c>
      <c r="AJ80" s="23">
        <f>AJ19*Constants!$H41*(1-Constants!$H59)</f>
        <v>0</v>
      </c>
      <c r="AK80" s="23">
        <f>AK19*Constants!$H41*(1-Constants!$H59)</f>
        <v>0</v>
      </c>
      <c r="AL80" s="23">
        <f>AL19*Constants!$H41*(1-Constants!$H59)</f>
        <v>0</v>
      </c>
      <c r="AM80" s="23">
        <f>AM19*Constants!$H41*(1-Constants!$H59)</f>
        <v>0</v>
      </c>
      <c r="AN80" s="23">
        <f>AN19*Constants!$H41*(1-Constants!$H59)</f>
        <v>0</v>
      </c>
      <c r="AO80" s="23">
        <f>AO19*Constants!$H41*(1-Constants!$H59)</f>
        <v>0</v>
      </c>
      <c r="AP80" s="23">
        <f>AP19*Constants!$H41*(1-Constants!$H59)</f>
        <v>0</v>
      </c>
      <c r="AQ80" s="23">
        <f>AQ19*Constants!$H41*(1-Constants!$H59)</f>
        <v>0</v>
      </c>
      <c r="AR80" s="23">
        <f>AR19*Constants!$H41*(1-Constants!$H59)</f>
        <v>0</v>
      </c>
      <c r="AS80" s="23">
        <f>AS19*Constants!$H41*(1-Constants!$H59)</f>
        <v>0</v>
      </c>
      <c r="AT80" s="23">
        <f>AT19*Constants!$H41*(1-Constants!$H59)</f>
        <v>0</v>
      </c>
      <c r="AU80" s="23">
        <f>AU19*Constants!$H41*(1-Constants!$H59)</f>
        <v>0</v>
      </c>
      <c r="AV80" s="23">
        <f>AV19*Constants!$H41*(1-Constants!$H59)</f>
        <v>0</v>
      </c>
      <c r="AW80" s="23">
        <f>AW19*Constants!$H41*(1-Constants!$H59)</f>
        <v>0</v>
      </c>
      <c r="AX80" s="23">
        <f>AX19*Constants!$H41*(1-Constants!$H59)</f>
        <v>0</v>
      </c>
      <c r="AY80" s="23">
        <f>AY19*Constants!$H41*(1-Constants!$H59)</f>
        <v>0</v>
      </c>
      <c r="AZ80" s="23">
        <f>AZ19*Constants!$H41*(1-Constants!$H59)</f>
        <v>0</v>
      </c>
      <c r="BA80" s="23">
        <f>BA19*Constants!$H41*(1-Constants!$H59)</f>
        <v>0</v>
      </c>
      <c r="BB80" s="23">
        <f>BB19*Constants!$H41*(1-Constants!$H59)</f>
        <v>0</v>
      </c>
      <c r="BC80" s="23">
        <f>BC19*Constants!$H41*(1-Constants!$H59)</f>
        <v>0</v>
      </c>
      <c r="BD80" s="23">
        <f>BD19*Constants!$H41*(1-Constants!$H59)</f>
        <v>0</v>
      </c>
      <c r="BE80" s="23">
        <f>BE19*Constants!$H41*(1-Constants!$H59)</f>
        <v>0</v>
      </c>
      <c r="BF80" s="23">
        <f>BF19*Constants!$H41*(1-Constants!$H59)</f>
        <v>0</v>
      </c>
      <c r="BG80" s="23">
        <f>BG19*Constants!$H41*(1-Constants!$H59)</f>
        <v>0</v>
      </c>
      <c r="BH80" s="23">
        <f>BH19*Constants!$H41*(1-Constants!$H59)</f>
        <v>0</v>
      </c>
      <c r="BI80" s="23">
        <f>BI19*Constants!$H41*(1-Constants!$H59)</f>
        <v>0</v>
      </c>
      <c r="BJ80" s="23">
        <f>BJ19*Constants!$H41*(1-Constants!$H59)</f>
        <v>0</v>
      </c>
      <c r="BK80" s="23">
        <f>BK19*Constants!$H41*(1-Constants!$H59)</f>
        <v>0</v>
      </c>
      <c r="BL80" s="23">
        <f>BL19*Constants!$H41*(1-Constants!$H59)</f>
        <v>0</v>
      </c>
      <c r="BM80" s="23">
        <f>BM19*Constants!$H41*(1-Constants!$H59)</f>
        <v>0</v>
      </c>
      <c r="BN80" s="23">
        <f>BN19*Constants!$H41*(1-Constants!$H59)</f>
        <v>0</v>
      </c>
      <c r="BO80" s="23">
        <f>BO19*Constants!$H41*(1-Constants!$H59)</f>
        <v>0</v>
      </c>
      <c r="BP80" s="23">
        <f>BP19*Constants!$H41*(1-Constants!$H59)</f>
        <v>0</v>
      </c>
    </row>
    <row r="81" spans="1:72" x14ac:dyDescent="0.25">
      <c r="A81" t="str">
        <f t="shared" si="19"/>
        <v>3C Aggregated and non-CO2 emissions on land</v>
      </c>
      <c r="B81" t="str">
        <f t="shared" si="20"/>
        <v>3C4 Direct N2O from managed soils (N2O)</v>
      </c>
      <c r="C81" t="s">
        <v>485</v>
      </c>
      <c r="D81" t="str">
        <f t="shared" si="21"/>
        <v xml:space="preserve"> - Commercial broilers</v>
      </c>
      <c r="E81" t="str">
        <f t="shared" si="24"/>
        <v>Urine &amp; dung - Commercial broilers</v>
      </c>
      <c r="F81" t="str">
        <f t="shared" si="25"/>
        <v>kg N</v>
      </c>
      <c r="H81" s="23">
        <f>H20*Constants!$H42*(1-Constants!$H60)</f>
        <v>0</v>
      </c>
      <c r="I81" s="23">
        <f>I20*Constants!$H42*(1-Constants!$H60)</f>
        <v>0</v>
      </c>
      <c r="J81" s="23">
        <f>J20*Constants!$H42*(1-Constants!$H60)</f>
        <v>0</v>
      </c>
      <c r="K81" s="23">
        <f>K20*Constants!$H42*(1-Constants!$H60)</f>
        <v>0</v>
      </c>
      <c r="L81" s="23">
        <f>L20*Constants!$H42*(1-Constants!$H60)</f>
        <v>0</v>
      </c>
      <c r="M81" s="23">
        <f>M20*Constants!$H42*(1-Constants!$H60)</f>
        <v>0</v>
      </c>
      <c r="N81" s="23">
        <f>N20*Constants!$H42*(1-Constants!$H60)</f>
        <v>0</v>
      </c>
      <c r="O81" s="23">
        <f>O20*Constants!$H42*(1-Constants!$H60)</f>
        <v>0</v>
      </c>
      <c r="P81" s="23">
        <f>P20*Constants!$H42*(1-Constants!$H60)</f>
        <v>0</v>
      </c>
      <c r="Q81" s="23">
        <f>Q20*Constants!$H42*(1-Constants!$H60)</f>
        <v>0</v>
      </c>
      <c r="R81" s="23">
        <f>R20*Constants!$H42*(1-Constants!$H60)</f>
        <v>0</v>
      </c>
      <c r="S81" s="23">
        <f>S20*Constants!$H42*(1-Constants!$H60)</f>
        <v>0</v>
      </c>
      <c r="T81" s="23">
        <f>T20*Constants!$H42*(1-Constants!$H60)</f>
        <v>0</v>
      </c>
      <c r="U81" s="23">
        <f>U20*Constants!$H42*(1-Constants!$H60)</f>
        <v>0</v>
      </c>
      <c r="V81" s="23">
        <f>V20*Constants!$H42*(1-Constants!$H60)</f>
        <v>0</v>
      </c>
      <c r="W81" s="23">
        <f>W20*Constants!$H42*(1-Constants!$H60)</f>
        <v>0</v>
      </c>
      <c r="X81" s="23">
        <f>X20*Constants!$H42*(1-Constants!$H60)</f>
        <v>0</v>
      </c>
      <c r="Y81" s="23">
        <f>Y20*Constants!$H42*(1-Constants!$H60)</f>
        <v>0</v>
      </c>
      <c r="Z81" s="23">
        <f>Z20*Constants!$H42*(1-Constants!$H60)</f>
        <v>0</v>
      </c>
      <c r="AA81" s="23">
        <f>AA20*Constants!$H42*(1-Constants!$H60)</f>
        <v>0</v>
      </c>
      <c r="AB81" s="23">
        <f>AB20*Constants!$H42*(1-Constants!$H60)</f>
        <v>0</v>
      </c>
      <c r="AC81" s="23">
        <f>AC20*Constants!$H42*(1-Constants!$H60)</f>
        <v>0</v>
      </c>
      <c r="AD81" s="23">
        <f>AD20*Constants!$H42*(1-Constants!$H60)</f>
        <v>0</v>
      </c>
      <c r="AE81" s="23">
        <f>AE20*Constants!$H42*(1-Constants!$H60)</f>
        <v>0</v>
      </c>
      <c r="AF81" s="23">
        <f>AF20*Constants!$H42*(1-Constants!$H60)</f>
        <v>0</v>
      </c>
      <c r="AG81" s="23">
        <f>AG20*Constants!$H42*(1-Constants!$H60)</f>
        <v>0</v>
      </c>
      <c r="AH81" s="23">
        <f>AH20*Constants!$H42*(1-Constants!$H60)</f>
        <v>0</v>
      </c>
      <c r="AI81" s="23">
        <f>AI20*Constants!$H42*(1-Constants!$H60)</f>
        <v>0</v>
      </c>
      <c r="AJ81" s="23">
        <f>AJ20*Constants!$H42*(1-Constants!$H60)</f>
        <v>0</v>
      </c>
      <c r="AK81" s="23">
        <f>AK20*Constants!$H42*(1-Constants!$H60)</f>
        <v>0</v>
      </c>
      <c r="AL81" s="23">
        <f>AL20*Constants!$H42*(1-Constants!$H60)</f>
        <v>0</v>
      </c>
      <c r="AM81" s="23">
        <f>AM20*Constants!$H42*(1-Constants!$H60)</f>
        <v>0</v>
      </c>
      <c r="AN81" s="23">
        <f>AN20*Constants!$H42*(1-Constants!$H60)</f>
        <v>0</v>
      </c>
      <c r="AO81" s="23">
        <f>AO20*Constants!$H42*(1-Constants!$H60)</f>
        <v>0</v>
      </c>
      <c r="AP81" s="23">
        <f>AP20*Constants!$H42*(1-Constants!$H60)</f>
        <v>0</v>
      </c>
      <c r="AQ81" s="23">
        <f>AQ20*Constants!$H42*(1-Constants!$H60)</f>
        <v>0</v>
      </c>
      <c r="AR81" s="23">
        <f>AR20*Constants!$H42*(1-Constants!$H60)</f>
        <v>0</v>
      </c>
      <c r="AS81" s="23">
        <f>AS20*Constants!$H42*(1-Constants!$H60)</f>
        <v>0</v>
      </c>
      <c r="AT81" s="23">
        <f>AT20*Constants!$H42*(1-Constants!$H60)</f>
        <v>0</v>
      </c>
      <c r="AU81" s="23">
        <f>AU20*Constants!$H42*(1-Constants!$H60)</f>
        <v>0</v>
      </c>
      <c r="AV81" s="23">
        <f>AV20*Constants!$H42*(1-Constants!$H60)</f>
        <v>0</v>
      </c>
      <c r="AW81" s="23">
        <f>AW20*Constants!$H42*(1-Constants!$H60)</f>
        <v>0</v>
      </c>
      <c r="AX81" s="23">
        <f>AX20*Constants!$H42*(1-Constants!$H60)</f>
        <v>0</v>
      </c>
      <c r="AY81" s="23">
        <f>AY20*Constants!$H42*(1-Constants!$H60)</f>
        <v>0</v>
      </c>
      <c r="AZ81" s="23">
        <f>AZ20*Constants!$H42*(1-Constants!$H60)</f>
        <v>0</v>
      </c>
      <c r="BA81" s="23">
        <f>BA20*Constants!$H42*(1-Constants!$H60)</f>
        <v>0</v>
      </c>
      <c r="BB81" s="23">
        <f>BB20*Constants!$H42*(1-Constants!$H60)</f>
        <v>0</v>
      </c>
      <c r="BC81" s="23">
        <f>BC20*Constants!$H42*(1-Constants!$H60)</f>
        <v>0</v>
      </c>
      <c r="BD81" s="23">
        <f>BD20*Constants!$H42*(1-Constants!$H60)</f>
        <v>0</v>
      </c>
      <c r="BE81" s="23">
        <f>BE20*Constants!$H42*(1-Constants!$H60)</f>
        <v>0</v>
      </c>
      <c r="BF81" s="23">
        <f>BF20*Constants!$H42*(1-Constants!$H60)</f>
        <v>0</v>
      </c>
      <c r="BG81" s="23">
        <f>BG20*Constants!$H42*(1-Constants!$H60)</f>
        <v>0</v>
      </c>
      <c r="BH81" s="23">
        <f>BH20*Constants!$H42*(1-Constants!$H60)</f>
        <v>0</v>
      </c>
      <c r="BI81" s="23">
        <f>BI20*Constants!$H42*(1-Constants!$H60)</f>
        <v>0</v>
      </c>
      <c r="BJ81" s="23">
        <f>BJ20*Constants!$H42*(1-Constants!$H60)</f>
        <v>0</v>
      </c>
      <c r="BK81" s="23">
        <f>BK20*Constants!$H42*(1-Constants!$H60)</f>
        <v>0</v>
      </c>
      <c r="BL81" s="23">
        <f>BL20*Constants!$H42*(1-Constants!$H60)</f>
        <v>0</v>
      </c>
      <c r="BM81" s="23">
        <f>BM20*Constants!$H42*(1-Constants!$H60)</f>
        <v>0</v>
      </c>
      <c r="BN81" s="23">
        <f>BN20*Constants!$H42*(1-Constants!$H60)</f>
        <v>0</v>
      </c>
      <c r="BO81" s="23">
        <f>BO20*Constants!$H42*(1-Constants!$H60)</f>
        <v>0</v>
      </c>
      <c r="BP81" s="23">
        <f>BP20*Constants!$H42*(1-Constants!$H60)</f>
        <v>0</v>
      </c>
    </row>
    <row r="82" spans="1:72" x14ac:dyDescent="0.25">
      <c r="A82" t="str">
        <f>A81</f>
        <v>3C Aggregated and non-CO2 emissions on land</v>
      </c>
      <c r="B82" t="str">
        <f t="shared" si="20"/>
        <v>3C4 Direct N2O from managed soils (N2O)</v>
      </c>
      <c r="C82" t="s">
        <v>745</v>
      </c>
      <c r="D82" t="s">
        <v>522</v>
      </c>
      <c r="E82" t="str">
        <f t="shared" ref="E82:E85" si="26">C82&amp;D82</f>
        <v>Crop residue N - maize</v>
      </c>
      <c r="F82" t="str">
        <f t="shared" ref="F82:F85" si="27">F81</f>
        <v>kg N</v>
      </c>
      <c r="H82" s="23">
        <v>169222719.81423381</v>
      </c>
      <c r="I82" s="23">
        <v>146469055.03045925</v>
      </c>
      <c r="J82" s="23">
        <v>159221366.84252763</v>
      </c>
      <c r="K82" s="23">
        <v>166361838.74906701</v>
      </c>
      <c r="L82" s="23">
        <v>177207855.24554062</v>
      </c>
      <c r="M82" s="23">
        <v>134194234.50025843</v>
      </c>
      <c r="N82" s="23">
        <v>143395687.73539102</v>
      </c>
      <c r="O82" s="23">
        <v>154135462.82738763</v>
      </c>
      <c r="P82" s="23">
        <v>135980324.06223202</v>
      </c>
      <c r="Q82" s="23">
        <v>136205316.98976544</v>
      </c>
      <c r="R82" s="23">
        <v>153316816.86155123</v>
      </c>
      <c r="S82" s="23">
        <v>121680505.97819223</v>
      </c>
      <c r="T82" s="23">
        <v>134754504.74286324</v>
      </c>
      <c r="U82" s="23">
        <v>139005050.45193782</v>
      </c>
      <c r="V82" s="23">
        <v>122072648.78867763</v>
      </c>
      <c r="W82" s="23">
        <v>122727616.37001581</v>
      </c>
      <c r="X82" s="23">
        <v>76773886.659184024</v>
      </c>
      <c r="Y82" s="23">
        <v>110722449.64123464</v>
      </c>
      <c r="Z82" s="23">
        <v>126740304.25230721</v>
      </c>
      <c r="AA82" s="23">
        <v>112126055.04929921</v>
      </c>
      <c r="AB82" s="23">
        <v>127466246.79321264</v>
      </c>
      <c r="AC82" s="23">
        <v>113245894.01580001</v>
      </c>
      <c r="AD82" s="23">
        <v>126977554.31790781</v>
      </c>
      <c r="AE82" s="23">
        <v>131940246.24150762</v>
      </c>
      <c r="AF82" s="23">
        <v>126043745.53137124</v>
      </c>
      <c r="AG82" s="23">
        <v>124059397.92754564</v>
      </c>
      <c r="AH82" s="23">
        <v>90409891.970684022</v>
      </c>
      <c r="AI82" s="23">
        <v>122439424.41759603</v>
      </c>
      <c r="AJ82" s="23">
        <f t="shared" ref="AJ82:BP82" si="28">(35.693*AJ41)+10000000</f>
        <v>112188548.11378482</v>
      </c>
      <c r="AK82" s="23">
        <f t="shared" si="28"/>
        <v>111057434.341683</v>
      </c>
      <c r="AL82" s="23">
        <f t="shared" si="28"/>
        <v>109926320.5695812</v>
      </c>
      <c r="AM82" s="23">
        <f t="shared" si="28"/>
        <v>108779814.71278851</v>
      </c>
      <c r="AN82" s="23">
        <f t="shared" si="28"/>
        <v>107633308.87715854</v>
      </c>
      <c r="AO82" s="23">
        <f t="shared" si="28"/>
        <v>106486803.04152852</v>
      </c>
      <c r="AP82" s="23">
        <f t="shared" si="28"/>
        <v>105340297.20589854</v>
      </c>
      <c r="AQ82" s="23">
        <f t="shared" si="28"/>
        <v>104193791.34910586</v>
      </c>
      <c r="AR82" s="23">
        <f t="shared" si="28"/>
        <v>104193791.34910586</v>
      </c>
      <c r="AS82" s="23">
        <f t="shared" si="28"/>
        <v>104193791.34910586</v>
      </c>
      <c r="AT82" s="23">
        <f t="shared" si="28"/>
        <v>104193791.34910586</v>
      </c>
      <c r="AU82" s="23">
        <f t="shared" si="28"/>
        <v>104193791.34910586</v>
      </c>
      <c r="AV82" s="23">
        <f t="shared" si="28"/>
        <v>104193791.34910586</v>
      </c>
      <c r="AW82" s="23">
        <f t="shared" si="28"/>
        <v>104193791.34910586</v>
      </c>
      <c r="AX82" s="23">
        <f t="shared" si="28"/>
        <v>104193791.34910586</v>
      </c>
      <c r="AY82" s="23">
        <f t="shared" si="28"/>
        <v>104193791.34910586</v>
      </c>
      <c r="AZ82" s="23">
        <f t="shared" si="28"/>
        <v>104193791.34910586</v>
      </c>
      <c r="BA82" s="23">
        <f t="shared" si="28"/>
        <v>104193791.34910586</v>
      </c>
      <c r="BB82" s="23">
        <f t="shared" si="28"/>
        <v>104193791.34910586</v>
      </c>
      <c r="BC82" s="23">
        <f t="shared" si="28"/>
        <v>104193791.34910586</v>
      </c>
      <c r="BD82" s="23">
        <f t="shared" si="28"/>
        <v>104193791.34910586</v>
      </c>
      <c r="BE82" s="23">
        <f t="shared" si="28"/>
        <v>104193791.34910586</v>
      </c>
      <c r="BF82" s="23">
        <f t="shared" si="28"/>
        <v>104193791.34910586</v>
      </c>
      <c r="BG82" s="23">
        <f t="shared" si="28"/>
        <v>104193791.34910586</v>
      </c>
      <c r="BH82" s="23">
        <f t="shared" si="28"/>
        <v>104193791.34910586</v>
      </c>
      <c r="BI82" s="23">
        <f t="shared" si="28"/>
        <v>104193791.34910586</v>
      </c>
      <c r="BJ82" s="23">
        <f t="shared" si="28"/>
        <v>104193791.34910586</v>
      </c>
      <c r="BK82" s="23">
        <f t="shared" si="28"/>
        <v>104193791.34910586</v>
      </c>
      <c r="BL82" s="23">
        <f t="shared" si="28"/>
        <v>104193791.34910586</v>
      </c>
      <c r="BM82" s="23">
        <f t="shared" si="28"/>
        <v>104193791.34910586</v>
      </c>
      <c r="BN82" s="23">
        <f t="shared" si="28"/>
        <v>104193791.34910586</v>
      </c>
      <c r="BO82" s="23">
        <f t="shared" si="28"/>
        <v>104193791.34910586</v>
      </c>
      <c r="BP82" s="23">
        <f t="shared" si="28"/>
        <v>104193791.34910586</v>
      </c>
    </row>
    <row r="83" spans="1:72" x14ac:dyDescent="0.25">
      <c r="A83" t="str">
        <f>A82</f>
        <v>3C Aggregated and non-CO2 emissions on land</v>
      </c>
      <c r="B83" t="str">
        <f t="shared" ref="B83:C83" si="29">B82</f>
        <v>3C4 Direct N2O from managed soils (N2O)</v>
      </c>
      <c r="C83" t="str">
        <f t="shared" si="29"/>
        <v>Crop residue N</v>
      </c>
      <c r="D83" t="s">
        <v>446</v>
      </c>
      <c r="E83" t="str">
        <f t="shared" si="26"/>
        <v>Crop residue N - wheat</v>
      </c>
      <c r="F83" t="str">
        <f t="shared" si="27"/>
        <v>kg N</v>
      </c>
      <c r="H83" s="23">
        <v>12027674.492947873</v>
      </c>
      <c r="I83" s="23">
        <v>15073733.727081215</v>
      </c>
      <c r="J83" s="23">
        <v>9317109.7170359995</v>
      </c>
      <c r="K83" s="23">
        <v>13960385.955568802</v>
      </c>
      <c r="L83" s="23">
        <v>12951268.598936448</v>
      </c>
      <c r="M83" s="23">
        <v>13915210.572107857</v>
      </c>
      <c r="N83" s="23">
        <v>19086964.362997342</v>
      </c>
      <c r="O83" s="23">
        <v>17104848.961899597</v>
      </c>
      <c r="P83" s="23">
        <v>13260858.352196401</v>
      </c>
      <c r="Q83" s="23">
        <v>12195250.161865054</v>
      </c>
      <c r="R83" s="23">
        <v>17086357.776156764</v>
      </c>
      <c r="S83" s="23">
        <v>17620050.867103875</v>
      </c>
      <c r="T83" s="23">
        <v>17154163.058715936</v>
      </c>
      <c r="U83" s="23">
        <v>10885377.79194624</v>
      </c>
      <c r="V83" s="23">
        <v>11871375.563916</v>
      </c>
      <c r="W83" s="23">
        <v>13405603.487245198</v>
      </c>
      <c r="X83" s="23">
        <v>14812335.740283838</v>
      </c>
      <c r="Y83" s="23">
        <v>13404854.889448704</v>
      </c>
      <c r="Z83" s="23">
        <v>14988421.865818368</v>
      </c>
      <c r="AA83" s="23">
        <v>13767379.251199199</v>
      </c>
      <c r="AB83" s="23">
        <v>10061071.645942945</v>
      </c>
      <c r="AC83" s="23">
        <v>14115618.755591758</v>
      </c>
      <c r="AD83" s="23">
        <v>13475324.524406973</v>
      </c>
      <c r="AE83" s="23">
        <v>13171510.859984927</v>
      </c>
      <c r="AF83" s="23">
        <v>12325332.56404507</v>
      </c>
      <c r="AG83" s="23">
        <v>10249436.701218529</v>
      </c>
      <c r="AH83" s="23">
        <v>13426952.396939136</v>
      </c>
      <c r="AI83" s="23">
        <v>13004056.258452863</v>
      </c>
      <c r="AJ83" s="23">
        <f t="shared" ref="AJ83:BP83" si="30">(4.6488*AJ42)+10000000</f>
        <v>12375536.800000001</v>
      </c>
      <c r="AK83" s="23">
        <f t="shared" si="30"/>
        <v>12375536.800000001</v>
      </c>
      <c r="AL83" s="23">
        <f t="shared" si="30"/>
        <v>12375536.800000001</v>
      </c>
      <c r="AM83" s="23">
        <f t="shared" si="30"/>
        <v>12375536.800000001</v>
      </c>
      <c r="AN83" s="23">
        <f t="shared" si="30"/>
        <v>12375536.800000001</v>
      </c>
      <c r="AO83" s="23">
        <f t="shared" si="30"/>
        <v>12375536.800000001</v>
      </c>
      <c r="AP83" s="23">
        <f t="shared" si="30"/>
        <v>12375536.800000001</v>
      </c>
      <c r="AQ83" s="23">
        <f t="shared" si="30"/>
        <v>12375536.800000001</v>
      </c>
      <c r="AR83" s="23">
        <f t="shared" si="30"/>
        <v>12375536.800000001</v>
      </c>
      <c r="AS83" s="23">
        <f t="shared" si="30"/>
        <v>12375536.800000001</v>
      </c>
      <c r="AT83" s="23">
        <f t="shared" si="30"/>
        <v>12375536.800000001</v>
      </c>
      <c r="AU83" s="23">
        <f t="shared" si="30"/>
        <v>12375536.800000001</v>
      </c>
      <c r="AV83" s="23">
        <f t="shared" si="30"/>
        <v>12375536.800000001</v>
      </c>
      <c r="AW83" s="23">
        <f t="shared" si="30"/>
        <v>12375536.800000001</v>
      </c>
      <c r="AX83" s="23">
        <f t="shared" si="30"/>
        <v>12375536.800000001</v>
      </c>
      <c r="AY83" s="23">
        <f t="shared" si="30"/>
        <v>12375536.800000001</v>
      </c>
      <c r="AZ83" s="23">
        <f t="shared" si="30"/>
        <v>12375536.800000001</v>
      </c>
      <c r="BA83" s="23">
        <f t="shared" si="30"/>
        <v>12375536.800000001</v>
      </c>
      <c r="BB83" s="23">
        <f t="shared" si="30"/>
        <v>12375536.800000001</v>
      </c>
      <c r="BC83" s="23">
        <f t="shared" si="30"/>
        <v>12375536.800000001</v>
      </c>
      <c r="BD83" s="23">
        <f t="shared" si="30"/>
        <v>12375536.800000001</v>
      </c>
      <c r="BE83" s="23">
        <f t="shared" si="30"/>
        <v>12375536.800000001</v>
      </c>
      <c r="BF83" s="23">
        <f t="shared" si="30"/>
        <v>12375536.800000001</v>
      </c>
      <c r="BG83" s="23">
        <f t="shared" si="30"/>
        <v>12375536.800000001</v>
      </c>
      <c r="BH83" s="23">
        <f t="shared" si="30"/>
        <v>12375536.800000001</v>
      </c>
      <c r="BI83" s="23">
        <f t="shared" si="30"/>
        <v>12375536.800000001</v>
      </c>
      <c r="BJ83" s="23">
        <f t="shared" si="30"/>
        <v>12375536.800000001</v>
      </c>
      <c r="BK83" s="23">
        <f t="shared" si="30"/>
        <v>12375536.800000001</v>
      </c>
      <c r="BL83" s="23">
        <f t="shared" si="30"/>
        <v>12375536.800000001</v>
      </c>
      <c r="BM83" s="23">
        <f t="shared" si="30"/>
        <v>12375536.800000001</v>
      </c>
      <c r="BN83" s="23">
        <f t="shared" si="30"/>
        <v>12375536.800000001</v>
      </c>
      <c r="BO83" s="23">
        <f t="shared" si="30"/>
        <v>12375536.800000001</v>
      </c>
      <c r="BP83" s="23">
        <f t="shared" si="30"/>
        <v>12375536.800000001</v>
      </c>
    </row>
    <row r="84" spans="1:72" x14ac:dyDescent="0.25">
      <c r="A84" t="str">
        <f>A83</f>
        <v>3C Aggregated and non-CO2 emissions on land</v>
      </c>
      <c r="B84" t="str">
        <f t="shared" ref="B84" si="31">B83</f>
        <v>3C4 Direct N2O from managed soils (N2O)</v>
      </c>
      <c r="C84" t="str">
        <f t="shared" ref="C84" si="32">C83</f>
        <v>Crop residue N</v>
      </c>
      <c r="D84" t="s">
        <v>447</v>
      </c>
      <c r="E84" t="str">
        <f t="shared" si="26"/>
        <v>Crop residue N - sorghum</v>
      </c>
      <c r="F84" t="str">
        <f t="shared" si="27"/>
        <v>kg N</v>
      </c>
      <c r="H84" s="23">
        <v>390687.3631584</v>
      </c>
      <c r="I84" s="23">
        <v>361799.87719679996</v>
      </c>
      <c r="J84" s="23">
        <v>48092.127955199998</v>
      </c>
      <c r="K84" s="23">
        <v>731712.72642101767</v>
      </c>
      <c r="L84" s="23">
        <v>784820.45288404799</v>
      </c>
      <c r="M84" s="23">
        <v>388730.34895175043</v>
      </c>
      <c r="N84" s="23">
        <v>1085449.9899444769</v>
      </c>
      <c r="O84" s="23">
        <v>767913.6197730815</v>
      </c>
      <c r="P84" s="23">
        <v>644364.57901744312</v>
      </c>
      <c r="Q84" s="23">
        <v>332629.55174332805</v>
      </c>
      <c r="R84" s="23">
        <v>310743.09356160002</v>
      </c>
      <c r="S84" s="23">
        <v>135738.5035776</v>
      </c>
      <c r="T84" s="23">
        <v>169256.39976</v>
      </c>
      <c r="U84" s="23">
        <v>170266.89153600001</v>
      </c>
      <c r="V84" s="23">
        <v>245534.82844799999</v>
      </c>
      <c r="W84" s="23">
        <v>170159.33773440003</v>
      </c>
      <c r="X84" s="23">
        <v>62943.126489599999</v>
      </c>
      <c r="Y84" s="23">
        <v>115864.25639040001</v>
      </c>
      <c r="Z84" s="23">
        <v>168245.86927680002</v>
      </c>
      <c r="AA84" s="23">
        <v>183064.86347520002</v>
      </c>
      <c r="AB84" s="23">
        <v>129857.51237760003</v>
      </c>
      <c r="AC84" s="23">
        <v>101755.71665280001</v>
      </c>
      <c r="AD84" s="23">
        <v>89691.588067199991</v>
      </c>
      <c r="AE84" s="23">
        <v>97499.714860800013</v>
      </c>
      <c r="AF84" s="23">
        <v>174429.36856800001</v>
      </c>
      <c r="AG84" s="23">
        <v>78790.555871999997</v>
      </c>
      <c r="AH84" s="23">
        <v>45956.313446399996</v>
      </c>
      <c r="AI84" s="23">
        <v>40211.77426559999</v>
      </c>
      <c r="AJ84" s="23">
        <f t="shared" ref="AJ84:BP84" si="33">27944*EXP(0.00002*AJ43)</f>
        <v>110012.44253177385</v>
      </c>
      <c r="AK84" s="23">
        <f t="shared" si="33"/>
        <v>112473.09945864843</v>
      </c>
      <c r="AL84" s="23">
        <f t="shared" si="33"/>
        <v>129622.06649274833</v>
      </c>
      <c r="AM84" s="23">
        <f t="shared" si="33"/>
        <v>130237.18366281598</v>
      </c>
      <c r="AN84" s="23">
        <f t="shared" si="33"/>
        <v>131014.65637411007</v>
      </c>
      <c r="AO84" s="23">
        <f t="shared" si="33"/>
        <v>131760.75053227082</v>
      </c>
      <c r="AP84" s="23">
        <f t="shared" si="33"/>
        <v>132650.07124737097</v>
      </c>
      <c r="AQ84" s="23">
        <f t="shared" si="33"/>
        <v>133383.12023426898</v>
      </c>
      <c r="AR84" s="23">
        <f t="shared" si="33"/>
        <v>133768.52003302667</v>
      </c>
      <c r="AS84" s="23">
        <f t="shared" si="33"/>
        <v>134198.2894655776</v>
      </c>
      <c r="AT84" s="23">
        <f t="shared" si="33"/>
        <v>134408.05106467003</v>
      </c>
      <c r="AU84" s="23">
        <f t="shared" si="33"/>
        <v>134453.73059711239</v>
      </c>
      <c r="AV84" s="23">
        <f t="shared" si="33"/>
        <v>134320.17781403681</v>
      </c>
      <c r="AW84" s="23">
        <f t="shared" si="33"/>
        <v>132967.78038529205</v>
      </c>
      <c r="AX84" s="23">
        <f t="shared" si="33"/>
        <v>131917.90651340716</v>
      </c>
      <c r="AY84" s="23">
        <f t="shared" si="33"/>
        <v>130230.72682944204</v>
      </c>
      <c r="AZ84" s="23">
        <f t="shared" si="33"/>
        <v>128121.43836815744</v>
      </c>
      <c r="BA84" s="23">
        <f t="shared" si="33"/>
        <v>125587.81773261736</v>
      </c>
      <c r="BB84" s="23">
        <f t="shared" si="33"/>
        <v>123076.37859677857</v>
      </c>
      <c r="BC84" s="23">
        <f t="shared" si="33"/>
        <v>120313.21228789705</v>
      </c>
      <c r="BD84" s="23">
        <f t="shared" si="33"/>
        <v>117502.61493607373</v>
      </c>
      <c r="BE84" s="23">
        <f t="shared" si="33"/>
        <v>114467.6832845999</v>
      </c>
      <c r="BF84" s="23">
        <f t="shared" si="33"/>
        <v>111071.97785940612</v>
      </c>
      <c r="BG84" s="23">
        <f t="shared" si="33"/>
        <v>108056.92879983864</v>
      </c>
      <c r="BH84" s="23">
        <f t="shared" si="33"/>
        <v>104805.75809168964</v>
      </c>
      <c r="BI84" s="23">
        <f t="shared" si="33"/>
        <v>101362.44399047756</v>
      </c>
      <c r="BJ84" s="23">
        <f t="shared" si="33"/>
        <v>97710.963037993104</v>
      </c>
      <c r="BK84" s="23">
        <f t="shared" si="33"/>
        <v>93723.796345095383</v>
      </c>
      <c r="BL84" s="23">
        <f t="shared" si="33"/>
        <v>89383.099859641326</v>
      </c>
      <c r="BM84" s="23">
        <f t="shared" si="33"/>
        <v>84878.725257902843</v>
      </c>
      <c r="BN84" s="23">
        <f t="shared" si="33"/>
        <v>80514.72879553253</v>
      </c>
      <c r="BO84" s="23">
        <f t="shared" si="33"/>
        <v>76018.789523156564</v>
      </c>
      <c r="BP84" s="23">
        <f t="shared" si="33"/>
        <v>71411.182068095441</v>
      </c>
    </row>
    <row r="85" spans="1:72" x14ac:dyDescent="0.25">
      <c r="A85" t="str">
        <f>A84</f>
        <v>3C Aggregated and non-CO2 emissions on land</v>
      </c>
      <c r="B85" t="str">
        <f t="shared" ref="B85" si="34">B84</f>
        <v>3C4 Direct N2O from managed soils (N2O)</v>
      </c>
      <c r="C85" t="str">
        <f t="shared" ref="C85" si="35">C84</f>
        <v>Crop residue N</v>
      </c>
      <c r="D85" t="s">
        <v>448</v>
      </c>
      <c r="E85" t="str">
        <f t="shared" si="26"/>
        <v>Crop residue N - total</v>
      </c>
      <c r="F85" t="str">
        <f t="shared" si="27"/>
        <v>kg N</v>
      </c>
      <c r="H85" s="23">
        <f>SUM(H82:H84)*Constants!$H$26</f>
        <v>605470272.23446703</v>
      </c>
      <c r="I85" s="23">
        <f>SUM(I82:I84)*Constants!$H$26</f>
        <v>539681962.11579084</v>
      </c>
      <c r="J85" s="23">
        <f>SUM(J82:J84)*Constants!$H$26</f>
        <v>561955228.9583962</v>
      </c>
      <c r="K85" s="23">
        <f>SUM(K82:K84)*Constants!$H$26</f>
        <v>603513124.7701894</v>
      </c>
      <c r="L85" s="23">
        <f>SUM(L82:L84)*Constants!$H$26</f>
        <v>636479814.32453704</v>
      </c>
      <c r="M85" s="23">
        <f>SUM(M82:M84)*Constants!$H$26</f>
        <v>494993918.07106018</v>
      </c>
      <c r="N85" s="23">
        <f>SUM(N82:N84)*Constants!$H$26</f>
        <v>545227006.96110952</v>
      </c>
      <c r="O85" s="23">
        <f>SUM(O82:O84)*Constants!$H$26</f>
        <v>573360751.36353445</v>
      </c>
      <c r="P85" s="23">
        <f>SUM(P82:P84)*Constants!$H$26</f>
        <v>499618489.97815281</v>
      </c>
      <c r="Q85" s="23">
        <f>SUM(Q82:Q84)*Constants!$H$26</f>
        <v>495777322.3445794</v>
      </c>
      <c r="R85" s="23">
        <f>SUM(R82:R84)*Constants!$H$26</f>
        <v>569046392.43756521</v>
      </c>
      <c r="S85" s="23">
        <f>SUM(S82:S84)*Constants!$H$26</f>
        <v>464787651.16291225</v>
      </c>
      <c r="T85" s="23">
        <f>SUM(T82:T84)*Constants!$H$26</f>
        <v>506926414.00446397</v>
      </c>
      <c r="U85" s="23">
        <f>SUM(U82:U84)*Constants!$H$26</f>
        <v>500202317.11806685</v>
      </c>
      <c r="V85" s="23">
        <f>SUM(V82:V84)*Constants!$H$26</f>
        <v>447298530.60347211</v>
      </c>
      <c r="W85" s="23">
        <f>SUM(W82:W84)*Constants!$H$26</f>
        <v>454344597.31665134</v>
      </c>
      <c r="X85" s="23">
        <f>SUM(X82:X84)*Constants!$H$26</f>
        <v>305497218.41985816</v>
      </c>
      <c r="Y85" s="23">
        <f>SUM(Y82:Y84)*Constants!$H$26</f>
        <v>414143895.95691246</v>
      </c>
      <c r="Z85" s="23">
        <f>SUM(Z82:Z84)*Constants!$H$26</f>
        <v>472989906.62467462</v>
      </c>
      <c r="AA85" s="23">
        <f>SUM(AA82:AA84)*Constants!$H$26</f>
        <v>420254997.21324539</v>
      </c>
      <c r="AB85" s="23">
        <f>SUM(AB82:AB84)*Constants!$H$26</f>
        <v>458857253.17177725</v>
      </c>
      <c r="AC85" s="23">
        <f>SUM(AC82:AC84)*Constants!$H$26</f>
        <v>424877561.62681526</v>
      </c>
      <c r="AD85" s="23">
        <f>SUM(AD82:AD84)*Constants!$H$26</f>
        <v>468475234.76793998</v>
      </c>
      <c r="AE85" s="23">
        <f>SUM(AE82:AE84)*Constants!$H$26</f>
        <v>484030856.05451119</v>
      </c>
      <c r="AF85" s="23">
        <f>SUM(AF82:AF84)*Constants!$H$26</f>
        <v>461811691.54661441</v>
      </c>
      <c r="AG85" s="23">
        <f>SUM(AG82:AG84)*Constants!$H$26</f>
        <v>447958750.61545384</v>
      </c>
      <c r="AH85" s="23">
        <f>SUM(AH82:AH84)*Constants!$H$26</f>
        <v>346276002.27023184</v>
      </c>
      <c r="AI85" s="23">
        <f>SUM(AI82:AI84)*Constants!$H$26</f>
        <v>451612308.16771489</v>
      </c>
      <c r="AJ85" s="23">
        <f>SUM(AJ82:AJ84)*Constants!$H$26</f>
        <v>415580324.52105534</v>
      </c>
      <c r="AK85" s="23">
        <f>SUM(AK82:AK84)*Constants!$H$26</f>
        <v>411818147.47047216</v>
      </c>
      <c r="AL85" s="23">
        <f>SUM(AL82:AL84)*Constants!$H$26</f>
        <v>408104931.45357984</v>
      </c>
      <c r="AM85" s="23">
        <f>SUM(AM82:AM84)*Constants!$H$26</f>
        <v>404285295.65483773</v>
      </c>
      <c r="AN85" s="23">
        <f>SUM(AN82:AN84)*Constants!$H$26</f>
        <v>400466201.11177552</v>
      </c>
      <c r="AO85" s="23">
        <f>SUM(AO82:AO84)*Constants!$H$26</f>
        <v>396647001.97353595</v>
      </c>
      <c r="AP85" s="23">
        <f>SUM(AP82:AP84)*Constants!$H$26</f>
        <v>392828280.25715303</v>
      </c>
      <c r="AQ85" s="23">
        <f>SUM(AQ82:AQ84)*Constants!$H$26</f>
        <v>389009037.56446713</v>
      </c>
      <c r="AR85" s="23">
        <f>SUM(AR82:AR84)*Constants!$H$26</f>
        <v>389010322.23046297</v>
      </c>
      <c r="AS85" s="23">
        <f>SUM(AS82:AS84)*Constants!$H$26</f>
        <v>389011754.79523814</v>
      </c>
      <c r="AT85" s="23">
        <f>SUM(AT82:AT84)*Constants!$H$26</f>
        <v>389012454.00056845</v>
      </c>
      <c r="AU85" s="23">
        <f>SUM(AU82:AU84)*Constants!$H$26</f>
        <v>389012606.26567656</v>
      </c>
      <c r="AV85" s="23">
        <f>SUM(AV82:AV84)*Constants!$H$26</f>
        <v>389012161.089733</v>
      </c>
      <c r="AW85" s="23">
        <f>SUM(AW82:AW84)*Constants!$H$26</f>
        <v>389007653.09830385</v>
      </c>
      <c r="AX85" s="23">
        <f>SUM(AX82:AX84)*Constants!$H$26</f>
        <v>389004153.51873094</v>
      </c>
      <c r="AY85" s="23">
        <f>SUM(AY82:AY84)*Constants!$H$26</f>
        <v>388998529.58645099</v>
      </c>
      <c r="AZ85" s="23">
        <f>SUM(AZ82:AZ84)*Constants!$H$26</f>
        <v>388991498.62491339</v>
      </c>
      <c r="BA85" s="23">
        <f>SUM(BA82:BA84)*Constants!$H$26</f>
        <v>388983053.22279495</v>
      </c>
      <c r="BB85" s="23">
        <f>SUM(BB82:BB84)*Constants!$H$26</f>
        <v>388974681.75900882</v>
      </c>
      <c r="BC85" s="23">
        <f>SUM(BC82:BC84)*Constants!$H$26</f>
        <v>388965471.20464587</v>
      </c>
      <c r="BD85" s="23">
        <f>SUM(BD82:BD84)*Constants!$H$26</f>
        <v>388956102.54680645</v>
      </c>
      <c r="BE85" s="23">
        <f>SUM(BE82:BE84)*Constants!$H$26</f>
        <v>388945986.10796821</v>
      </c>
      <c r="BF85" s="23">
        <f>SUM(BF82:BF84)*Constants!$H$26</f>
        <v>388934667.08988422</v>
      </c>
      <c r="BG85" s="23">
        <f>SUM(BG82:BG84)*Constants!$H$26</f>
        <v>388924616.92635232</v>
      </c>
      <c r="BH85" s="23">
        <f>SUM(BH82:BH84)*Constants!$H$26</f>
        <v>388913779.69065851</v>
      </c>
      <c r="BI85" s="23">
        <f>SUM(BI82:BI84)*Constants!$H$26</f>
        <v>388902301.97698784</v>
      </c>
      <c r="BJ85" s="23">
        <f>SUM(BJ82:BJ84)*Constants!$H$26</f>
        <v>388890130.37381285</v>
      </c>
      <c r="BK85" s="23">
        <f>SUM(BK82:BK84)*Constants!$H$26</f>
        <v>388876839.81816989</v>
      </c>
      <c r="BL85" s="23">
        <f>SUM(BL82:BL84)*Constants!$H$26</f>
        <v>388862370.82988501</v>
      </c>
      <c r="BM85" s="23">
        <f>SUM(BM82:BM84)*Constants!$H$26</f>
        <v>388847356.24787921</v>
      </c>
      <c r="BN85" s="23">
        <f>SUM(BN82:BN84)*Constants!$H$26</f>
        <v>388832809.59300464</v>
      </c>
      <c r="BO85" s="23">
        <f>SUM(BO82:BO84)*Constants!$H$26</f>
        <v>388817823.12876338</v>
      </c>
      <c r="BP85" s="23">
        <f>SUM(BP82:BP84)*Constants!$H$26</f>
        <v>388802464.43724656</v>
      </c>
    </row>
    <row r="86" spans="1:72" ht="18.75" customHeight="1" x14ac:dyDescent="0.25">
      <c r="A86" s="20" t="s">
        <v>64</v>
      </c>
      <c r="B86" s="20"/>
      <c r="C86" s="20"/>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c r="BL86" s="15"/>
      <c r="BM86" s="15"/>
      <c r="BN86" s="15"/>
      <c r="BO86" s="15"/>
      <c r="BP86" s="15"/>
      <c r="BQ86" s="24"/>
      <c r="BS86" s="16"/>
      <c r="BT86" s="15"/>
    </row>
    <row r="87" spans="1:72" x14ac:dyDescent="0.25">
      <c r="A87" t="str">
        <f>'IPCC Categories'!A59</f>
        <v>3C Aggregated and non-CO2 emissions on land</v>
      </c>
      <c r="B87" t="str">
        <f>'IPCC Categories'!B73</f>
        <v>3C4 Direct N2O from managed soils (N2O)</v>
      </c>
      <c r="C87" t="s">
        <v>64</v>
      </c>
      <c r="D87" t="s">
        <v>809</v>
      </c>
      <c r="F87" t="s">
        <v>810</v>
      </c>
      <c r="H87" s="86" t="s">
        <v>811</v>
      </c>
      <c r="I87" s="86" t="s">
        <v>811</v>
      </c>
      <c r="J87" s="86" t="s">
        <v>811</v>
      </c>
      <c r="K87" s="86" t="s">
        <v>811</v>
      </c>
      <c r="L87" s="86" t="s">
        <v>811</v>
      </c>
      <c r="M87" s="86" t="s">
        <v>811</v>
      </c>
      <c r="N87" s="86" t="s">
        <v>811</v>
      </c>
      <c r="O87" s="86" t="s">
        <v>811</v>
      </c>
      <c r="P87" s="86" t="s">
        <v>811</v>
      </c>
      <c r="Q87" s="86" t="s">
        <v>811</v>
      </c>
      <c r="R87" s="86" t="s">
        <v>811</v>
      </c>
      <c r="S87" s="86" t="s">
        <v>811</v>
      </c>
      <c r="T87" s="86" t="s">
        <v>811</v>
      </c>
      <c r="U87" s="86" t="s">
        <v>811</v>
      </c>
      <c r="V87" s="86" t="s">
        <v>811</v>
      </c>
      <c r="W87" s="86" t="s">
        <v>811</v>
      </c>
      <c r="X87" s="86" t="s">
        <v>811</v>
      </c>
      <c r="Y87" s="86" t="s">
        <v>811</v>
      </c>
      <c r="Z87" s="86" t="s">
        <v>811</v>
      </c>
      <c r="AA87" s="86" t="s">
        <v>811</v>
      </c>
      <c r="AB87" s="86" t="s">
        <v>811</v>
      </c>
      <c r="AC87" s="86" t="s">
        <v>811</v>
      </c>
      <c r="AD87" s="86" t="s">
        <v>811</v>
      </c>
      <c r="AE87" s="86" t="s">
        <v>811</v>
      </c>
      <c r="AF87" s="86" t="s">
        <v>811</v>
      </c>
      <c r="AG87" s="86" t="s">
        <v>811</v>
      </c>
      <c r="AH87" s="86" t="s">
        <v>811</v>
      </c>
      <c r="AI87" s="86" t="s">
        <v>811</v>
      </c>
      <c r="AJ87" s="46" t="str">
        <f>IF('[1]Baseline emission summary'!AI11*CO2toC*Ggtot&gt;0,'[1]Baseline emission summary'!AI11*CO2toC*Ggtot,"NO")</f>
        <v>NO</v>
      </c>
      <c r="AK87" s="46" t="str">
        <f>IF('[1]Baseline emission summary'!AJ11*CO2toC*Ggtot&gt;0,'[1]Baseline emission summary'!AJ11*CO2toC*Ggtot,"NO")</f>
        <v>NO</v>
      </c>
      <c r="AL87" s="46" t="str">
        <f>IF('[1]Baseline emission summary'!AK11*CO2toC*Ggtot&gt;0,'[1]Baseline emission summary'!AK11*CO2toC*Ggtot,"NO")</f>
        <v>NO</v>
      </c>
      <c r="AM87" s="46" t="str">
        <f>IF('[1]Baseline emission summary'!AL11*CO2toC*Ggtot&gt;0,'[1]Baseline emission summary'!AL11*CO2toC*Ggtot,"NO")</f>
        <v>NO</v>
      </c>
      <c r="AN87" s="46" t="str">
        <f>IF('[1]Baseline emission summary'!AM11*CO2toC*Ggtot&gt;0,'[1]Baseline emission summary'!AM11*CO2toC*Ggtot,"NO")</f>
        <v>NO</v>
      </c>
      <c r="AO87" s="46" t="str">
        <f>IF('[1]Baseline emission summary'!AN11*CO2toC*Ggtot&gt;0,'[1]Baseline emission summary'!AN11*CO2toC*Ggtot,"NO")</f>
        <v>NO</v>
      </c>
      <c r="AP87" s="46" t="str">
        <f>IF('[1]Baseline emission summary'!AO11*CO2toC*Ggtot&gt;0,'[1]Baseline emission summary'!AO11*CO2toC*Ggtot,"NO")</f>
        <v>NO</v>
      </c>
      <c r="AQ87" s="46" t="str">
        <f>IF('[1]Baseline emission summary'!AP11*CO2toC*Ggtot&gt;0,'[1]Baseline emission summary'!AP11*CO2toC*Ggtot,"NO")</f>
        <v>NO</v>
      </c>
      <c r="AR87" s="46" t="str">
        <f>IF('[1]Baseline emission summary'!AQ11*CO2toC*Ggtot&gt;0,'[1]Baseline emission summary'!AQ11*CO2toC*Ggtot,"NO")</f>
        <v>NO</v>
      </c>
      <c r="AS87" s="46" t="str">
        <f>IF('[1]Baseline emission summary'!AR11*CO2toC*Ggtot&gt;0,'[1]Baseline emission summary'!AR11*CO2toC*Ggtot,"NO")</f>
        <v>NO</v>
      </c>
      <c r="AT87" s="46" t="str">
        <f>IF('[1]Baseline emission summary'!AS11*CO2toC*Ggtot&gt;0,'[1]Baseline emission summary'!AS11*CO2toC*Ggtot,"NO")</f>
        <v>NO</v>
      </c>
      <c r="AU87" s="46" t="str">
        <f>IF('[1]Baseline emission summary'!AT11*CO2toC*Ggtot&gt;0,'[1]Baseline emission summary'!AT11*CO2toC*Ggtot,"NO")</f>
        <v>NO</v>
      </c>
      <c r="AV87" s="46" t="str">
        <f>IF('[1]Baseline emission summary'!AU11*CO2toC*Ggtot&gt;0,'[1]Baseline emission summary'!AU11*CO2toC*Ggtot,"NO")</f>
        <v>NO</v>
      </c>
      <c r="AW87" s="46" t="str">
        <f>IF('[1]Baseline emission summary'!AV11*CO2toC*Ggtot&gt;0,'[1]Baseline emission summary'!AV11*CO2toC*Ggtot,"NO")</f>
        <v>NO</v>
      </c>
      <c r="AX87" s="46" t="str">
        <f>IF('[1]Baseline emission summary'!AW11*CO2toC*Ggtot&gt;0,'[1]Baseline emission summary'!AW11*CO2toC*Ggtot,"NO")</f>
        <v>NO</v>
      </c>
      <c r="AY87" s="46" t="str">
        <f>IF('[1]Baseline emission summary'!AX11*CO2toC*Ggtot&gt;0,'[1]Baseline emission summary'!AX11*CO2toC*Ggtot,"NO")</f>
        <v>NO</v>
      </c>
      <c r="AZ87" s="46" t="str">
        <f>IF('[1]Baseline emission summary'!AY11*CO2toC*Ggtot&gt;0,'[1]Baseline emission summary'!AY11*CO2toC*Ggtot,"NO")</f>
        <v>NO</v>
      </c>
      <c r="BA87" s="46" t="str">
        <f>IF('[1]Baseline emission summary'!AZ11*CO2toC*Ggtot&gt;0,'[1]Baseline emission summary'!AZ11*CO2toC*Ggtot,"NO")</f>
        <v>NO</v>
      </c>
      <c r="BB87" s="46" t="str">
        <f>IF('[1]Baseline emission summary'!BA11*CO2toC*Ggtot&gt;0,'[1]Baseline emission summary'!BA11*CO2toC*Ggtot,"NO")</f>
        <v>NO</v>
      </c>
      <c r="BC87" s="46" t="str">
        <f>IF('[1]Baseline emission summary'!BB11*CO2toC*Ggtot&gt;0,'[1]Baseline emission summary'!BB11*CO2toC*Ggtot,"NO")</f>
        <v>NO</v>
      </c>
      <c r="BD87" s="46" t="str">
        <f>IF('[1]Baseline emission summary'!BC11*CO2toC*Ggtot&gt;0,'[1]Baseline emission summary'!BC11*CO2toC*Ggtot,"NO")</f>
        <v>NO</v>
      </c>
      <c r="BE87" s="46" t="str">
        <f>IF('[1]Baseline emission summary'!BD11*CO2toC*Ggtot&gt;0,'[1]Baseline emission summary'!BD11*CO2toC*Ggtot,"NO")</f>
        <v>NO</v>
      </c>
      <c r="BF87" s="46" t="str">
        <f>IF('[1]Baseline emission summary'!BE11*CO2toC*Ggtot&gt;0,'[1]Baseline emission summary'!BE11*CO2toC*Ggtot,"NO")</f>
        <v>NO</v>
      </c>
      <c r="BG87" s="46" t="str">
        <f>IF('[1]Baseline emission summary'!BF11*CO2toC*Ggtot&gt;0,'[1]Baseline emission summary'!BF11*CO2toC*Ggtot,"NO")</f>
        <v>NO</v>
      </c>
      <c r="BH87" s="46" t="str">
        <f>IF('[1]Baseline emission summary'!BG11*CO2toC*Ggtot&gt;0,'[1]Baseline emission summary'!BG11*CO2toC*Ggtot,"NO")</f>
        <v>NO</v>
      </c>
      <c r="BI87" s="46" t="str">
        <f>IF('[1]Baseline emission summary'!BH11*CO2toC*Ggtot&gt;0,'[1]Baseline emission summary'!BH11*CO2toC*Ggtot,"NO")</f>
        <v>NO</v>
      </c>
      <c r="BJ87" s="46" t="str">
        <f>IF('[1]Baseline emission summary'!BI11*CO2toC*Ggtot&gt;0,'[1]Baseline emission summary'!BI11*CO2toC*Ggtot,"NO")</f>
        <v>NO</v>
      </c>
      <c r="BK87" s="46" t="str">
        <f>IF('[1]Baseline emission summary'!BJ11*CO2toC*Ggtot&gt;0,'[1]Baseline emission summary'!BJ11*CO2toC*Ggtot,"NO")</f>
        <v>NO</v>
      </c>
      <c r="BL87" s="46" t="str">
        <f>IF('[1]Baseline emission summary'!BK11*CO2toC*Ggtot&gt;0,'[1]Baseline emission summary'!BK11*CO2toC*Ggtot,"NO")</f>
        <v>NO</v>
      </c>
      <c r="BM87" s="46" t="str">
        <f>IF('[1]Baseline emission summary'!BL11*CO2toC*Ggtot&gt;0,'[1]Baseline emission summary'!BL11*CO2toC*Ggtot,"NO")</f>
        <v>NO</v>
      </c>
      <c r="BN87" s="46" t="str">
        <f>IF('[1]Baseline emission summary'!BM11*CO2toC*Ggtot&gt;0,'[1]Baseline emission summary'!BM11*CO2toC*Ggtot,"NO")</f>
        <v>NO</v>
      </c>
      <c r="BO87" s="46" t="str">
        <f>IF('[1]Baseline emission summary'!BN11*CO2toC*Ggtot&gt;0,'[1]Baseline emission summary'!BN11*CO2toC*Ggtot,"NO")</f>
        <v>NO</v>
      </c>
      <c r="BP87" s="46" t="str">
        <f>IF('[1]Baseline emission summary'!BO11*CO2toC*Ggtot&gt;0,'[1]Baseline emission summary'!BO11*CO2toC*Ggtot,"NO")</f>
        <v>NO</v>
      </c>
      <c r="BQ87" s="85"/>
    </row>
    <row r="88" spans="1:72" x14ac:dyDescent="0.25">
      <c r="C88" t="s">
        <v>64</v>
      </c>
      <c r="D88" t="s">
        <v>105</v>
      </c>
      <c r="F88" t="s">
        <v>810</v>
      </c>
      <c r="H88" s="22" t="s">
        <v>811</v>
      </c>
      <c r="I88" s="22" t="s">
        <v>811</v>
      </c>
      <c r="J88" s="22" t="s">
        <v>811</v>
      </c>
      <c r="K88" s="22" t="s">
        <v>811</v>
      </c>
      <c r="L88" s="22" t="s">
        <v>811</v>
      </c>
      <c r="M88" s="22" t="s">
        <v>811</v>
      </c>
      <c r="N88" s="22" t="s">
        <v>811</v>
      </c>
      <c r="O88" s="22" t="s">
        <v>811</v>
      </c>
      <c r="P88" s="22" t="s">
        <v>811</v>
      </c>
      <c r="Q88" s="22" t="s">
        <v>811</v>
      </c>
      <c r="R88" s="22" t="s">
        <v>811</v>
      </c>
      <c r="S88" s="22" t="s">
        <v>811</v>
      </c>
      <c r="T88" s="22" t="s">
        <v>811</v>
      </c>
      <c r="U88" s="22" t="s">
        <v>811</v>
      </c>
      <c r="V88" s="22" t="s">
        <v>811</v>
      </c>
      <c r="W88" s="22" t="s">
        <v>811</v>
      </c>
      <c r="X88" s="22" t="s">
        <v>811</v>
      </c>
      <c r="Y88" s="22" t="s">
        <v>811</v>
      </c>
      <c r="Z88" s="22" t="s">
        <v>811</v>
      </c>
      <c r="AA88" s="22" t="s">
        <v>811</v>
      </c>
      <c r="AB88" s="22" t="s">
        <v>811</v>
      </c>
      <c r="AC88" s="22" t="s">
        <v>811</v>
      </c>
      <c r="AD88" s="22" t="s">
        <v>811</v>
      </c>
      <c r="AE88" s="22" t="s">
        <v>811</v>
      </c>
      <c r="AF88" s="22" t="s">
        <v>811</v>
      </c>
      <c r="AG88" s="22" t="s">
        <v>811</v>
      </c>
      <c r="AH88" s="22" t="s">
        <v>811</v>
      </c>
      <c r="AI88" s="22" t="s">
        <v>811</v>
      </c>
      <c r="AJ88" s="46" t="str">
        <f>IF('[1]Baseline emission summary'!AI16*CO2toC*Ggtot&gt;0,'[1]Baseline emission summary'!AI16*CO2toC*Ggtot,"NO")</f>
        <v>NO</v>
      </c>
      <c r="AK88" s="46" t="str">
        <f>IF('[1]Baseline emission summary'!AJ16*CO2toC*Ggtot&gt;0,'[1]Baseline emission summary'!AJ16*CO2toC*Ggtot,"NO")</f>
        <v>NO</v>
      </c>
      <c r="AL88" s="46" t="str">
        <f>IF('[1]Baseline emission summary'!AK16*CO2toC*Ggtot&gt;0,'[1]Baseline emission summary'!AK16*CO2toC*Ggtot,"NO")</f>
        <v>NO</v>
      </c>
      <c r="AM88" s="46" t="str">
        <f>IF('[1]Baseline emission summary'!AL16*CO2toC*Ggtot&gt;0,'[1]Baseline emission summary'!AL16*CO2toC*Ggtot,"NO")</f>
        <v>NO</v>
      </c>
      <c r="AN88" s="46" t="str">
        <f>IF('[1]Baseline emission summary'!AM16*CO2toC*Ggtot&gt;0,'[1]Baseline emission summary'!AM16*CO2toC*Ggtot,"NO")</f>
        <v>NO</v>
      </c>
      <c r="AO88" s="46" t="str">
        <f>IF('[1]Baseline emission summary'!AN16*CO2toC*Ggtot&gt;0,'[1]Baseline emission summary'!AN16*CO2toC*Ggtot,"NO")</f>
        <v>NO</v>
      </c>
      <c r="AP88" s="46" t="str">
        <f>IF('[1]Baseline emission summary'!AO16*CO2toC*Ggtot&gt;0,'[1]Baseline emission summary'!AO16*CO2toC*Ggtot,"NO")</f>
        <v>NO</v>
      </c>
      <c r="AQ88" s="46" t="str">
        <f>IF('[1]Baseline emission summary'!AP16*CO2toC*Ggtot&gt;0,'[1]Baseline emission summary'!AP16*CO2toC*Ggtot,"NO")</f>
        <v>NO</v>
      </c>
      <c r="AR88" s="46" t="str">
        <f>IF('[1]Baseline emission summary'!AQ16*CO2toC*Ggtot&gt;0,'[1]Baseline emission summary'!AQ16*CO2toC*Ggtot,"NO")</f>
        <v>NO</v>
      </c>
      <c r="AS88" s="46" t="str">
        <f>IF('[1]Baseline emission summary'!AR16*CO2toC*Ggtot&gt;0,'[1]Baseline emission summary'!AR16*CO2toC*Ggtot,"NO")</f>
        <v>NO</v>
      </c>
      <c r="AT88" s="46" t="str">
        <f>IF('[1]Baseline emission summary'!AS16*CO2toC*Ggtot&gt;0,'[1]Baseline emission summary'!AS16*CO2toC*Ggtot,"NO")</f>
        <v>NO</v>
      </c>
      <c r="AU88" s="46" t="str">
        <f>IF('[1]Baseline emission summary'!AT16*CO2toC*Ggtot&gt;0,'[1]Baseline emission summary'!AT16*CO2toC*Ggtot,"NO")</f>
        <v>NO</v>
      </c>
      <c r="AV88" s="46" t="str">
        <f>IF('[1]Baseline emission summary'!AU16*CO2toC*Ggtot&gt;0,'[1]Baseline emission summary'!AU16*CO2toC*Ggtot,"NO")</f>
        <v>NO</v>
      </c>
      <c r="AW88" s="46" t="str">
        <f>IF('[1]Baseline emission summary'!AV16*CO2toC*Ggtot&gt;0,'[1]Baseline emission summary'!AV16*CO2toC*Ggtot,"NO")</f>
        <v>NO</v>
      </c>
      <c r="AX88" s="46" t="str">
        <f>IF('[1]Baseline emission summary'!AW16*CO2toC*Ggtot&gt;0,'[1]Baseline emission summary'!AW16*CO2toC*Ggtot,"NO")</f>
        <v>NO</v>
      </c>
      <c r="AY88" s="46" t="str">
        <f>IF('[1]Baseline emission summary'!AX16*CO2toC*Ggtot&gt;0,'[1]Baseline emission summary'!AX16*CO2toC*Ggtot,"NO")</f>
        <v>NO</v>
      </c>
      <c r="AZ88" s="46" t="str">
        <f>IF('[1]Baseline emission summary'!AY16*CO2toC*Ggtot&gt;0,'[1]Baseline emission summary'!AY16*CO2toC*Ggtot,"NO")</f>
        <v>NO</v>
      </c>
      <c r="BA88" s="46" t="str">
        <f>IF('[1]Baseline emission summary'!AZ16*CO2toC*Ggtot&gt;0,'[1]Baseline emission summary'!AZ16*CO2toC*Ggtot,"NO")</f>
        <v>NO</v>
      </c>
      <c r="BB88" s="46" t="str">
        <f>IF('[1]Baseline emission summary'!BA16*CO2toC*Ggtot&gt;0,'[1]Baseline emission summary'!BA16*CO2toC*Ggtot,"NO")</f>
        <v>NO</v>
      </c>
      <c r="BC88" s="46" t="str">
        <f>IF('[1]Baseline emission summary'!BB16*CO2toC*Ggtot&gt;0,'[1]Baseline emission summary'!BB16*CO2toC*Ggtot,"NO")</f>
        <v>NO</v>
      </c>
      <c r="BD88" s="46" t="str">
        <f>IF('[1]Baseline emission summary'!BC16*CO2toC*Ggtot&gt;0,'[1]Baseline emission summary'!BC16*CO2toC*Ggtot,"NO")</f>
        <v>NO</v>
      </c>
      <c r="BE88" s="46" t="str">
        <f>IF('[1]Baseline emission summary'!BD16*CO2toC*Ggtot&gt;0,'[1]Baseline emission summary'!BD16*CO2toC*Ggtot,"NO")</f>
        <v>NO</v>
      </c>
      <c r="BF88" s="46" t="str">
        <f>IF('[1]Baseline emission summary'!BE16*CO2toC*Ggtot&gt;0,'[1]Baseline emission summary'!BE16*CO2toC*Ggtot,"NO")</f>
        <v>NO</v>
      </c>
      <c r="BG88" s="46" t="str">
        <f>IF('[1]Baseline emission summary'!BF16*CO2toC*Ggtot&gt;0,'[1]Baseline emission summary'!BF16*CO2toC*Ggtot,"NO")</f>
        <v>NO</v>
      </c>
      <c r="BH88" s="46" t="str">
        <f>IF('[1]Baseline emission summary'!BG16*CO2toC*Ggtot&gt;0,'[1]Baseline emission summary'!BG16*CO2toC*Ggtot,"NO")</f>
        <v>NO</v>
      </c>
      <c r="BI88" s="46" t="str">
        <f>IF('[1]Baseline emission summary'!BH16*CO2toC*Ggtot&gt;0,'[1]Baseline emission summary'!BH16*CO2toC*Ggtot,"NO")</f>
        <v>NO</v>
      </c>
      <c r="BJ88" s="46" t="str">
        <f>IF('[1]Baseline emission summary'!BI16*CO2toC*Ggtot&gt;0,'[1]Baseline emission summary'!BI16*CO2toC*Ggtot,"NO")</f>
        <v>NO</v>
      </c>
      <c r="BK88" s="46" t="str">
        <f>IF('[1]Baseline emission summary'!BJ16*CO2toC*Ggtot&gt;0,'[1]Baseline emission summary'!BJ16*CO2toC*Ggtot,"NO")</f>
        <v>NO</v>
      </c>
      <c r="BL88" s="46" t="str">
        <f>IF('[1]Baseline emission summary'!BK16*CO2toC*Ggtot&gt;0,'[1]Baseline emission summary'!BK16*CO2toC*Ggtot,"NO")</f>
        <v>NO</v>
      </c>
      <c r="BM88" s="46" t="str">
        <f>IF('[1]Baseline emission summary'!BL16*CO2toC*Ggtot&gt;0,'[1]Baseline emission summary'!BL16*CO2toC*Ggtot,"NO")</f>
        <v>NO</v>
      </c>
      <c r="BN88" s="46" t="str">
        <f>IF('[1]Baseline emission summary'!BM16*CO2toC*Ggtot&gt;0,'[1]Baseline emission summary'!BM16*CO2toC*Ggtot,"NO")</f>
        <v>NO</v>
      </c>
      <c r="BO88" s="46" t="str">
        <f>IF('[1]Baseline emission summary'!BN16*CO2toC*Ggtot&gt;0,'[1]Baseline emission summary'!BN16*CO2toC*Ggtot,"NO")</f>
        <v>NO</v>
      </c>
      <c r="BP88" s="46" t="str">
        <f>IF('[1]Baseline emission summary'!BO16*CO2toC*Ggtot&gt;0,'[1]Baseline emission summary'!BO16*CO2toC*Ggtot,"NO")</f>
        <v>NO</v>
      </c>
      <c r="BQ88" s="85"/>
    </row>
    <row r="89" spans="1:72" x14ac:dyDescent="0.25">
      <c r="A89" t="str">
        <f>A87</f>
        <v>3C Aggregated and non-CO2 emissions on land</v>
      </c>
      <c r="B89" t="str">
        <f>B87</f>
        <v>3C4 Direct N2O from managed soils (N2O)</v>
      </c>
      <c r="C89" t="s">
        <v>64</v>
      </c>
      <c r="D89" t="s">
        <v>106</v>
      </c>
      <c r="F89" t="s">
        <v>810</v>
      </c>
      <c r="H89" s="22" t="s">
        <v>811</v>
      </c>
      <c r="I89" s="22" t="s">
        <v>811</v>
      </c>
      <c r="J89" s="22" t="s">
        <v>811</v>
      </c>
      <c r="K89" s="22" t="s">
        <v>811</v>
      </c>
      <c r="L89" s="22" t="s">
        <v>811</v>
      </c>
      <c r="M89" s="22" t="s">
        <v>811</v>
      </c>
      <c r="N89" s="22" t="s">
        <v>811</v>
      </c>
      <c r="O89" s="22" t="s">
        <v>811</v>
      </c>
      <c r="P89" s="22" t="s">
        <v>811</v>
      </c>
      <c r="Q89" s="22" t="s">
        <v>811</v>
      </c>
      <c r="R89" s="22" t="s">
        <v>811</v>
      </c>
      <c r="S89" s="22" t="s">
        <v>811</v>
      </c>
      <c r="T89" s="22" t="s">
        <v>811</v>
      </c>
      <c r="U89" s="22" t="s">
        <v>811</v>
      </c>
      <c r="V89" s="22" t="s">
        <v>811</v>
      </c>
      <c r="W89" s="22" t="s">
        <v>811</v>
      </c>
      <c r="X89" s="22" t="s">
        <v>811</v>
      </c>
      <c r="Y89" s="22" t="s">
        <v>811</v>
      </c>
      <c r="Z89" s="22" t="s">
        <v>811</v>
      </c>
      <c r="AA89" s="22" t="s">
        <v>811</v>
      </c>
      <c r="AB89" s="22" t="s">
        <v>811</v>
      </c>
      <c r="AC89" s="22" t="s">
        <v>811</v>
      </c>
      <c r="AD89" s="22" t="s">
        <v>811</v>
      </c>
      <c r="AE89" s="22" t="s">
        <v>811</v>
      </c>
      <c r="AF89" s="22" t="s">
        <v>811</v>
      </c>
      <c r="AG89" s="22" t="s">
        <v>811</v>
      </c>
      <c r="AH89" s="22" t="s">
        <v>811</v>
      </c>
      <c r="AI89" s="22" t="s">
        <v>811</v>
      </c>
      <c r="AJ89" s="46" t="str">
        <f>IF('[1]Baseline emission summary'!AI24*CO2toC*Ggtot&gt;0,'[1]Baseline emission summary'!AI24*CO2toC*Ggtot,"NO")</f>
        <v>NO</v>
      </c>
      <c r="AK89" s="46" t="str">
        <f>IF('[1]Baseline emission summary'!AJ24*CO2toC*Ggtot&gt;0,'[1]Baseline emission summary'!AJ24*CO2toC*Ggtot,"NO")</f>
        <v>NO</v>
      </c>
      <c r="AL89" s="46" t="str">
        <f>IF('[1]Baseline emission summary'!AK24*CO2toC*Ggtot&gt;0,'[1]Baseline emission summary'!AK24*CO2toC*Ggtot,"NO")</f>
        <v>NO</v>
      </c>
      <c r="AM89" s="46" t="str">
        <f>IF('[1]Baseline emission summary'!AL24*CO2toC*Ggtot&gt;0,'[1]Baseline emission summary'!AL24*CO2toC*Ggtot,"NO")</f>
        <v>NO</v>
      </c>
      <c r="AN89" s="46" t="str">
        <f>IF('[1]Baseline emission summary'!AM24*CO2toC*Ggtot&gt;0,'[1]Baseline emission summary'!AM24*CO2toC*Ggtot,"NO")</f>
        <v>NO</v>
      </c>
      <c r="AO89" s="46" t="str">
        <f>IF('[1]Baseline emission summary'!AN24*CO2toC*Ggtot&gt;0,'[1]Baseline emission summary'!AN24*CO2toC*Ggtot,"NO")</f>
        <v>NO</v>
      </c>
      <c r="AP89" s="46" t="str">
        <f>IF('[1]Baseline emission summary'!AO24*CO2toC*Ggtot&gt;0,'[1]Baseline emission summary'!AO24*CO2toC*Ggtot,"NO")</f>
        <v>NO</v>
      </c>
      <c r="AQ89" s="46" t="str">
        <f>IF('[1]Baseline emission summary'!AP24*CO2toC*Ggtot&gt;0,'[1]Baseline emission summary'!AP24*CO2toC*Ggtot,"NO")</f>
        <v>NO</v>
      </c>
      <c r="AR89" s="46" t="str">
        <f>IF('[1]Baseline emission summary'!AQ24*CO2toC*Ggtot&gt;0,'[1]Baseline emission summary'!AQ24*CO2toC*Ggtot,"NO")</f>
        <v>NO</v>
      </c>
      <c r="AS89" s="46" t="str">
        <f>IF('[1]Baseline emission summary'!AR24*CO2toC*Ggtot&gt;0,'[1]Baseline emission summary'!AR24*CO2toC*Ggtot,"NO")</f>
        <v>NO</v>
      </c>
      <c r="AT89" s="46" t="str">
        <f>IF('[1]Baseline emission summary'!AS24*CO2toC*Ggtot&gt;0,'[1]Baseline emission summary'!AS24*CO2toC*Ggtot,"NO")</f>
        <v>NO</v>
      </c>
      <c r="AU89" s="46" t="str">
        <f>IF('[1]Baseline emission summary'!AT24*CO2toC*Ggtot&gt;0,'[1]Baseline emission summary'!AT24*CO2toC*Ggtot,"NO")</f>
        <v>NO</v>
      </c>
      <c r="AV89" s="46" t="str">
        <f>IF('[1]Baseline emission summary'!AU24*CO2toC*Ggtot&gt;0,'[1]Baseline emission summary'!AU24*CO2toC*Ggtot,"NO")</f>
        <v>NO</v>
      </c>
      <c r="AW89" s="46" t="str">
        <f>IF('[1]Baseline emission summary'!AV24*CO2toC*Ggtot&gt;0,'[1]Baseline emission summary'!AV24*CO2toC*Ggtot,"NO")</f>
        <v>NO</v>
      </c>
      <c r="AX89" s="46" t="str">
        <f>IF('[1]Baseline emission summary'!AW24*CO2toC*Ggtot&gt;0,'[1]Baseline emission summary'!AW24*CO2toC*Ggtot,"NO")</f>
        <v>NO</v>
      </c>
      <c r="AY89" s="46" t="str">
        <f>IF('[1]Baseline emission summary'!AX24*CO2toC*Ggtot&gt;0,'[1]Baseline emission summary'!AX24*CO2toC*Ggtot,"NO")</f>
        <v>NO</v>
      </c>
      <c r="AZ89" s="46" t="str">
        <f>IF('[1]Baseline emission summary'!AY24*CO2toC*Ggtot&gt;0,'[1]Baseline emission summary'!AY24*CO2toC*Ggtot,"NO")</f>
        <v>NO</v>
      </c>
      <c r="BA89" s="46" t="str">
        <f>IF('[1]Baseline emission summary'!AZ24*CO2toC*Ggtot&gt;0,'[1]Baseline emission summary'!AZ24*CO2toC*Ggtot,"NO")</f>
        <v>NO</v>
      </c>
      <c r="BB89" s="46" t="str">
        <f>IF('[1]Baseline emission summary'!BA24*CO2toC*Ggtot&gt;0,'[1]Baseline emission summary'!BA24*CO2toC*Ggtot,"NO")</f>
        <v>NO</v>
      </c>
      <c r="BC89" s="46" t="str">
        <f>IF('[1]Baseline emission summary'!BB24*CO2toC*Ggtot&gt;0,'[1]Baseline emission summary'!BB24*CO2toC*Ggtot,"NO")</f>
        <v>NO</v>
      </c>
      <c r="BD89" s="46" t="str">
        <f>IF('[1]Baseline emission summary'!BC24*CO2toC*Ggtot&gt;0,'[1]Baseline emission summary'!BC24*CO2toC*Ggtot,"NO")</f>
        <v>NO</v>
      </c>
      <c r="BE89" s="46" t="str">
        <f>IF('[1]Baseline emission summary'!BD24*CO2toC*Ggtot&gt;0,'[1]Baseline emission summary'!BD24*CO2toC*Ggtot,"NO")</f>
        <v>NO</v>
      </c>
      <c r="BF89" s="46" t="str">
        <f>IF('[1]Baseline emission summary'!BE24*CO2toC*Ggtot&gt;0,'[1]Baseline emission summary'!BE24*CO2toC*Ggtot,"NO")</f>
        <v>NO</v>
      </c>
      <c r="BG89" s="46" t="str">
        <f>IF('[1]Baseline emission summary'!BF24*CO2toC*Ggtot&gt;0,'[1]Baseline emission summary'!BF24*CO2toC*Ggtot,"NO")</f>
        <v>NO</v>
      </c>
      <c r="BH89" s="46" t="str">
        <f>IF('[1]Baseline emission summary'!BG24*CO2toC*Ggtot&gt;0,'[1]Baseline emission summary'!BG24*CO2toC*Ggtot,"NO")</f>
        <v>NO</v>
      </c>
      <c r="BI89" s="46" t="str">
        <f>IF('[1]Baseline emission summary'!BH24*CO2toC*Ggtot&gt;0,'[1]Baseline emission summary'!BH24*CO2toC*Ggtot,"NO")</f>
        <v>NO</v>
      </c>
      <c r="BJ89" s="46" t="str">
        <f>IF('[1]Baseline emission summary'!BI24*CO2toC*Ggtot&gt;0,'[1]Baseline emission summary'!BI24*CO2toC*Ggtot,"NO")</f>
        <v>NO</v>
      </c>
      <c r="BK89" s="46" t="str">
        <f>IF('[1]Baseline emission summary'!BJ24*CO2toC*Ggtot&gt;0,'[1]Baseline emission summary'!BJ24*CO2toC*Ggtot,"NO")</f>
        <v>NO</v>
      </c>
      <c r="BL89" s="46" t="str">
        <f>IF('[1]Baseline emission summary'!BK24*CO2toC*Ggtot&gt;0,'[1]Baseline emission summary'!BK24*CO2toC*Ggtot,"NO")</f>
        <v>NO</v>
      </c>
      <c r="BM89" s="46" t="str">
        <f>IF('[1]Baseline emission summary'!BL24*CO2toC*Ggtot&gt;0,'[1]Baseline emission summary'!BL24*CO2toC*Ggtot,"NO")</f>
        <v>NO</v>
      </c>
      <c r="BN89" s="46" t="str">
        <f>IF('[1]Baseline emission summary'!BM24*CO2toC*Ggtot&gt;0,'[1]Baseline emission summary'!BM24*CO2toC*Ggtot,"NO")</f>
        <v>NO</v>
      </c>
      <c r="BO89" s="46" t="str">
        <f>IF('[1]Baseline emission summary'!BN24*CO2toC*Ggtot&gt;0,'[1]Baseline emission summary'!BN24*CO2toC*Ggtot,"NO")</f>
        <v>NO</v>
      </c>
      <c r="BP89" s="46" t="str">
        <f>IF('[1]Baseline emission summary'!BO24*CO2toC*Ggtot&gt;0,'[1]Baseline emission summary'!BO24*CO2toC*Ggtot,"NO")</f>
        <v>NO</v>
      </c>
      <c r="BQ89" s="85"/>
    </row>
    <row r="90" spans="1:72" x14ac:dyDescent="0.25">
      <c r="C90" t="s">
        <v>64</v>
      </c>
      <c r="D90" t="s">
        <v>107</v>
      </c>
      <c r="F90" t="s">
        <v>810</v>
      </c>
      <c r="H90" s="22" t="s">
        <v>811</v>
      </c>
      <c r="I90" s="22">
        <v>201943.5408761205</v>
      </c>
      <c r="J90" s="22">
        <v>201943.5408761205</v>
      </c>
      <c r="K90" s="22">
        <v>201943.5408761205</v>
      </c>
      <c r="L90" s="22">
        <v>201943.5408761205</v>
      </c>
      <c r="M90" s="22">
        <v>201943.5408761205</v>
      </c>
      <c r="N90" s="22">
        <v>201943.5408761205</v>
      </c>
      <c r="O90" s="22">
        <v>201943.5408761205</v>
      </c>
      <c r="P90" s="22">
        <v>201943.5408761205</v>
      </c>
      <c r="Q90" s="22">
        <v>201943.5408761205</v>
      </c>
      <c r="R90" s="22">
        <v>201943.5408761205</v>
      </c>
      <c r="S90" s="22">
        <v>201943.5408761205</v>
      </c>
      <c r="T90" s="22">
        <v>201943.5408761205</v>
      </c>
      <c r="U90" s="22">
        <v>201943.5408761205</v>
      </c>
      <c r="V90" s="22">
        <v>201943.5408761205</v>
      </c>
      <c r="W90" s="22">
        <v>201943.5408761205</v>
      </c>
      <c r="X90" s="22">
        <v>201943.5408761205</v>
      </c>
      <c r="Y90" s="22">
        <v>201943.5408761205</v>
      </c>
      <c r="Z90" s="22">
        <v>201943.5408761205</v>
      </c>
      <c r="AA90" s="22">
        <v>201943.5408761205</v>
      </c>
      <c r="AB90" s="22">
        <v>201943.5408761205</v>
      </c>
      <c r="AC90" s="22">
        <v>201943.5408761205</v>
      </c>
      <c r="AD90" s="22">
        <v>201943.5408761205</v>
      </c>
      <c r="AE90" s="22">
        <v>201943.5408761205</v>
      </c>
      <c r="AF90" s="22">
        <v>201943.5408761205</v>
      </c>
      <c r="AG90" s="22">
        <v>201943.5408761205</v>
      </c>
      <c r="AH90" s="22">
        <v>201943.5408761205</v>
      </c>
      <c r="AI90" s="22">
        <v>201943.5408761205</v>
      </c>
      <c r="AJ90" s="46">
        <f>IF('[1]Baseline emission summary'!AI29*CO2toC*Ggtot&gt;0,'[1]Baseline emission summary'!AI29*CO2toC*Ggtot,"NO")</f>
        <v>338403.38914217812</v>
      </c>
      <c r="AK90" s="46">
        <f>IF('[1]Baseline emission summary'!AJ29*CO2toC*Ggtot&gt;0,'[1]Baseline emission summary'!AJ29*CO2toC*Ggtot,"NO")</f>
        <v>339505.20249887358</v>
      </c>
      <c r="AL90" s="46">
        <f>IF('[1]Baseline emission summary'!AK29*CO2toC*Ggtot&gt;0,'[1]Baseline emission summary'!AK29*CO2toC*Ggtot,"NO")</f>
        <v>340607.01585556904</v>
      </c>
      <c r="AM90" s="46">
        <f>IF('[1]Baseline emission summary'!AL29*CO2toC*Ggtot&gt;0,'[1]Baseline emission summary'!AL29*CO2toC*Ggtot,"NO")</f>
        <v>341708.82921226451</v>
      </c>
      <c r="AN90" s="46">
        <f>IF('[1]Baseline emission summary'!AM29*CO2toC*Ggtot&gt;0,'[1]Baseline emission summary'!AM29*CO2toC*Ggtot,"NO")</f>
        <v>342810.64256895991</v>
      </c>
      <c r="AO90" s="46">
        <f>IF('[1]Baseline emission summary'!AN29*CO2toC*Ggtot&gt;0,'[1]Baseline emission summary'!AN29*CO2toC*Ggtot,"NO")</f>
        <v>343912.45592565538</v>
      </c>
      <c r="AP90" s="46">
        <f>IF('[1]Baseline emission summary'!AO29*CO2toC*Ggtot&gt;0,'[1]Baseline emission summary'!AO29*CO2toC*Ggtot,"NO")</f>
        <v>345014.26928235084</v>
      </c>
      <c r="AQ90" s="46">
        <f>IF('[1]Baseline emission summary'!AP29*CO2toC*Ggtot&gt;0,'[1]Baseline emission summary'!AP29*CO2toC*Ggtot,"NO")</f>
        <v>346116.08263904607</v>
      </c>
      <c r="AR90" s="46">
        <f>IF('[1]Baseline emission summary'!AQ29*CO2toC*Ggtot&gt;0,'[1]Baseline emission summary'!AQ29*CO2toC*Ggtot,"NO")</f>
        <v>347217.89599574171</v>
      </c>
      <c r="AS90" s="46">
        <f>IF('[1]Baseline emission summary'!AR29*CO2toC*Ggtot&gt;0,'[1]Baseline emission summary'!AR29*CO2toC*Ggtot,"NO")</f>
        <v>348319.70935243717</v>
      </c>
      <c r="AT90" s="46">
        <f>IF('[1]Baseline emission summary'!AS29*CO2toC*Ggtot&gt;0,'[1]Baseline emission summary'!AS29*CO2toC*Ggtot,"NO")</f>
        <v>349421.52270913252</v>
      </c>
      <c r="AU90" s="46">
        <f>IF('[1]Baseline emission summary'!AT29*CO2toC*Ggtot&gt;0,'[1]Baseline emission summary'!AT29*CO2toC*Ggtot,"NO")</f>
        <v>350523.33606582793</v>
      </c>
      <c r="AV90" s="46">
        <f>IF('[1]Baseline emission summary'!AU29*CO2toC*Ggtot&gt;0,'[1]Baseline emission summary'!AU29*CO2toC*Ggtot,"NO")</f>
        <v>351625.14942252339</v>
      </c>
      <c r="AW90" s="46">
        <f>IF('[1]Baseline emission summary'!AV29*CO2toC*Ggtot&gt;0,'[1]Baseline emission summary'!AV29*CO2toC*Ggtot,"NO")</f>
        <v>352726.96277921891</v>
      </c>
      <c r="AX90" s="46">
        <f>IF('[1]Baseline emission summary'!AW29*CO2toC*Ggtot&gt;0,'[1]Baseline emission summary'!AW29*CO2toC*Ggtot,"NO")</f>
        <v>353828.77613591426</v>
      </c>
      <c r="AY90" s="46">
        <f>IF('[1]Baseline emission summary'!AX29*CO2toC*Ggtot&gt;0,'[1]Baseline emission summary'!AX29*CO2toC*Ggtot,"NO")</f>
        <v>354930.58949260972</v>
      </c>
      <c r="AZ90" s="46">
        <f>IF('[1]Baseline emission summary'!AY29*CO2toC*Ggtot&gt;0,'[1]Baseline emission summary'!AY29*CO2toC*Ggtot,"NO")</f>
        <v>356032.40284930513</v>
      </c>
      <c r="BA90" s="46">
        <f>IF('[1]Baseline emission summary'!AZ29*CO2toC*Ggtot&gt;0,'[1]Baseline emission summary'!AZ29*CO2toC*Ggtot,"NO")</f>
        <v>357134.21620600054</v>
      </c>
      <c r="BB90" s="46">
        <f>IF('[1]Baseline emission summary'!BA29*CO2toC*Ggtot&gt;0,'[1]Baseline emission summary'!BA29*CO2toC*Ggtot,"NO")</f>
        <v>358236.02956269606</v>
      </c>
      <c r="BC90" s="46">
        <f>IF('[1]Baseline emission summary'!BB29*CO2toC*Ggtot&gt;0,'[1]Baseline emission summary'!BB29*CO2toC*Ggtot,"NO")</f>
        <v>359337.84291939146</v>
      </c>
      <c r="BD90" s="46">
        <f>IF('[1]Baseline emission summary'!BC29*CO2toC*Ggtot&gt;0,'[1]Baseline emission summary'!BC29*CO2toC*Ggtot,"NO")</f>
        <v>360439.65627608704</v>
      </c>
      <c r="BE90" s="46">
        <f>IF('[1]Baseline emission summary'!BD29*CO2toC*Ggtot&gt;0,'[1]Baseline emission summary'!BD29*CO2toC*Ggtot,"NO")</f>
        <v>361541.46963278239</v>
      </c>
      <c r="BF90" s="46">
        <f>IF('[1]Baseline emission summary'!BE29*CO2toC*Ggtot&gt;0,'[1]Baseline emission summary'!BE29*CO2toC*Ggtot,"NO")</f>
        <v>362643.28298947786</v>
      </c>
      <c r="BG90" s="46">
        <f>IF('[1]Baseline emission summary'!BF29*CO2toC*Ggtot&gt;0,'[1]Baseline emission summary'!BF29*CO2toC*Ggtot,"NO")</f>
        <v>363745.09634617326</v>
      </c>
      <c r="BH90" s="46">
        <f>IF('[1]Baseline emission summary'!BG29*CO2toC*Ggtot&gt;0,'[1]Baseline emission summary'!BG29*CO2toC*Ggtot,"NO")</f>
        <v>364846.90970286861</v>
      </c>
      <c r="BI90" s="46">
        <f>IF('[1]Baseline emission summary'!BH29*CO2toC*Ggtot&gt;0,'[1]Baseline emission summary'!BH29*CO2toC*Ggtot,"NO")</f>
        <v>365948.72305956407</v>
      </c>
      <c r="BJ90" s="46">
        <f>IF('[1]Baseline emission summary'!BI29*CO2toC*Ggtot&gt;0,'[1]Baseline emission summary'!BI29*CO2toC*Ggtot,"NO")</f>
        <v>367050.53641625948</v>
      </c>
      <c r="BK90" s="46">
        <f>IF('[1]Baseline emission summary'!BJ29*CO2toC*Ggtot&gt;0,'[1]Baseline emission summary'!BJ29*CO2toC*Ggtot,"NO")</f>
        <v>368152.34977295506</v>
      </c>
      <c r="BL90" s="46">
        <f>IF('[1]Baseline emission summary'!BK29*CO2toC*Ggtot&gt;0,'[1]Baseline emission summary'!BK29*CO2toC*Ggtot,"NO")</f>
        <v>369254.16312965041</v>
      </c>
      <c r="BM90" s="46">
        <f>IF('[1]Baseline emission summary'!BL29*CO2toC*Ggtot&gt;0,'[1]Baseline emission summary'!BL29*CO2toC*Ggtot,"NO")</f>
        <v>370355.97648634587</v>
      </c>
      <c r="BN90" s="46">
        <f>IF('[1]Baseline emission summary'!BM29*CO2toC*Ggtot&gt;0,'[1]Baseline emission summary'!BM29*CO2toC*Ggtot,"NO")</f>
        <v>371457.78984304133</v>
      </c>
      <c r="BO90" s="46">
        <f>IF('[1]Baseline emission summary'!BN29*CO2toC*Ggtot&gt;0,'[1]Baseline emission summary'!BN29*CO2toC*Ggtot,"NO")</f>
        <v>372559.60319973686</v>
      </c>
      <c r="BP90" s="46">
        <f>IF('[1]Baseline emission summary'!BO29*CO2toC*Ggtot&gt;0,'[1]Baseline emission summary'!BO29*CO2toC*Ggtot,"NO")</f>
        <v>373661.41655643226</v>
      </c>
      <c r="BQ90" s="85"/>
    </row>
    <row r="91" spans="1:72" x14ac:dyDescent="0.25">
      <c r="A91" t="str">
        <f>A87</f>
        <v>3C Aggregated and non-CO2 emissions on land</v>
      </c>
      <c r="B91" t="str">
        <f>B87</f>
        <v>3C4 Direct N2O from managed soils (N2O)</v>
      </c>
      <c r="C91" t="s">
        <v>64</v>
      </c>
      <c r="D91" t="s">
        <v>108</v>
      </c>
      <c r="F91" t="s">
        <v>810</v>
      </c>
      <c r="H91" s="22" t="s">
        <v>811</v>
      </c>
      <c r="I91" s="22">
        <v>4806.5146545713069</v>
      </c>
      <c r="J91" s="22">
        <v>4806.5146545713069</v>
      </c>
      <c r="K91" s="22">
        <v>4806.5146545713069</v>
      </c>
      <c r="L91" s="22">
        <v>4806.5146545713069</v>
      </c>
      <c r="M91" s="22">
        <v>4806.5146545713069</v>
      </c>
      <c r="N91" s="22">
        <v>4806.5146545713069</v>
      </c>
      <c r="O91" s="22">
        <v>4806.5146545713069</v>
      </c>
      <c r="P91" s="22">
        <v>4806.5146545713069</v>
      </c>
      <c r="Q91" s="22">
        <v>4806.5146545713069</v>
      </c>
      <c r="R91" s="22">
        <v>4806.5146545713069</v>
      </c>
      <c r="S91" s="22">
        <v>4806.5146545713069</v>
      </c>
      <c r="T91" s="22">
        <v>4806.5146545713069</v>
      </c>
      <c r="U91" s="22">
        <v>4806.5146545713069</v>
      </c>
      <c r="V91" s="22">
        <v>4806.5146545713069</v>
      </c>
      <c r="W91" s="22">
        <v>4806.5146545713069</v>
      </c>
      <c r="X91" s="22">
        <v>4806.5146545713069</v>
      </c>
      <c r="Y91" s="22">
        <v>4806.5146545713069</v>
      </c>
      <c r="Z91" s="22">
        <v>4806.5146545713069</v>
      </c>
      <c r="AA91" s="22">
        <v>4806.5146545713069</v>
      </c>
      <c r="AB91" s="22">
        <v>4806.5146545713069</v>
      </c>
      <c r="AC91" s="22">
        <v>4806.5146545713069</v>
      </c>
      <c r="AD91" s="22">
        <v>4806.5146545713069</v>
      </c>
      <c r="AE91" s="22">
        <v>4806.5146545713069</v>
      </c>
      <c r="AF91" s="22">
        <v>4806.5146545713069</v>
      </c>
      <c r="AG91" s="22">
        <v>4806.5146545713069</v>
      </c>
      <c r="AH91" s="22">
        <v>4806.5146545713069</v>
      </c>
      <c r="AI91" s="22">
        <v>4806.5146545713069</v>
      </c>
      <c r="AJ91" s="46">
        <f>IF('[1]Baseline emission summary'!AI37*CO2toC*Ggtot&gt;0,'[1]Baseline emission summary'!AI37*CO2toC*Ggtot,"NO")</f>
        <v>1321805.834905548</v>
      </c>
      <c r="AK91" s="46">
        <f>IF('[1]Baseline emission summary'!AJ37*CO2toC*Ggtot&gt;0,'[1]Baseline emission summary'!AJ37*CO2toC*Ggtot,"NO")</f>
        <v>1321805.834905548</v>
      </c>
      <c r="AL91" s="46">
        <f>IF('[1]Baseline emission summary'!AK37*CO2toC*Ggtot&gt;0,'[1]Baseline emission summary'!AK37*CO2toC*Ggtot,"NO")</f>
        <v>1321805.834905548</v>
      </c>
      <c r="AM91" s="46">
        <f>IF('[1]Baseline emission summary'!AL37*CO2toC*Ggtot&gt;0,'[1]Baseline emission summary'!AL37*CO2toC*Ggtot,"NO")</f>
        <v>1321805.834905548</v>
      </c>
      <c r="AN91" s="46">
        <f>IF('[1]Baseline emission summary'!AM37*CO2toC*Ggtot&gt;0,'[1]Baseline emission summary'!AM37*CO2toC*Ggtot,"NO")</f>
        <v>1321805.834905548</v>
      </c>
      <c r="AO91" s="46">
        <f>IF('[1]Baseline emission summary'!AN37*CO2toC*Ggtot&gt;0,'[1]Baseline emission summary'!AN37*CO2toC*Ggtot,"NO")</f>
        <v>1321805.834905548</v>
      </c>
      <c r="AP91" s="46">
        <f>IF('[1]Baseline emission summary'!AO37*CO2toC*Ggtot&gt;0,'[1]Baseline emission summary'!AO37*CO2toC*Ggtot,"NO")</f>
        <v>1321805.834905548</v>
      </c>
      <c r="AQ91" s="46">
        <f>IF('[1]Baseline emission summary'!AP37*CO2toC*Ggtot&gt;0,'[1]Baseline emission summary'!AP37*CO2toC*Ggtot,"NO")</f>
        <v>1321805.834905548</v>
      </c>
      <c r="AR91" s="46">
        <f>IF('[1]Baseline emission summary'!AQ37*CO2toC*Ggtot&gt;0,'[1]Baseline emission summary'!AQ37*CO2toC*Ggtot,"NO")</f>
        <v>1321805.834905548</v>
      </c>
      <c r="AS91" s="46">
        <f>IF('[1]Baseline emission summary'!AR37*CO2toC*Ggtot&gt;0,'[1]Baseline emission summary'!AR37*CO2toC*Ggtot,"NO")</f>
        <v>1321805.834905548</v>
      </c>
      <c r="AT91" s="46">
        <f>IF('[1]Baseline emission summary'!AS37*CO2toC*Ggtot&gt;0,'[1]Baseline emission summary'!AS37*CO2toC*Ggtot,"NO")</f>
        <v>1321805.834905548</v>
      </c>
      <c r="AU91" s="46">
        <f>IF('[1]Baseline emission summary'!AT37*CO2toC*Ggtot&gt;0,'[1]Baseline emission summary'!AT37*CO2toC*Ggtot,"NO")</f>
        <v>1321805.834905548</v>
      </c>
      <c r="AV91" s="46">
        <f>IF('[1]Baseline emission summary'!AU37*CO2toC*Ggtot&gt;0,'[1]Baseline emission summary'!AU37*CO2toC*Ggtot,"NO")</f>
        <v>1321805.834905548</v>
      </c>
      <c r="AW91" s="46">
        <f>IF('[1]Baseline emission summary'!AV37*CO2toC*Ggtot&gt;0,'[1]Baseline emission summary'!AV37*CO2toC*Ggtot,"NO")</f>
        <v>1321805.834905548</v>
      </c>
      <c r="AX91" s="46">
        <f>IF('[1]Baseline emission summary'!AW37*CO2toC*Ggtot&gt;0,'[1]Baseline emission summary'!AW37*CO2toC*Ggtot,"NO")</f>
        <v>1321805.834905548</v>
      </c>
      <c r="AY91" s="46">
        <f>IF('[1]Baseline emission summary'!AX37*CO2toC*Ggtot&gt;0,'[1]Baseline emission summary'!AX37*CO2toC*Ggtot,"NO")</f>
        <v>1321805.834905548</v>
      </c>
      <c r="AZ91" s="46">
        <f>IF('[1]Baseline emission summary'!AY37*CO2toC*Ggtot&gt;0,'[1]Baseline emission summary'!AY37*CO2toC*Ggtot,"NO")</f>
        <v>1321805.834905548</v>
      </c>
      <c r="BA91" s="46">
        <f>IF('[1]Baseline emission summary'!AZ37*CO2toC*Ggtot&gt;0,'[1]Baseline emission summary'!AZ37*CO2toC*Ggtot,"NO")</f>
        <v>1321805.834905548</v>
      </c>
      <c r="BB91" s="46">
        <f>IF('[1]Baseline emission summary'!BA37*CO2toC*Ggtot&gt;0,'[1]Baseline emission summary'!BA37*CO2toC*Ggtot,"NO")</f>
        <v>1321805.834905548</v>
      </c>
      <c r="BC91" s="46">
        <f>IF('[1]Baseline emission summary'!BB37*CO2toC*Ggtot&gt;0,'[1]Baseline emission summary'!BB37*CO2toC*Ggtot,"NO")</f>
        <v>1321805.834905548</v>
      </c>
      <c r="BD91" s="46">
        <f>IF('[1]Baseline emission summary'!BC37*CO2toC*Ggtot&gt;0,'[1]Baseline emission summary'!BC37*CO2toC*Ggtot,"NO")</f>
        <v>1321805.834905548</v>
      </c>
      <c r="BE91" s="46">
        <f>IF('[1]Baseline emission summary'!BD37*CO2toC*Ggtot&gt;0,'[1]Baseline emission summary'!BD37*CO2toC*Ggtot,"NO")</f>
        <v>1321805.834905548</v>
      </c>
      <c r="BF91" s="46">
        <f>IF('[1]Baseline emission summary'!BE37*CO2toC*Ggtot&gt;0,'[1]Baseline emission summary'!BE37*CO2toC*Ggtot,"NO")</f>
        <v>1321805.834905548</v>
      </c>
      <c r="BG91" s="46">
        <f>IF('[1]Baseline emission summary'!BF37*CO2toC*Ggtot&gt;0,'[1]Baseline emission summary'!BF37*CO2toC*Ggtot,"NO")</f>
        <v>1321805.834905548</v>
      </c>
      <c r="BH91" s="46">
        <f>IF('[1]Baseline emission summary'!BG37*CO2toC*Ggtot&gt;0,'[1]Baseline emission summary'!BG37*CO2toC*Ggtot,"NO")</f>
        <v>1321805.834905548</v>
      </c>
      <c r="BI91" s="46">
        <f>IF('[1]Baseline emission summary'!BH37*CO2toC*Ggtot&gt;0,'[1]Baseline emission summary'!BH37*CO2toC*Ggtot,"NO")</f>
        <v>1321805.834905548</v>
      </c>
      <c r="BJ91" s="46">
        <f>IF('[1]Baseline emission summary'!BI37*CO2toC*Ggtot&gt;0,'[1]Baseline emission summary'!BI37*CO2toC*Ggtot,"NO")</f>
        <v>1321805.834905548</v>
      </c>
      <c r="BK91" s="46">
        <f>IF('[1]Baseline emission summary'!BJ37*CO2toC*Ggtot&gt;0,'[1]Baseline emission summary'!BJ37*CO2toC*Ggtot,"NO")</f>
        <v>1321805.834905548</v>
      </c>
      <c r="BL91" s="46">
        <f>IF('[1]Baseline emission summary'!BK37*CO2toC*Ggtot&gt;0,'[1]Baseline emission summary'!BK37*CO2toC*Ggtot,"NO")</f>
        <v>1321805.834905548</v>
      </c>
      <c r="BM91" s="46">
        <f>IF('[1]Baseline emission summary'!BL37*CO2toC*Ggtot&gt;0,'[1]Baseline emission summary'!BL37*CO2toC*Ggtot,"NO")</f>
        <v>1321805.834905548</v>
      </c>
      <c r="BN91" s="46">
        <f>IF('[1]Baseline emission summary'!BM37*CO2toC*Ggtot&gt;0,'[1]Baseline emission summary'!BM37*CO2toC*Ggtot,"NO")</f>
        <v>1321805.834905548</v>
      </c>
      <c r="BO91" s="46">
        <f>IF('[1]Baseline emission summary'!BN37*CO2toC*Ggtot&gt;0,'[1]Baseline emission summary'!BN37*CO2toC*Ggtot,"NO")</f>
        <v>1321805.834905548</v>
      </c>
      <c r="BP91" s="46">
        <f>IF('[1]Baseline emission summary'!BO37*CO2toC*Ggtot&gt;0,'[1]Baseline emission summary'!BO37*CO2toC*Ggtot,"NO")</f>
        <v>1321805.834905548</v>
      </c>
      <c r="BQ91" s="85"/>
    </row>
    <row r="92" spans="1:72" x14ac:dyDescent="0.25">
      <c r="C92" t="s">
        <v>64</v>
      </c>
      <c r="D92" t="s">
        <v>109</v>
      </c>
      <c r="F92" t="s">
        <v>810</v>
      </c>
      <c r="H92" s="22">
        <v>0</v>
      </c>
      <c r="I92" s="22">
        <v>255884.38123831482</v>
      </c>
      <c r="J92" s="22">
        <v>255884.38123831482</v>
      </c>
      <c r="K92" s="22">
        <v>255884.38123831482</v>
      </c>
      <c r="L92" s="22">
        <v>255884.38123831482</v>
      </c>
      <c r="M92" s="22">
        <v>255884.38123831482</v>
      </c>
      <c r="N92" s="22">
        <v>255884.38123831482</v>
      </c>
      <c r="O92" s="22">
        <v>255884.38123831482</v>
      </c>
      <c r="P92" s="22">
        <v>255884.38123831482</v>
      </c>
      <c r="Q92" s="22">
        <v>255884.38123831482</v>
      </c>
      <c r="R92" s="22">
        <v>255884.38123831482</v>
      </c>
      <c r="S92" s="22">
        <v>255884.38123831482</v>
      </c>
      <c r="T92" s="22">
        <v>255884.38123831482</v>
      </c>
      <c r="U92" s="22">
        <v>255884.38123831482</v>
      </c>
      <c r="V92" s="22">
        <v>255884.38123831482</v>
      </c>
      <c r="W92" s="22">
        <v>255884.38123831482</v>
      </c>
      <c r="X92" s="22">
        <v>255884.38123831482</v>
      </c>
      <c r="Y92" s="22">
        <v>255884.38123831482</v>
      </c>
      <c r="Z92" s="22">
        <v>255884.38123831482</v>
      </c>
      <c r="AA92" s="22">
        <v>255884.38123831482</v>
      </c>
      <c r="AB92" s="22">
        <v>255884.38123831482</v>
      </c>
      <c r="AC92" s="22">
        <v>255884.38123831482</v>
      </c>
      <c r="AD92" s="22">
        <v>255884.38123831482</v>
      </c>
      <c r="AE92" s="22">
        <v>255884.38123831482</v>
      </c>
      <c r="AF92" s="22">
        <v>255884.38123831482</v>
      </c>
      <c r="AG92" s="22">
        <v>255884.38123831482</v>
      </c>
      <c r="AH92" s="22">
        <v>255884.38123831482</v>
      </c>
      <c r="AI92" s="22">
        <v>255884.38123831482</v>
      </c>
      <c r="AJ92" s="46" t="str">
        <f>IF('[1]Baseline emission summary'!AI42*CO2toC*Ggtot&gt;0,'[1]Baseline emission summary'!AI42*CO2toC*Ggtot,"NO")</f>
        <v>NO</v>
      </c>
      <c r="AK92" s="46" t="str">
        <f>IF('[1]Baseline emission summary'!AJ42*CO2toC*Ggtot&gt;0,'[1]Baseline emission summary'!AJ42*CO2toC*Ggtot,"NO")</f>
        <v>NO</v>
      </c>
      <c r="AL92" s="46" t="str">
        <f>IF('[1]Baseline emission summary'!AK42*CO2toC*Ggtot&gt;0,'[1]Baseline emission summary'!AK42*CO2toC*Ggtot,"NO")</f>
        <v>NO</v>
      </c>
      <c r="AM92" s="46" t="str">
        <f>IF('[1]Baseline emission summary'!AL42*CO2toC*Ggtot&gt;0,'[1]Baseline emission summary'!AL42*CO2toC*Ggtot,"NO")</f>
        <v>NO</v>
      </c>
      <c r="AN92" s="46" t="str">
        <f>IF('[1]Baseline emission summary'!AM42*CO2toC*Ggtot&gt;0,'[1]Baseline emission summary'!AM42*CO2toC*Ggtot,"NO")</f>
        <v>NO</v>
      </c>
      <c r="AO92" s="46" t="str">
        <f>IF('[1]Baseline emission summary'!AN42*CO2toC*Ggtot&gt;0,'[1]Baseline emission summary'!AN42*CO2toC*Ggtot,"NO")</f>
        <v>NO</v>
      </c>
      <c r="AP92" s="46" t="str">
        <f>IF('[1]Baseline emission summary'!AO42*CO2toC*Ggtot&gt;0,'[1]Baseline emission summary'!AO42*CO2toC*Ggtot,"NO")</f>
        <v>NO</v>
      </c>
      <c r="AQ92" s="46" t="str">
        <f>IF('[1]Baseline emission summary'!AP42*CO2toC*Ggtot&gt;0,'[1]Baseline emission summary'!AP42*CO2toC*Ggtot,"NO")</f>
        <v>NO</v>
      </c>
      <c r="AR92" s="46" t="str">
        <f>IF('[1]Baseline emission summary'!AQ42*CO2toC*Ggtot&gt;0,'[1]Baseline emission summary'!AQ42*CO2toC*Ggtot,"NO")</f>
        <v>NO</v>
      </c>
      <c r="AS92" s="46" t="str">
        <f>IF('[1]Baseline emission summary'!AR42*CO2toC*Ggtot&gt;0,'[1]Baseline emission summary'!AR42*CO2toC*Ggtot,"NO")</f>
        <v>NO</v>
      </c>
      <c r="AT92" s="46" t="str">
        <f>IF('[1]Baseline emission summary'!AS42*CO2toC*Ggtot&gt;0,'[1]Baseline emission summary'!AS42*CO2toC*Ggtot,"NO")</f>
        <v>NO</v>
      </c>
      <c r="AU92" s="46" t="str">
        <f>IF('[1]Baseline emission summary'!AT42*CO2toC*Ggtot&gt;0,'[1]Baseline emission summary'!AT42*CO2toC*Ggtot,"NO")</f>
        <v>NO</v>
      </c>
      <c r="AV92" s="46" t="str">
        <f>IF('[1]Baseline emission summary'!AU42*CO2toC*Ggtot&gt;0,'[1]Baseline emission summary'!AU42*CO2toC*Ggtot,"NO")</f>
        <v>NO</v>
      </c>
      <c r="AW92" s="46" t="str">
        <f>IF('[1]Baseline emission summary'!AV42*CO2toC*Ggtot&gt;0,'[1]Baseline emission summary'!AV42*CO2toC*Ggtot,"NO")</f>
        <v>NO</v>
      </c>
      <c r="AX92" s="46" t="str">
        <f>IF('[1]Baseline emission summary'!AW42*CO2toC*Ggtot&gt;0,'[1]Baseline emission summary'!AW42*CO2toC*Ggtot,"NO")</f>
        <v>NO</v>
      </c>
      <c r="AY92" s="46" t="str">
        <f>IF('[1]Baseline emission summary'!AX42*CO2toC*Ggtot&gt;0,'[1]Baseline emission summary'!AX42*CO2toC*Ggtot,"NO")</f>
        <v>NO</v>
      </c>
      <c r="AZ92" s="46" t="str">
        <f>IF('[1]Baseline emission summary'!AY42*CO2toC*Ggtot&gt;0,'[1]Baseline emission summary'!AY42*CO2toC*Ggtot,"NO")</f>
        <v>NO</v>
      </c>
      <c r="BA92" s="46" t="str">
        <f>IF('[1]Baseline emission summary'!AZ42*CO2toC*Ggtot&gt;0,'[1]Baseline emission summary'!AZ42*CO2toC*Ggtot,"NO")</f>
        <v>NO</v>
      </c>
      <c r="BB92" s="46" t="str">
        <f>IF('[1]Baseline emission summary'!BA42*CO2toC*Ggtot&gt;0,'[1]Baseline emission summary'!BA42*CO2toC*Ggtot,"NO")</f>
        <v>NO</v>
      </c>
      <c r="BC92" s="46" t="str">
        <f>IF('[1]Baseline emission summary'!BB42*CO2toC*Ggtot&gt;0,'[1]Baseline emission summary'!BB42*CO2toC*Ggtot,"NO")</f>
        <v>NO</v>
      </c>
      <c r="BD92" s="46" t="str">
        <f>IF('[1]Baseline emission summary'!BC42*CO2toC*Ggtot&gt;0,'[1]Baseline emission summary'!BC42*CO2toC*Ggtot,"NO")</f>
        <v>NO</v>
      </c>
      <c r="BE92" s="46" t="str">
        <f>IF('[1]Baseline emission summary'!BD42*CO2toC*Ggtot&gt;0,'[1]Baseline emission summary'!BD42*CO2toC*Ggtot,"NO")</f>
        <v>NO</v>
      </c>
      <c r="BF92" s="46" t="str">
        <f>IF('[1]Baseline emission summary'!BE42*CO2toC*Ggtot&gt;0,'[1]Baseline emission summary'!BE42*CO2toC*Ggtot,"NO")</f>
        <v>NO</v>
      </c>
      <c r="BG92" s="46" t="str">
        <f>IF('[1]Baseline emission summary'!BF42*CO2toC*Ggtot&gt;0,'[1]Baseline emission summary'!BF42*CO2toC*Ggtot,"NO")</f>
        <v>NO</v>
      </c>
      <c r="BH92" s="46" t="str">
        <f>IF('[1]Baseline emission summary'!BG42*CO2toC*Ggtot&gt;0,'[1]Baseline emission summary'!BG42*CO2toC*Ggtot,"NO")</f>
        <v>NO</v>
      </c>
      <c r="BI92" s="46" t="str">
        <f>IF('[1]Baseline emission summary'!BH42*CO2toC*Ggtot&gt;0,'[1]Baseline emission summary'!BH42*CO2toC*Ggtot,"NO")</f>
        <v>NO</v>
      </c>
      <c r="BJ92" s="46" t="str">
        <f>IF('[1]Baseline emission summary'!BI42*CO2toC*Ggtot&gt;0,'[1]Baseline emission summary'!BI42*CO2toC*Ggtot,"NO")</f>
        <v>NO</v>
      </c>
      <c r="BK92" s="46" t="str">
        <f>IF('[1]Baseline emission summary'!BJ42*CO2toC*Ggtot&gt;0,'[1]Baseline emission summary'!BJ42*CO2toC*Ggtot,"NO")</f>
        <v>NO</v>
      </c>
      <c r="BL92" s="46" t="str">
        <f>IF('[1]Baseline emission summary'!BK42*CO2toC*Ggtot&gt;0,'[1]Baseline emission summary'!BK42*CO2toC*Ggtot,"NO")</f>
        <v>NO</v>
      </c>
      <c r="BM92" s="46" t="str">
        <f>IF('[1]Baseline emission summary'!BL42*CO2toC*Ggtot&gt;0,'[1]Baseline emission summary'!BL42*CO2toC*Ggtot,"NO")</f>
        <v>NO</v>
      </c>
      <c r="BN92" s="46" t="str">
        <f>IF('[1]Baseline emission summary'!BM42*CO2toC*Ggtot&gt;0,'[1]Baseline emission summary'!BM42*CO2toC*Ggtot,"NO")</f>
        <v>NO</v>
      </c>
      <c r="BO92" s="46" t="str">
        <f>IF('[1]Baseline emission summary'!BN42*CO2toC*Ggtot&gt;0,'[1]Baseline emission summary'!BN42*CO2toC*Ggtot,"NO")</f>
        <v>NO</v>
      </c>
      <c r="BP92" s="46" t="str">
        <f>IF('[1]Baseline emission summary'!BO42*CO2toC*Ggtot&gt;0,'[1]Baseline emission summary'!BO42*CO2toC*Ggtot,"NO")</f>
        <v>NO</v>
      </c>
      <c r="BQ92" s="85"/>
    </row>
    <row r="93" spans="1:72" x14ac:dyDescent="0.25">
      <c r="A93" t="str">
        <f>A87</f>
        <v>3C Aggregated and non-CO2 emissions on land</v>
      </c>
      <c r="B93" t="str">
        <f>B87</f>
        <v>3C4 Direct N2O from managed soils (N2O)</v>
      </c>
      <c r="C93" t="s">
        <v>64</v>
      </c>
      <c r="D93" t="s">
        <v>812</v>
      </c>
      <c r="F93" t="s">
        <v>810</v>
      </c>
      <c r="H93" s="22" t="s">
        <v>811</v>
      </c>
      <c r="I93" s="22" t="s">
        <v>811</v>
      </c>
      <c r="J93" s="22" t="s">
        <v>811</v>
      </c>
      <c r="K93" s="22" t="s">
        <v>811</v>
      </c>
      <c r="L93" s="22" t="s">
        <v>811</v>
      </c>
      <c r="M93" s="22" t="s">
        <v>811</v>
      </c>
      <c r="N93" s="22" t="s">
        <v>811</v>
      </c>
      <c r="O93" s="22" t="s">
        <v>811</v>
      </c>
      <c r="P93" s="22" t="s">
        <v>811</v>
      </c>
      <c r="Q93" s="22" t="s">
        <v>811</v>
      </c>
      <c r="R93" s="22" t="s">
        <v>811</v>
      </c>
      <c r="S93" s="22" t="s">
        <v>811</v>
      </c>
      <c r="T93" s="22" t="s">
        <v>811</v>
      </c>
      <c r="U93" s="22" t="s">
        <v>811</v>
      </c>
      <c r="V93" s="22" t="s">
        <v>811</v>
      </c>
      <c r="W93" s="22" t="s">
        <v>811</v>
      </c>
      <c r="X93" s="22" t="s">
        <v>811</v>
      </c>
      <c r="Y93" s="22" t="s">
        <v>811</v>
      </c>
      <c r="Z93" s="22" t="s">
        <v>811</v>
      </c>
      <c r="AA93" s="22" t="s">
        <v>811</v>
      </c>
      <c r="AB93" s="22" t="s">
        <v>811</v>
      </c>
      <c r="AC93" s="22" t="s">
        <v>811</v>
      </c>
      <c r="AD93" s="22" t="s">
        <v>811</v>
      </c>
      <c r="AE93" s="22" t="s">
        <v>811</v>
      </c>
      <c r="AF93" s="22" t="s">
        <v>811</v>
      </c>
      <c r="AG93" s="22" t="s">
        <v>811</v>
      </c>
      <c r="AH93" s="22" t="s">
        <v>811</v>
      </c>
      <c r="AI93" s="22" t="s">
        <v>811</v>
      </c>
      <c r="AJ93" s="22" t="s">
        <v>811</v>
      </c>
      <c r="AK93" s="22" t="s">
        <v>811</v>
      </c>
      <c r="AL93" s="22" t="s">
        <v>811</v>
      </c>
      <c r="AM93" s="22" t="s">
        <v>811</v>
      </c>
      <c r="AN93" s="22" t="s">
        <v>811</v>
      </c>
      <c r="AO93" s="22" t="s">
        <v>811</v>
      </c>
      <c r="AP93" s="22" t="s">
        <v>811</v>
      </c>
      <c r="AQ93" s="22" t="s">
        <v>811</v>
      </c>
      <c r="AR93" s="22" t="s">
        <v>811</v>
      </c>
      <c r="AS93" s="22" t="s">
        <v>811</v>
      </c>
      <c r="AT93" s="22" t="s">
        <v>811</v>
      </c>
      <c r="AU93" s="22" t="s">
        <v>811</v>
      </c>
      <c r="AV93" s="22" t="s">
        <v>811</v>
      </c>
      <c r="AW93" s="22" t="s">
        <v>811</v>
      </c>
      <c r="AX93" s="22" t="s">
        <v>811</v>
      </c>
      <c r="AY93" s="22" t="s">
        <v>811</v>
      </c>
      <c r="AZ93" s="22" t="s">
        <v>811</v>
      </c>
      <c r="BA93" s="22" t="s">
        <v>811</v>
      </c>
      <c r="BB93" s="22" t="s">
        <v>811</v>
      </c>
      <c r="BC93" s="22" t="s">
        <v>811</v>
      </c>
      <c r="BD93" s="22" t="s">
        <v>811</v>
      </c>
      <c r="BE93" s="22" t="s">
        <v>811</v>
      </c>
      <c r="BF93" s="22" t="s">
        <v>811</v>
      </c>
      <c r="BG93" s="22" t="s">
        <v>811</v>
      </c>
      <c r="BH93" s="22" t="s">
        <v>811</v>
      </c>
      <c r="BI93" s="22" t="s">
        <v>811</v>
      </c>
      <c r="BJ93" s="22" t="s">
        <v>811</v>
      </c>
      <c r="BK93" s="22" t="s">
        <v>811</v>
      </c>
      <c r="BL93" s="22" t="s">
        <v>811</v>
      </c>
      <c r="BM93" s="22" t="s">
        <v>811</v>
      </c>
      <c r="BN93" s="22" t="s">
        <v>811</v>
      </c>
      <c r="BO93" s="22" t="s">
        <v>811</v>
      </c>
      <c r="BP93" s="22" t="s">
        <v>811</v>
      </c>
      <c r="BQ93" s="85"/>
    </row>
    <row r="94" spans="1:72" x14ac:dyDescent="0.25">
      <c r="C94" t="s">
        <v>64</v>
      </c>
      <c r="D94" t="s">
        <v>895</v>
      </c>
      <c r="F94" t="s">
        <v>810</v>
      </c>
      <c r="H94" s="22" t="s">
        <v>811</v>
      </c>
      <c r="I94" s="22" t="s">
        <v>811</v>
      </c>
      <c r="J94" s="22" t="s">
        <v>811</v>
      </c>
      <c r="K94" s="22" t="s">
        <v>811</v>
      </c>
      <c r="L94" s="22" t="s">
        <v>811</v>
      </c>
      <c r="M94" s="22" t="s">
        <v>811</v>
      </c>
      <c r="N94" s="22" t="s">
        <v>811</v>
      </c>
      <c r="O94" s="22" t="s">
        <v>811</v>
      </c>
      <c r="P94" s="22" t="s">
        <v>811</v>
      </c>
      <c r="Q94" s="22" t="s">
        <v>811</v>
      </c>
      <c r="R94" s="22" t="s">
        <v>811</v>
      </c>
      <c r="S94" s="22" t="s">
        <v>811</v>
      </c>
      <c r="T94" s="22" t="s">
        <v>811</v>
      </c>
      <c r="U94" s="22" t="s">
        <v>811</v>
      </c>
      <c r="V94" s="22" t="s">
        <v>811</v>
      </c>
      <c r="W94" s="22" t="s">
        <v>811</v>
      </c>
      <c r="X94" s="22" t="s">
        <v>811</v>
      </c>
      <c r="Y94" s="22" t="s">
        <v>811</v>
      </c>
      <c r="Z94" s="22" t="s">
        <v>811</v>
      </c>
      <c r="AA94" s="22" t="s">
        <v>811</v>
      </c>
      <c r="AB94" s="22" t="s">
        <v>811</v>
      </c>
      <c r="AC94" s="22" t="s">
        <v>811</v>
      </c>
      <c r="AD94" s="22" t="s">
        <v>811</v>
      </c>
      <c r="AE94" s="22" t="s">
        <v>811</v>
      </c>
      <c r="AF94" s="22" t="s">
        <v>811</v>
      </c>
      <c r="AG94" s="22" t="s">
        <v>811</v>
      </c>
      <c r="AH94" s="22" t="s">
        <v>811</v>
      </c>
      <c r="AI94" s="22" t="s">
        <v>811</v>
      </c>
      <c r="AJ94" s="22" t="s">
        <v>811</v>
      </c>
      <c r="AK94" s="22" t="s">
        <v>811</v>
      </c>
      <c r="AL94" s="22" t="s">
        <v>811</v>
      </c>
      <c r="AM94" s="22" t="s">
        <v>811</v>
      </c>
      <c r="AN94" s="22" t="s">
        <v>811</v>
      </c>
      <c r="AO94" s="22" t="s">
        <v>811</v>
      </c>
      <c r="AP94" s="22" t="s">
        <v>811</v>
      </c>
      <c r="AQ94" s="22" t="s">
        <v>811</v>
      </c>
      <c r="AR94" s="22" t="s">
        <v>811</v>
      </c>
      <c r="AS94" s="22" t="s">
        <v>811</v>
      </c>
      <c r="AT94" s="22" t="s">
        <v>811</v>
      </c>
      <c r="AU94" s="22" t="s">
        <v>811</v>
      </c>
      <c r="AV94" s="22" t="s">
        <v>811</v>
      </c>
      <c r="AW94" s="22" t="s">
        <v>811</v>
      </c>
      <c r="AX94" s="22" t="s">
        <v>811</v>
      </c>
      <c r="AY94" s="22" t="s">
        <v>811</v>
      </c>
      <c r="AZ94" s="22" t="s">
        <v>811</v>
      </c>
      <c r="BA94" s="22" t="s">
        <v>811</v>
      </c>
      <c r="BB94" s="22" t="s">
        <v>811</v>
      </c>
      <c r="BC94" s="22" t="s">
        <v>811</v>
      </c>
      <c r="BD94" s="22" t="s">
        <v>811</v>
      </c>
      <c r="BE94" s="22" t="s">
        <v>811</v>
      </c>
      <c r="BF94" s="22" t="s">
        <v>811</v>
      </c>
      <c r="BG94" s="22" t="s">
        <v>811</v>
      </c>
      <c r="BH94" s="22" t="s">
        <v>811</v>
      </c>
      <c r="BI94" s="22" t="s">
        <v>811</v>
      </c>
      <c r="BJ94" s="22" t="s">
        <v>811</v>
      </c>
      <c r="BK94" s="22" t="s">
        <v>811</v>
      </c>
      <c r="BL94" s="22" t="s">
        <v>811</v>
      </c>
      <c r="BM94" s="22" t="s">
        <v>811</v>
      </c>
      <c r="BN94" s="22" t="s">
        <v>811</v>
      </c>
      <c r="BO94" s="22" t="s">
        <v>811</v>
      </c>
      <c r="BP94" s="22" t="s">
        <v>811</v>
      </c>
      <c r="BQ94" s="85"/>
    </row>
    <row r="95" spans="1:72" x14ac:dyDescent="0.25">
      <c r="A95" t="str">
        <f>A87</f>
        <v>3C Aggregated and non-CO2 emissions on land</v>
      </c>
      <c r="B95" t="str">
        <f>B87</f>
        <v>3C4 Direct N2O from managed soils (N2O)</v>
      </c>
      <c r="C95" t="s">
        <v>64</v>
      </c>
      <c r="D95" t="s">
        <v>111</v>
      </c>
      <c r="F95" t="s">
        <v>810</v>
      </c>
      <c r="H95" s="22" t="s">
        <v>811</v>
      </c>
      <c r="I95" s="22">
        <v>407.67139168710514</v>
      </c>
      <c r="J95" s="22">
        <v>407.67139168710514</v>
      </c>
      <c r="K95" s="22">
        <v>407.67139168710514</v>
      </c>
      <c r="L95" s="22">
        <v>407.67139168710514</v>
      </c>
      <c r="M95" s="22">
        <v>407.67139168710514</v>
      </c>
      <c r="N95" s="22">
        <v>407.67139168710514</v>
      </c>
      <c r="O95" s="22">
        <v>407.67139168710514</v>
      </c>
      <c r="P95" s="22">
        <v>407.67139168710514</v>
      </c>
      <c r="Q95" s="22">
        <v>407.67139168710514</v>
      </c>
      <c r="R95" s="22">
        <v>407.67139168710514</v>
      </c>
      <c r="S95" s="22">
        <v>407.67139168710514</v>
      </c>
      <c r="T95" s="22">
        <v>407.67139168710514</v>
      </c>
      <c r="U95" s="22">
        <v>407.67139168710514</v>
      </c>
      <c r="V95" s="22">
        <v>407.67139168710514</v>
      </c>
      <c r="W95" s="22">
        <v>407.67139168710514</v>
      </c>
      <c r="X95" s="22">
        <v>407.67139168710514</v>
      </c>
      <c r="Y95" s="22">
        <v>407.67139168710514</v>
      </c>
      <c r="Z95" s="22">
        <v>407.67139168710514</v>
      </c>
      <c r="AA95" s="22">
        <v>407.67139168710514</v>
      </c>
      <c r="AB95" s="22">
        <v>407.67139168710514</v>
      </c>
      <c r="AC95" s="22">
        <v>407.67139168710514</v>
      </c>
      <c r="AD95" s="22">
        <v>407.67139168710514</v>
      </c>
      <c r="AE95" s="22">
        <v>407.67139168710514</v>
      </c>
      <c r="AF95" s="22">
        <v>407.67139168710514</v>
      </c>
      <c r="AG95" s="22">
        <v>407.67139168710514</v>
      </c>
      <c r="AH95" s="22">
        <v>407.67139168710514</v>
      </c>
      <c r="AI95" s="22">
        <v>407.67139168710514</v>
      </c>
      <c r="AJ95" s="46">
        <f>IF('[1]Baseline emission summary'!$G$50*CO2toC*Ggtot&gt;0,'[1]Baseline emission summary'!$G$50*CO2toC*Ggtot,"NO")</f>
        <v>754.23981127258105</v>
      </c>
      <c r="AK95" s="46">
        <f>IF('[1]Baseline emission summary'!$G$50*CO2toC*Ggtot&gt;0,'[1]Baseline emission summary'!$G$50*CO2toC*Ggtot,"NO")</f>
        <v>754.23981127258105</v>
      </c>
      <c r="AL95" s="46">
        <f>IF('[1]Baseline emission summary'!$G$50*CO2toC*Ggtot&gt;0,'[1]Baseline emission summary'!$G$50*CO2toC*Ggtot,"NO")</f>
        <v>754.23981127258105</v>
      </c>
      <c r="AM95" s="46">
        <f>IF('[1]Baseline emission summary'!$G$50*CO2toC*Ggtot&gt;0,'[1]Baseline emission summary'!$G$50*CO2toC*Ggtot,"NO")</f>
        <v>754.23981127258105</v>
      </c>
      <c r="AN95" s="46">
        <f>IF('[1]Baseline emission summary'!$G$50*CO2toC*Ggtot&gt;0,'[1]Baseline emission summary'!$G$50*CO2toC*Ggtot,"NO")</f>
        <v>754.23981127258105</v>
      </c>
      <c r="AO95" s="46">
        <f>IF('[1]Baseline emission summary'!$G$50*CO2toC*Ggtot&gt;0,'[1]Baseline emission summary'!$G$50*CO2toC*Ggtot,"NO")</f>
        <v>754.23981127258105</v>
      </c>
      <c r="AP95" s="46">
        <f>IF('[1]Baseline emission summary'!$G$50*CO2toC*Ggtot&gt;0,'[1]Baseline emission summary'!$G$50*CO2toC*Ggtot,"NO")</f>
        <v>754.23981127258105</v>
      </c>
      <c r="AQ95" s="46">
        <f>IF('[1]Baseline emission summary'!$G$50*CO2toC*Ggtot&gt;0,'[1]Baseline emission summary'!$G$50*CO2toC*Ggtot,"NO")</f>
        <v>754.23981127258105</v>
      </c>
      <c r="AR95" s="46">
        <f>IF('[1]Baseline emission summary'!$G$50*CO2toC*Ggtot&gt;0,'[1]Baseline emission summary'!$G$50*CO2toC*Ggtot,"NO")</f>
        <v>754.23981127258105</v>
      </c>
      <c r="AS95" s="46">
        <f>IF('[1]Baseline emission summary'!$G$50*CO2toC*Ggtot&gt;0,'[1]Baseline emission summary'!$G$50*CO2toC*Ggtot,"NO")</f>
        <v>754.23981127258105</v>
      </c>
      <c r="AT95" s="46">
        <f>IF('[1]Baseline emission summary'!$G$50*CO2toC*Ggtot&gt;0,'[1]Baseline emission summary'!$G$50*CO2toC*Ggtot,"NO")</f>
        <v>754.23981127258105</v>
      </c>
      <c r="AU95" s="46">
        <f>IF('[1]Baseline emission summary'!$G$50*CO2toC*Ggtot&gt;0,'[1]Baseline emission summary'!$G$50*CO2toC*Ggtot,"NO")</f>
        <v>754.23981127258105</v>
      </c>
      <c r="AV95" s="46">
        <f>IF('[1]Baseline emission summary'!$G$50*CO2toC*Ggtot&gt;0,'[1]Baseline emission summary'!$G$50*CO2toC*Ggtot,"NO")</f>
        <v>754.23981127258105</v>
      </c>
      <c r="AW95" s="46">
        <f>IF('[1]Baseline emission summary'!$G$50*CO2toC*Ggtot&gt;0,'[1]Baseline emission summary'!$G$50*CO2toC*Ggtot,"NO")</f>
        <v>754.23981127258105</v>
      </c>
      <c r="AX95" s="46">
        <f>IF('[1]Baseline emission summary'!$G$50*CO2toC*Ggtot&gt;0,'[1]Baseline emission summary'!$G$50*CO2toC*Ggtot,"NO")</f>
        <v>754.23981127258105</v>
      </c>
      <c r="AY95" s="46">
        <f>IF('[1]Baseline emission summary'!$G$50*CO2toC*Ggtot&gt;0,'[1]Baseline emission summary'!$G$50*CO2toC*Ggtot,"NO")</f>
        <v>754.23981127258105</v>
      </c>
      <c r="AZ95" s="46">
        <f>IF('[1]Baseline emission summary'!$G$50*CO2toC*Ggtot&gt;0,'[1]Baseline emission summary'!$G$50*CO2toC*Ggtot,"NO")</f>
        <v>754.23981127258105</v>
      </c>
      <c r="BA95" s="46">
        <f>IF('[1]Baseline emission summary'!$G$50*CO2toC*Ggtot&gt;0,'[1]Baseline emission summary'!$G$50*CO2toC*Ggtot,"NO")</f>
        <v>754.23981127258105</v>
      </c>
      <c r="BB95" s="46">
        <f>IF('[1]Baseline emission summary'!$G$50*CO2toC*Ggtot&gt;0,'[1]Baseline emission summary'!$G$50*CO2toC*Ggtot,"NO")</f>
        <v>754.23981127258105</v>
      </c>
      <c r="BC95" s="46">
        <f>IF('[1]Baseline emission summary'!$G$50*CO2toC*Ggtot&gt;0,'[1]Baseline emission summary'!$G$50*CO2toC*Ggtot,"NO")</f>
        <v>754.23981127258105</v>
      </c>
      <c r="BD95" s="46">
        <f>IF('[1]Baseline emission summary'!$G$50*CO2toC*Ggtot&gt;0,'[1]Baseline emission summary'!$G$50*CO2toC*Ggtot,"NO")</f>
        <v>754.23981127258105</v>
      </c>
      <c r="BE95" s="46">
        <f>IF('[1]Baseline emission summary'!$G$50*CO2toC*Ggtot&gt;0,'[1]Baseline emission summary'!$G$50*CO2toC*Ggtot,"NO")</f>
        <v>754.23981127258105</v>
      </c>
      <c r="BF95" s="46">
        <f>IF('[1]Baseline emission summary'!$G$50*CO2toC*Ggtot&gt;0,'[1]Baseline emission summary'!$G$50*CO2toC*Ggtot,"NO")</f>
        <v>754.23981127258105</v>
      </c>
      <c r="BG95" s="46">
        <f>IF('[1]Baseline emission summary'!$G$50*CO2toC*Ggtot&gt;0,'[1]Baseline emission summary'!$G$50*CO2toC*Ggtot,"NO")</f>
        <v>754.23981127258105</v>
      </c>
      <c r="BH95" s="46">
        <f>IF('[1]Baseline emission summary'!$G$50*CO2toC*Ggtot&gt;0,'[1]Baseline emission summary'!$G$50*CO2toC*Ggtot,"NO")</f>
        <v>754.23981127258105</v>
      </c>
      <c r="BI95" s="46">
        <f>IF('[1]Baseline emission summary'!$G$50*CO2toC*Ggtot&gt;0,'[1]Baseline emission summary'!$G$50*CO2toC*Ggtot,"NO")</f>
        <v>754.23981127258105</v>
      </c>
      <c r="BJ95" s="46">
        <f>IF('[1]Baseline emission summary'!$G$50*CO2toC*Ggtot&gt;0,'[1]Baseline emission summary'!$G$50*CO2toC*Ggtot,"NO")</f>
        <v>754.23981127258105</v>
      </c>
      <c r="BK95" s="46">
        <f>IF('[1]Baseline emission summary'!$G$50*CO2toC*Ggtot&gt;0,'[1]Baseline emission summary'!$G$50*CO2toC*Ggtot,"NO")</f>
        <v>754.23981127258105</v>
      </c>
      <c r="BL95" s="46">
        <f>IF('[1]Baseline emission summary'!$G$50*CO2toC*Ggtot&gt;0,'[1]Baseline emission summary'!$G$50*CO2toC*Ggtot,"NO")</f>
        <v>754.23981127258105</v>
      </c>
      <c r="BM95" s="46">
        <f>IF('[1]Baseline emission summary'!$G$50*CO2toC*Ggtot&gt;0,'[1]Baseline emission summary'!$G$50*CO2toC*Ggtot,"NO")</f>
        <v>754.23981127258105</v>
      </c>
      <c r="BN95" s="46">
        <f>IF('[1]Baseline emission summary'!$G$50*CO2toC*Ggtot&gt;0,'[1]Baseline emission summary'!$G$50*CO2toC*Ggtot,"NO")</f>
        <v>754.23981127258105</v>
      </c>
      <c r="BO95" s="46">
        <f>IF('[1]Baseline emission summary'!$G$50*CO2toC*Ggtot&gt;0,'[1]Baseline emission summary'!$G$50*CO2toC*Ggtot,"NO")</f>
        <v>754.23981127258105</v>
      </c>
      <c r="BP95" s="46">
        <f>IF('[1]Baseline emission summary'!$G$50*CO2toC*Ggtot&gt;0,'[1]Baseline emission summary'!$G$50*CO2toC*Ggtot,"NO")</f>
        <v>754.23981127258105</v>
      </c>
      <c r="BQ95" s="85"/>
    </row>
    <row r="96" spans="1:72" x14ac:dyDescent="0.25">
      <c r="C96" t="s">
        <v>64</v>
      </c>
      <c r="D96" t="s">
        <v>112</v>
      </c>
      <c r="F96" t="s">
        <v>810</v>
      </c>
      <c r="H96" s="22">
        <v>0</v>
      </c>
      <c r="I96" s="22">
        <v>229513.74484724633</v>
      </c>
      <c r="J96" s="22">
        <v>229513.74484724633</v>
      </c>
      <c r="K96" s="22">
        <v>229513.74484724633</v>
      </c>
      <c r="L96" s="22">
        <v>229513.74484724633</v>
      </c>
      <c r="M96" s="22">
        <v>229513.74484724633</v>
      </c>
      <c r="N96" s="22">
        <v>229513.74484724633</v>
      </c>
      <c r="O96" s="22">
        <v>229513.74484724633</v>
      </c>
      <c r="P96" s="22">
        <v>229513.74484724633</v>
      </c>
      <c r="Q96" s="22">
        <v>229513.74484724633</v>
      </c>
      <c r="R96" s="22">
        <v>229513.74484724633</v>
      </c>
      <c r="S96" s="22">
        <v>229513.74484724633</v>
      </c>
      <c r="T96" s="22">
        <v>229513.74484724633</v>
      </c>
      <c r="U96" s="22">
        <v>229513.74484724633</v>
      </c>
      <c r="V96" s="22">
        <v>229513.74484724633</v>
      </c>
      <c r="W96" s="22">
        <v>229513.74484724633</v>
      </c>
      <c r="X96" s="22">
        <v>229513.74484724633</v>
      </c>
      <c r="Y96" s="22">
        <v>229513.74484724633</v>
      </c>
      <c r="Z96" s="22">
        <v>229513.74484724633</v>
      </c>
      <c r="AA96" s="22">
        <v>229513.74484724633</v>
      </c>
      <c r="AB96" s="22">
        <v>229513.74484724633</v>
      </c>
      <c r="AC96" s="22">
        <v>229513.74484724633</v>
      </c>
      <c r="AD96" s="22">
        <v>229513.74484724633</v>
      </c>
      <c r="AE96" s="22">
        <v>229513.74484724633</v>
      </c>
      <c r="AF96" s="22">
        <v>229513.74484724633</v>
      </c>
      <c r="AG96" s="22">
        <v>229513.74484724633</v>
      </c>
      <c r="AH96" s="22">
        <v>229513.74484724633</v>
      </c>
      <c r="AI96" s="22">
        <v>229513.74484724633</v>
      </c>
      <c r="AJ96" s="46">
        <f>IF('[1]Baseline emission summary'!AI55*CO2toC*Ggtot&gt;0,'[1]Baseline emission summary'!AI55*CO2toC*Ggtot,"NO")</f>
        <v>68535.410614285807</v>
      </c>
      <c r="AK96" s="46">
        <f>IF('[1]Baseline emission summary'!AJ55*CO2toC*Ggtot&gt;0,'[1]Baseline emission summary'!AJ55*CO2toC*Ggtot,"NO")</f>
        <v>68535.410614285807</v>
      </c>
      <c r="AL96" s="46">
        <f>IF('[1]Baseline emission summary'!AK55*CO2toC*Ggtot&gt;0,'[1]Baseline emission summary'!AK55*CO2toC*Ggtot,"NO")</f>
        <v>68535.410614285807</v>
      </c>
      <c r="AM96" s="46">
        <f>IF('[1]Baseline emission summary'!AL55*CO2toC*Ggtot&gt;0,'[1]Baseline emission summary'!AL55*CO2toC*Ggtot,"NO")</f>
        <v>68535.410614285807</v>
      </c>
      <c r="AN96" s="46">
        <f>IF('[1]Baseline emission summary'!AM55*CO2toC*Ggtot&gt;0,'[1]Baseline emission summary'!AM55*CO2toC*Ggtot,"NO")</f>
        <v>68535.410614285807</v>
      </c>
      <c r="AO96" s="46">
        <f>IF('[1]Baseline emission summary'!AN55*CO2toC*Ggtot&gt;0,'[1]Baseline emission summary'!AN55*CO2toC*Ggtot,"NO")</f>
        <v>68535.410614285807</v>
      </c>
      <c r="AP96" s="46">
        <f>IF('[1]Baseline emission summary'!AO55*CO2toC*Ggtot&gt;0,'[1]Baseline emission summary'!AO55*CO2toC*Ggtot,"NO")</f>
        <v>68535.410614285807</v>
      </c>
      <c r="AQ96" s="46">
        <f>IF('[1]Baseline emission summary'!AP55*CO2toC*Ggtot&gt;0,'[1]Baseline emission summary'!AP55*CO2toC*Ggtot,"NO")</f>
        <v>68535.410614285807</v>
      </c>
      <c r="AR96" s="46">
        <f>IF('[1]Baseline emission summary'!AQ55*CO2toC*Ggtot&gt;0,'[1]Baseline emission summary'!AQ55*CO2toC*Ggtot,"NO")</f>
        <v>68535.410614285807</v>
      </c>
      <c r="AS96" s="46">
        <f>IF('[1]Baseline emission summary'!AR55*CO2toC*Ggtot&gt;0,'[1]Baseline emission summary'!AR55*CO2toC*Ggtot,"NO")</f>
        <v>68535.410614285807</v>
      </c>
      <c r="AT96" s="46">
        <f>IF('[1]Baseline emission summary'!AS55*CO2toC*Ggtot&gt;0,'[1]Baseline emission summary'!AS55*CO2toC*Ggtot,"NO")</f>
        <v>68535.410614285807</v>
      </c>
      <c r="AU96" s="46">
        <f>IF('[1]Baseline emission summary'!AT55*CO2toC*Ggtot&gt;0,'[1]Baseline emission summary'!AT55*CO2toC*Ggtot,"NO")</f>
        <v>68535.410614285807</v>
      </c>
      <c r="AV96" s="46">
        <f>IF('[1]Baseline emission summary'!AU55*CO2toC*Ggtot&gt;0,'[1]Baseline emission summary'!AU55*CO2toC*Ggtot,"NO")</f>
        <v>68535.410614285807</v>
      </c>
      <c r="AW96" s="46">
        <f>IF('[1]Baseline emission summary'!AV55*CO2toC*Ggtot&gt;0,'[1]Baseline emission summary'!AV55*CO2toC*Ggtot,"NO")</f>
        <v>68535.410614285807</v>
      </c>
      <c r="AX96" s="46">
        <f>IF('[1]Baseline emission summary'!AW55*CO2toC*Ggtot&gt;0,'[1]Baseline emission summary'!AW55*CO2toC*Ggtot,"NO")</f>
        <v>68535.410614285807</v>
      </c>
      <c r="AY96" s="46">
        <f>IF('[1]Baseline emission summary'!AX55*CO2toC*Ggtot&gt;0,'[1]Baseline emission summary'!AX55*CO2toC*Ggtot,"NO")</f>
        <v>68535.410614285807</v>
      </c>
      <c r="AZ96" s="46">
        <f>IF('[1]Baseline emission summary'!AY55*CO2toC*Ggtot&gt;0,'[1]Baseline emission summary'!AY55*CO2toC*Ggtot,"NO")</f>
        <v>68535.410614285807</v>
      </c>
      <c r="BA96" s="46">
        <f>IF('[1]Baseline emission summary'!AZ55*CO2toC*Ggtot&gt;0,'[1]Baseline emission summary'!AZ55*CO2toC*Ggtot,"NO")</f>
        <v>68535.410614285807</v>
      </c>
      <c r="BB96" s="46">
        <f>IF('[1]Baseline emission summary'!BA55*CO2toC*Ggtot&gt;0,'[1]Baseline emission summary'!BA55*CO2toC*Ggtot,"NO")</f>
        <v>68535.410614285807</v>
      </c>
      <c r="BC96" s="46">
        <f>IF('[1]Baseline emission summary'!BB55*CO2toC*Ggtot&gt;0,'[1]Baseline emission summary'!BB55*CO2toC*Ggtot,"NO")</f>
        <v>68535.410614285807</v>
      </c>
      <c r="BD96" s="46">
        <f>IF('[1]Baseline emission summary'!BC55*CO2toC*Ggtot&gt;0,'[1]Baseline emission summary'!BC55*CO2toC*Ggtot,"NO")</f>
        <v>68535.410614285807</v>
      </c>
      <c r="BE96" s="46">
        <f>IF('[1]Baseline emission summary'!BD55*CO2toC*Ggtot&gt;0,'[1]Baseline emission summary'!BD55*CO2toC*Ggtot,"NO")</f>
        <v>68535.410614285807</v>
      </c>
      <c r="BF96" s="46">
        <f>IF('[1]Baseline emission summary'!BE55*CO2toC*Ggtot&gt;0,'[1]Baseline emission summary'!BE55*CO2toC*Ggtot,"NO")</f>
        <v>68535.410614285807</v>
      </c>
      <c r="BG96" s="46">
        <f>IF('[1]Baseline emission summary'!BF55*CO2toC*Ggtot&gt;0,'[1]Baseline emission summary'!BF55*CO2toC*Ggtot,"NO")</f>
        <v>68535.410614285807</v>
      </c>
      <c r="BH96" s="46">
        <f>IF('[1]Baseline emission summary'!BG55*CO2toC*Ggtot&gt;0,'[1]Baseline emission summary'!BG55*CO2toC*Ggtot,"NO")</f>
        <v>68535.410614285807</v>
      </c>
      <c r="BI96" s="46">
        <f>IF('[1]Baseline emission summary'!BH55*CO2toC*Ggtot&gt;0,'[1]Baseline emission summary'!BH55*CO2toC*Ggtot,"NO")</f>
        <v>68535.410614285807</v>
      </c>
      <c r="BJ96" s="46">
        <f>IF('[1]Baseline emission summary'!BI55*CO2toC*Ggtot&gt;0,'[1]Baseline emission summary'!BI55*CO2toC*Ggtot,"NO")</f>
        <v>68535.410614285807</v>
      </c>
      <c r="BK96" s="46">
        <f>IF('[1]Baseline emission summary'!BJ55*CO2toC*Ggtot&gt;0,'[1]Baseline emission summary'!BJ55*CO2toC*Ggtot,"NO")</f>
        <v>68535.410614285807</v>
      </c>
      <c r="BL96" s="46">
        <f>IF('[1]Baseline emission summary'!BK55*CO2toC*Ggtot&gt;0,'[1]Baseline emission summary'!BK55*CO2toC*Ggtot,"NO")</f>
        <v>68535.410614285807</v>
      </c>
      <c r="BM96" s="46">
        <f>IF('[1]Baseline emission summary'!BL55*CO2toC*Ggtot&gt;0,'[1]Baseline emission summary'!BL55*CO2toC*Ggtot,"NO")</f>
        <v>68535.410614285807</v>
      </c>
      <c r="BN96" s="46">
        <f>IF('[1]Baseline emission summary'!BM55*CO2toC*Ggtot&gt;0,'[1]Baseline emission summary'!BM55*CO2toC*Ggtot,"NO")</f>
        <v>68535.410614285807</v>
      </c>
      <c r="BO96" s="46">
        <f>IF('[1]Baseline emission summary'!BN55*CO2toC*Ggtot&gt;0,'[1]Baseline emission summary'!BN55*CO2toC*Ggtot,"NO")</f>
        <v>68535.410614285807</v>
      </c>
      <c r="BP96" s="46">
        <f>IF('[1]Baseline emission summary'!BO55*CO2toC*Ggtot&gt;0,'[1]Baseline emission summary'!BO55*CO2toC*Ggtot,"NO")</f>
        <v>68535.410614285807</v>
      </c>
      <c r="BQ96" s="85"/>
    </row>
    <row r="97" spans="1:69" x14ac:dyDescent="0.25">
      <c r="A97" t="str">
        <f>A95</f>
        <v>3C Aggregated and non-CO2 emissions on land</v>
      </c>
      <c r="B97" t="str">
        <f>B95</f>
        <v>3C4 Direct N2O from managed soils (N2O)</v>
      </c>
      <c r="C97" t="s">
        <v>64</v>
      </c>
      <c r="D97" t="s">
        <v>114</v>
      </c>
      <c r="F97" t="s">
        <v>810</v>
      </c>
      <c r="H97" s="22" t="str">
        <f>IF('[1]Baseline emission summary'!G63*CO2toC*Ggtot&gt;0,'[1]Baseline emission summary'!G63*CO2toC*Ggtot,"NO")</f>
        <v>NO</v>
      </c>
      <c r="I97" s="22" t="str">
        <f>IF('[1]Baseline emission summary'!H63*CO2toC*Ggtot&gt;0,'[1]Baseline emission summary'!H63*CO2toC*Ggtot,"NO")</f>
        <v>NO</v>
      </c>
      <c r="J97" s="22" t="str">
        <f>IF('[1]Baseline emission summary'!I63*CO2toC*Ggtot&gt;0,'[1]Baseline emission summary'!I63*CO2toC*Ggtot,"NO")</f>
        <v>NO</v>
      </c>
      <c r="K97" s="22" t="str">
        <f>IF('[1]Baseline emission summary'!J63*CO2toC*Ggtot&gt;0,'[1]Baseline emission summary'!J63*CO2toC*Ggtot,"NO")</f>
        <v>NO</v>
      </c>
      <c r="L97" s="22" t="str">
        <f>IF('[1]Baseline emission summary'!K63*CO2toC*Ggtot&gt;0,'[1]Baseline emission summary'!K63*CO2toC*Ggtot,"NO")</f>
        <v>NO</v>
      </c>
      <c r="M97" s="22" t="str">
        <f>IF('[1]Baseline emission summary'!L63*CO2toC*Ggtot&gt;0,'[1]Baseline emission summary'!L63*CO2toC*Ggtot,"NO")</f>
        <v>NO</v>
      </c>
      <c r="N97" s="22" t="str">
        <f>IF('[1]Baseline emission summary'!M63*CO2toC*Ggtot&gt;0,'[1]Baseline emission summary'!M63*CO2toC*Ggtot,"NO")</f>
        <v>NO</v>
      </c>
      <c r="O97" s="22" t="str">
        <f>IF('[1]Baseline emission summary'!N63*CO2toC*Ggtot&gt;0,'[1]Baseline emission summary'!N63*CO2toC*Ggtot,"NO")</f>
        <v>NO</v>
      </c>
      <c r="P97" s="22" t="str">
        <f>IF('[1]Baseline emission summary'!O63*CO2toC*Ggtot&gt;0,'[1]Baseline emission summary'!O63*CO2toC*Ggtot,"NO")</f>
        <v>NO</v>
      </c>
      <c r="Q97" s="22" t="str">
        <f>IF('[1]Baseline emission summary'!P63*CO2toC*Ggtot&gt;0,'[1]Baseline emission summary'!P63*CO2toC*Ggtot,"NO")</f>
        <v>NO</v>
      </c>
      <c r="R97" s="22" t="str">
        <f>IF('[1]Baseline emission summary'!Q63*CO2toC*Ggtot&gt;0,'[1]Baseline emission summary'!Q63*CO2toC*Ggtot,"NO")</f>
        <v>NO</v>
      </c>
      <c r="S97" s="22" t="str">
        <f>IF('[1]Baseline emission summary'!R63*CO2toC*Ggtot&gt;0,'[1]Baseline emission summary'!R63*CO2toC*Ggtot,"NO")</f>
        <v>NO</v>
      </c>
      <c r="T97" s="22" t="str">
        <f>IF('[1]Baseline emission summary'!S63*CO2toC*Ggtot&gt;0,'[1]Baseline emission summary'!S63*CO2toC*Ggtot,"NO")</f>
        <v>NO</v>
      </c>
      <c r="U97" s="22" t="str">
        <f>IF('[1]Baseline emission summary'!T63*CO2toC*Ggtot&gt;0,'[1]Baseline emission summary'!T63*CO2toC*Ggtot,"NO")</f>
        <v>NO</v>
      </c>
      <c r="V97" s="22" t="str">
        <f>IF('[1]Baseline emission summary'!U63*CO2toC*Ggtot&gt;0,'[1]Baseline emission summary'!U63*CO2toC*Ggtot,"NO")</f>
        <v>NO</v>
      </c>
      <c r="W97" s="22" t="str">
        <f>IF('[1]Baseline emission summary'!V63*CO2toC*Ggtot&gt;0,'[1]Baseline emission summary'!V63*CO2toC*Ggtot,"NO")</f>
        <v>NO</v>
      </c>
      <c r="X97" s="22" t="str">
        <f>IF('[1]Baseline emission summary'!W63*CO2toC*Ggtot&gt;0,'[1]Baseline emission summary'!W63*CO2toC*Ggtot,"NO")</f>
        <v>NO</v>
      </c>
      <c r="Y97" s="22" t="str">
        <f>IF('[1]Baseline emission summary'!X63*CO2toC*Ggtot&gt;0,'[1]Baseline emission summary'!X63*CO2toC*Ggtot,"NO")</f>
        <v>NO</v>
      </c>
      <c r="Z97" s="22" t="str">
        <f>IF('[1]Baseline emission summary'!Y63*CO2toC*Ggtot&gt;0,'[1]Baseline emission summary'!Y63*CO2toC*Ggtot,"NO")</f>
        <v>NO</v>
      </c>
      <c r="AA97" s="22" t="str">
        <f>IF('[1]Baseline emission summary'!Z63*CO2toC*Ggtot&gt;0,'[1]Baseline emission summary'!Z63*CO2toC*Ggtot,"NO")</f>
        <v>NO</v>
      </c>
      <c r="AB97" s="22" t="str">
        <f>IF('[1]Baseline emission summary'!AA63*CO2toC*Ggtot&gt;0,'[1]Baseline emission summary'!AA63*CO2toC*Ggtot,"NO")</f>
        <v>NO</v>
      </c>
      <c r="AC97" s="22" t="str">
        <f>IF('[1]Baseline emission summary'!AB63*CO2toC*Ggtot&gt;0,'[1]Baseline emission summary'!AB63*CO2toC*Ggtot,"NO")</f>
        <v>NO</v>
      </c>
      <c r="AD97" s="22" t="str">
        <f>IF('[1]Baseline emission summary'!AC63*CO2toC*Ggtot&gt;0,'[1]Baseline emission summary'!AC63*CO2toC*Ggtot,"NO")</f>
        <v>NO</v>
      </c>
      <c r="AE97" s="22" t="str">
        <f>IF('[1]Baseline emission summary'!AD63*CO2toC*Ggtot&gt;0,'[1]Baseline emission summary'!AD63*CO2toC*Ggtot,"NO")</f>
        <v>NO</v>
      </c>
      <c r="AF97" s="22" t="str">
        <f>IF('[1]Baseline emission summary'!AE63*CO2toC*Ggtot&gt;0,'[1]Baseline emission summary'!AE63*CO2toC*Ggtot,"NO")</f>
        <v>NO</v>
      </c>
      <c r="AG97" s="22" t="str">
        <f>IF('[1]Baseline emission summary'!AF63*CO2toC*Ggtot&gt;0,'[1]Baseline emission summary'!AF63*CO2toC*Ggtot,"NO")</f>
        <v>NO</v>
      </c>
      <c r="AH97" s="22" t="str">
        <f>IF('[1]Baseline emission summary'!AG63*CO2toC*Ggtot&gt;0,'[1]Baseline emission summary'!AG63*CO2toC*Ggtot,"NO")</f>
        <v>NO</v>
      </c>
      <c r="AI97" s="22" t="str">
        <f>IF('[1]Baseline emission summary'!AH63*CO2toC*Ggtot&gt;0,'[1]Baseline emission summary'!AH63*CO2toC*Ggtot,"NO")</f>
        <v>NO</v>
      </c>
      <c r="AJ97" s="46" t="str">
        <f>IF('[1]Baseline emission summary'!AI63*CO2toC*Ggtot&gt;0,'[1]Baseline emission summary'!AI63*CO2toC*Ggtot,"NO")</f>
        <v>NO</v>
      </c>
      <c r="AK97" s="46" t="str">
        <f>IF('[1]Baseline emission summary'!AJ63*CO2toC*Ggtot&gt;0,'[1]Baseline emission summary'!AJ63*CO2toC*Ggtot,"NO")</f>
        <v>NO</v>
      </c>
      <c r="AL97" s="46" t="str">
        <f>IF('[1]Baseline emission summary'!AK63*CO2toC*Ggtot&gt;0,'[1]Baseline emission summary'!AK63*CO2toC*Ggtot,"NO")</f>
        <v>NO</v>
      </c>
      <c r="AM97" s="46" t="str">
        <f>IF('[1]Baseline emission summary'!AL63*CO2toC*Ggtot&gt;0,'[1]Baseline emission summary'!AL63*CO2toC*Ggtot,"NO")</f>
        <v>NO</v>
      </c>
      <c r="AN97" s="46" t="str">
        <f>IF('[1]Baseline emission summary'!AM63*CO2toC*Ggtot&gt;0,'[1]Baseline emission summary'!AM63*CO2toC*Ggtot,"NO")</f>
        <v>NO</v>
      </c>
      <c r="AO97" s="46" t="str">
        <f>IF('[1]Baseline emission summary'!AN63*CO2toC*Ggtot&gt;0,'[1]Baseline emission summary'!AN63*CO2toC*Ggtot,"NO")</f>
        <v>NO</v>
      </c>
      <c r="AP97" s="46" t="str">
        <f>IF('[1]Baseline emission summary'!AO63*CO2toC*Ggtot&gt;0,'[1]Baseline emission summary'!AO63*CO2toC*Ggtot,"NO")</f>
        <v>NO</v>
      </c>
      <c r="AQ97" s="46" t="str">
        <f>IF('[1]Baseline emission summary'!AP63*CO2toC*Ggtot&gt;0,'[1]Baseline emission summary'!AP63*CO2toC*Ggtot,"NO")</f>
        <v>NO</v>
      </c>
      <c r="AR97" s="46" t="str">
        <f>IF('[1]Baseline emission summary'!AQ63*CO2toC*Ggtot&gt;0,'[1]Baseline emission summary'!AQ63*CO2toC*Ggtot,"NO")</f>
        <v>NO</v>
      </c>
      <c r="AS97" s="46" t="str">
        <f>IF('[1]Baseline emission summary'!AR63*CO2toC*Ggtot&gt;0,'[1]Baseline emission summary'!AR63*CO2toC*Ggtot,"NO")</f>
        <v>NO</v>
      </c>
      <c r="AT97" s="46" t="str">
        <f>IF('[1]Baseline emission summary'!AS63*CO2toC*Ggtot&gt;0,'[1]Baseline emission summary'!AS63*CO2toC*Ggtot,"NO")</f>
        <v>NO</v>
      </c>
      <c r="AU97" s="46" t="str">
        <f>IF('[1]Baseline emission summary'!AT63*CO2toC*Ggtot&gt;0,'[1]Baseline emission summary'!AT63*CO2toC*Ggtot,"NO")</f>
        <v>NO</v>
      </c>
      <c r="AV97" s="46" t="str">
        <f>IF('[1]Baseline emission summary'!AU63*CO2toC*Ggtot&gt;0,'[1]Baseline emission summary'!AU63*CO2toC*Ggtot,"NO")</f>
        <v>NO</v>
      </c>
      <c r="AW97" s="46" t="str">
        <f>IF('[1]Baseline emission summary'!AV63*CO2toC*Ggtot&gt;0,'[1]Baseline emission summary'!AV63*CO2toC*Ggtot,"NO")</f>
        <v>NO</v>
      </c>
      <c r="AX97" s="46" t="str">
        <f>IF('[1]Baseline emission summary'!AW63*CO2toC*Ggtot&gt;0,'[1]Baseline emission summary'!AW63*CO2toC*Ggtot,"NO")</f>
        <v>NO</v>
      </c>
      <c r="AY97" s="46" t="str">
        <f>IF('[1]Baseline emission summary'!AX63*CO2toC*Ggtot&gt;0,'[1]Baseline emission summary'!AX63*CO2toC*Ggtot,"NO")</f>
        <v>NO</v>
      </c>
      <c r="AZ97" s="46" t="str">
        <f>IF('[1]Baseline emission summary'!AY63*CO2toC*Ggtot&gt;0,'[1]Baseline emission summary'!AY63*CO2toC*Ggtot,"NO")</f>
        <v>NO</v>
      </c>
      <c r="BA97" s="46" t="str">
        <f>IF('[1]Baseline emission summary'!AZ63*CO2toC*Ggtot&gt;0,'[1]Baseline emission summary'!AZ63*CO2toC*Ggtot,"NO")</f>
        <v>NO</v>
      </c>
      <c r="BB97" s="46" t="str">
        <f>IF('[1]Baseline emission summary'!BA63*CO2toC*Ggtot&gt;0,'[1]Baseline emission summary'!BA63*CO2toC*Ggtot,"NO")</f>
        <v>NO</v>
      </c>
      <c r="BC97" s="46" t="str">
        <f>IF('[1]Baseline emission summary'!BB63*CO2toC*Ggtot&gt;0,'[1]Baseline emission summary'!BB63*CO2toC*Ggtot,"NO")</f>
        <v>NO</v>
      </c>
      <c r="BD97" s="46" t="str">
        <f>IF('[1]Baseline emission summary'!BC63*CO2toC*Ggtot&gt;0,'[1]Baseline emission summary'!BC63*CO2toC*Ggtot,"NO")</f>
        <v>NO</v>
      </c>
      <c r="BE97" s="46" t="str">
        <f>IF('[1]Baseline emission summary'!BD63*CO2toC*Ggtot&gt;0,'[1]Baseline emission summary'!BD63*CO2toC*Ggtot,"NO")</f>
        <v>NO</v>
      </c>
      <c r="BF97" s="46" t="str">
        <f>IF('[1]Baseline emission summary'!BE63*CO2toC*Ggtot&gt;0,'[1]Baseline emission summary'!BE63*CO2toC*Ggtot,"NO")</f>
        <v>NO</v>
      </c>
      <c r="BG97" s="46" t="str">
        <f>IF('[1]Baseline emission summary'!BF63*CO2toC*Ggtot&gt;0,'[1]Baseline emission summary'!BF63*CO2toC*Ggtot,"NO")</f>
        <v>NO</v>
      </c>
      <c r="BH97" s="46" t="str">
        <f>IF('[1]Baseline emission summary'!BG63*CO2toC*Ggtot&gt;0,'[1]Baseline emission summary'!BG63*CO2toC*Ggtot,"NO")</f>
        <v>NO</v>
      </c>
      <c r="BI97" s="46" t="str">
        <f>IF('[1]Baseline emission summary'!BH63*CO2toC*Ggtot&gt;0,'[1]Baseline emission summary'!BH63*CO2toC*Ggtot,"NO")</f>
        <v>NO</v>
      </c>
      <c r="BJ97" s="46" t="str">
        <f>IF('[1]Baseline emission summary'!BI63*CO2toC*Ggtot&gt;0,'[1]Baseline emission summary'!BI63*CO2toC*Ggtot,"NO")</f>
        <v>NO</v>
      </c>
      <c r="BK97" s="46" t="str">
        <f>IF('[1]Baseline emission summary'!BJ63*CO2toC*Ggtot&gt;0,'[1]Baseline emission summary'!BJ63*CO2toC*Ggtot,"NO")</f>
        <v>NO</v>
      </c>
      <c r="BL97" s="46" t="str">
        <f>IF('[1]Baseline emission summary'!BK63*CO2toC*Ggtot&gt;0,'[1]Baseline emission summary'!BK63*CO2toC*Ggtot,"NO")</f>
        <v>NO</v>
      </c>
      <c r="BM97" s="46" t="str">
        <f>IF('[1]Baseline emission summary'!BL63*CO2toC*Ggtot&gt;0,'[1]Baseline emission summary'!BL63*CO2toC*Ggtot,"NO")</f>
        <v>NO</v>
      </c>
      <c r="BN97" s="46" t="str">
        <f>IF('[1]Baseline emission summary'!BM63*CO2toC*Ggtot&gt;0,'[1]Baseline emission summary'!BM63*CO2toC*Ggtot,"NO")</f>
        <v>NO</v>
      </c>
      <c r="BO97" s="46" t="str">
        <f>IF('[1]Baseline emission summary'!BN63*CO2toC*Ggtot&gt;0,'[1]Baseline emission summary'!BN63*CO2toC*Ggtot,"NO")</f>
        <v>NO</v>
      </c>
      <c r="BP97" s="46" t="str">
        <f>IF('[1]Baseline emission summary'!BO63*CO2toC*Ggtot&gt;0,'[1]Baseline emission summary'!BO63*CO2toC*Ggtot,"NO")</f>
        <v>NO</v>
      </c>
      <c r="BQ97" s="85"/>
    </row>
    <row r="98" spans="1:69" x14ac:dyDescent="0.25">
      <c r="C98" t="s">
        <v>64</v>
      </c>
      <c r="D98" t="s">
        <v>896</v>
      </c>
      <c r="F98" t="s">
        <v>810</v>
      </c>
      <c r="H98" s="22">
        <v>0</v>
      </c>
      <c r="I98" s="22">
        <v>3670187.5070967684</v>
      </c>
      <c r="J98" s="22">
        <v>3670187.5070967684</v>
      </c>
      <c r="K98" s="22">
        <v>3670187.5070967684</v>
      </c>
      <c r="L98" s="22">
        <v>3670187.5070967684</v>
      </c>
      <c r="M98" s="22">
        <v>3670187.5070967684</v>
      </c>
      <c r="N98" s="22">
        <v>3670187.5070967684</v>
      </c>
      <c r="O98" s="22">
        <v>3670187.5070967684</v>
      </c>
      <c r="P98" s="22">
        <v>3670187.5070967684</v>
      </c>
      <c r="Q98" s="22">
        <v>3670187.5070967684</v>
      </c>
      <c r="R98" s="22">
        <v>3670187.5070967684</v>
      </c>
      <c r="S98" s="22">
        <v>3670187.5070967684</v>
      </c>
      <c r="T98" s="22">
        <v>3670187.5070967684</v>
      </c>
      <c r="U98" s="22">
        <v>3670187.5070967684</v>
      </c>
      <c r="V98" s="22">
        <v>3670187.5070967684</v>
      </c>
      <c r="W98" s="22">
        <v>3670187.5070967684</v>
      </c>
      <c r="X98" s="22">
        <v>3670187.5070967684</v>
      </c>
      <c r="Y98" s="22">
        <v>3670187.5070967684</v>
      </c>
      <c r="Z98" s="22">
        <v>3670187.5070967684</v>
      </c>
      <c r="AA98" s="22">
        <v>3670187.5070967684</v>
      </c>
      <c r="AB98" s="22">
        <v>3670187.5070967684</v>
      </c>
      <c r="AC98" s="22">
        <v>3670187.5070967684</v>
      </c>
      <c r="AD98" s="22">
        <v>3670187.5070967684</v>
      </c>
      <c r="AE98" s="22">
        <v>3670187.5070967684</v>
      </c>
      <c r="AF98" s="22">
        <v>3670187.5070967684</v>
      </c>
      <c r="AG98" s="22">
        <v>3670187.5070967684</v>
      </c>
      <c r="AH98" s="22">
        <v>3670187.5070967684</v>
      </c>
      <c r="AI98" s="22">
        <v>3670187.5070967684</v>
      </c>
      <c r="AJ98" s="46">
        <f>IF('[1]Baseline emission summary'!AI68*CO2toC*Ggtot&gt;0,'[1]Baseline emission summary'!AI68*CO2toC*Ggtot,"NO")</f>
        <v>2928692.0062794536</v>
      </c>
      <c r="AK98" s="46">
        <f>IF('[1]Baseline emission summary'!AJ68*CO2toC*Ggtot&gt;0,'[1]Baseline emission summary'!AJ68*CO2toC*Ggtot,"NO")</f>
        <v>2928692.0062794536</v>
      </c>
      <c r="AL98" s="46">
        <f>IF('[1]Baseline emission summary'!AK68*CO2toC*Ggtot&gt;0,'[1]Baseline emission summary'!AK68*CO2toC*Ggtot,"NO")</f>
        <v>2928692.0062794536</v>
      </c>
      <c r="AM98" s="46">
        <f>IF('[1]Baseline emission summary'!AL68*CO2toC*Ggtot&gt;0,'[1]Baseline emission summary'!AL68*CO2toC*Ggtot,"NO")</f>
        <v>2928692.0062794536</v>
      </c>
      <c r="AN98" s="46">
        <f>IF('[1]Baseline emission summary'!AM68*CO2toC*Ggtot&gt;0,'[1]Baseline emission summary'!AM68*CO2toC*Ggtot,"NO")</f>
        <v>2928692.0062794536</v>
      </c>
      <c r="AO98" s="46">
        <f>IF('[1]Baseline emission summary'!AN68*CO2toC*Ggtot&gt;0,'[1]Baseline emission summary'!AN68*CO2toC*Ggtot,"NO")</f>
        <v>2928692.0062794536</v>
      </c>
      <c r="AP98" s="46">
        <f>IF('[1]Baseline emission summary'!AO68*CO2toC*Ggtot&gt;0,'[1]Baseline emission summary'!AO68*CO2toC*Ggtot,"NO")</f>
        <v>2928692.0062794536</v>
      </c>
      <c r="AQ98" s="46">
        <f>IF('[1]Baseline emission summary'!AP68*CO2toC*Ggtot&gt;0,'[1]Baseline emission summary'!AP68*CO2toC*Ggtot,"NO")</f>
        <v>2928692.0062794536</v>
      </c>
      <c r="AR98" s="46">
        <f>IF('[1]Baseline emission summary'!AQ68*CO2toC*Ggtot&gt;0,'[1]Baseline emission summary'!AQ68*CO2toC*Ggtot,"NO")</f>
        <v>2928692.0062794536</v>
      </c>
      <c r="AS98" s="46">
        <f>IF('[1]Baseline emission summary'!AR68*CO2toC*Ggtot&gt;0,'[1]Baseline emission summary'!AR68*CO2toC*Ggtot,"NO")</f>
        <v>2928692.0062794536</v>
      </c>
      <c r="AT98" s="46">
        <f>IF('[1]Baseline emission summary'!AS68*CO2toC*Ggtot&gt;0,'[1]Baseline emission summary'!AS68*CO2toC*Ggtot,"NO")</f>
        <v>2928692.0062794536</v>
      </c>
      <c r="AU98" s="46">
        <f>IF('[1]Baseline emission summary'!AT68*CO2toC*Ggtot&gt;0,'[1]Baseline emission summary'!AT68*CO2toC*Ggtot,"NO")</f>
        <v>2928692.0062794536</v>
      </c>
      <c r="AV98" s="46">
        <f>IF('[1]Baseline emission summary'!AU68*CO2toC*Ggtot&gt;0,'[1]Baseline emission summary'!AU68*CO2toC*Ggtot,"NO")</f>
        <v>2928692.0062794536</v>
      </c>
      <c r="AW98" s="46">
        <f>IF('[1]Baseline emission summary'!AV68*CO2toC*Ggtot&gt;0,'[1]Baseline emission summary'!AV68*CO2toC*Ggtot,"NO")</f>
        <v>2928692.0062794536</v>
      </c>
      <c r="AX98" s="46">
        <f>IF('[1]Baseline emission summary'!AW68*CO2toC*Ggtot&gt;0,'[1]Baseline emission summary'!AW68*CO2toC*Ggtot,"NO")</f>
        <v>2928692.0062794536</v>
      </c>
      <c r="AY98" s="46">
        <f>IF('[1]Baseline emission summary'!AX68*CO2toC*Ggtot&gt;0,'[1]Baseline emission summary'!AX68*CO2toC*Ggtot,"NO")</f>
        <v>2928692.0062794536</v>
      </c>
      <c r="AZ98" s="46">
        <f>IF('[1]Baseline emission summary'!AY68*CO2toC*Ggtot&gt;0,'[1]Baseline emission summary'!AY68*CO2toC*Ggtot,"NO")</f>
        <v>2928692.0062794536</v>
      </c>
      <c r="BA98" s="46">
        <f>IF('[1]Baseline emission summary'!AZ68*CO2toC*Ggtot&gt;0,'[1]Baseline emission summary'!AZ68*CO2toC*Ggtot,"NO")</f>
        <v>2928692.0062794536</v>
      </c>
      <c r="BB98" s="46">
        <f>IF('[1]Baseline emission summary'!BA68*CO2toC*Ggtot&gt;0,'[1]Baseline emission summary'!BA68*CO2toC*Ggtot,"NO")</f>
        <v>2928692.0062794536</v>
      </c>
      <c r="BC98" s="46">
        <f>IF('[1]Baseline emission summary'!BB68*CO2toC*Ggtot&gt;0,'[1]Baseline emission summary'!BB68*CO2toC*Ggtot,"NO")</f>
        <v>2928692.0062794536</v>
      </c>
      <c r="BD98" s="46">
        <f>IF('[1]Baseline emission summary'!BC68*CO2toC*Ggtot&gt;0,'[1]Baseline emission summary'!BC68*CO2toC*Ggtot,"NO")</f>
        <v>2928692.0062794536</v>
      </c>
      <c r="BE98" s="46">
        <f>IF('[1]Baseline emission summary'!BD68*CO2toC*Ggtot&gt;0,'[1]Baseline emission summary'!BD68*CO2toC*Ggtot,"NO")</f>
        <v>2928692.0062794536</v>
      </c>
      <c r="BF98" s="46">
        <f>IF('[1]Baseline emission summary'!BE68*CO2toC*Ggtot&gt;0,'[1]Baseline emission summary'!BE68*CO2toC*Ggtot,"NO")</f>
        <v>2928692.0062794536</v>
      </c>
      <c r="BG98" s="46">
        <f>IF('[1]Baseline emission summary'!BF68*CO2toC*Ggtot&gt;0,'[1]Baseline emission summary'!BF68*CO2toC*Ggtot,"NO")</f>
        <v>2928692.0062794536</v>
      </c>
      <c r="BH98" s="46">
        <f>IF('[1]Baseline emission summary'!BG68*CO2toC*Ggtot&gt;0,'[1]Baseline emission summary'!BG68*CO2toC*Ggtot,"NO")</f>
        <v>2928692.0062794536</v>
      </c>
      <c r="BI98" s="46">
        <f>IF('[1]Baseline emission summary'!BH68*CO2toC*Ggtot&gt;0,'[1]Baseline emission summary'!BH68*CO2toC*Ggtot,"NO")</f>
        <v>2928692.0062794536</v>
      </c>
      <c r="BJ98" s="46">
        <f>IF('[1]Baseline emission summary'!BI68*CO2toC*Ggtot&gt;0,'[1]Baseline emission summary'!BI68*CO2toC*Ggtot,"NO")</f>
        <v>2928692.0062794536</v>
      </c>
      <c r="BK98" s="46">
        <f>IF('[1]Baseline emission summary'!BJ68*CO2toC*Ggtot&gt;0,'[1]Baseline emission summary'!BJ68*CO2toC*Ggtot,"NO")</f>
        <v>2928692.0062794536</v>
      </c>
      <c r="BL98" s="46">
        <f>IF('[1]Baseline emission summary'!BK68*CO2toC*Ggtot&gt;0,'[1]Baseline emission summary'!BK68*CO2toC*Ggtot,"NO")</f>
        <v>2928692.0062794536</v>
      </c>
      <c r="BM98" s="46">
        <f>IF('[1]Baseline emission summary'!BL68*CO2toC*Ggtot&gt;0,'[1]Baseline emission summary'!BL68*CO2toC*Ggtot,"NO")</f>
        <v>2928692.0062794536</v>
      </c>
      <c r="BN98" s="46">
        <f>IF('[1]Baseline emission summary'!BM68*CO2toC*Ggtot&gt;0,'[1]Baseline emission summary'!BM68*CO2toC*Ggtot,"NO")</f>
        <v>2928692.0062794536</v>
      </c>
      <c r="BO98" s="46">
        <f>IF('[1]Baseline emission summary'!BN68*CO2toC*Ggtot&gt;0,'[1]Baseline emission summary'!BN68*CO2toC*Ggtot,"NO")</f>
        <v>2928692.0062794536</v>
      </c>
      <c r="BP98" s="46">
        <f>IF('[1]Baseline emission summary'!BO68*CO2toC*Ggtot&gt;0,'[1]Baseline emission summary'!BO68*CO2toC*Ggtot,"NO")</f>
        <v>2928692.0062794536</v>
      </c>
      <c r="BQ98" s="24"/>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'Activity data'!AB41:BP41</xm:f>
              <xm:sqref>BR41</xm:sqref>
            </x14:sparkline>
            <x14:sparkline>
              <xm:f>'Activity data'!AB42:BP42</xm:f>
              <xm:sqref>BR42</xm:sqref>
            </x14:sparkline>
            <x14:sparkline>
              <xm:f>'Activity data'!AB43:BP43</xm:f>
              <xm:sqref>BR43</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'Activity data'!AB24:BP24</xm:f>
              <xm:sqref>BR24</xm:sqref>
            </x14:sparkline>
            <x14:sparkline>
              <xm:f>'Activity data'!AB25:BP25</xm:f>
              <xm:sqref>BR25</xm:sqref>
            </x14:sparkline>
            <x14:sparkline>
              <xm:f>'Activity data'!AB26:BP26</xm:f>
              <xm:sqref>BR26</xm:sqref>
            </x14:sparkline>
            <x14:sparkline>
              <xm:f>'Activity data'!AB27:BP27</xm:f>
              <xm:sqref>BR27</xm:sqref>
            </x14:sparkline>
            <x14:sparkline>
              <xm:f>'Activity data'!AB28:BP28</xm:f>
              <xm:sqref>BR28</xm:sqref>
            </x14:sparkline>
            <x14:sparkline>
              <xm:f>'Activity data'!AB29:BP29</xm:f>
              <xm:sqref>BR29</xm:sqref>
            </x14:sparkline>
            <x14:sparkline>
              <xm:f>'Activity data'!AB30:BP30</xm:f>
              <xm:sqref>BR30</xm:sqref>
            </x14:sparkline>
            <x14:sparkline>
              <xm:f>'Activity data'!AB31:BP31</xm:f>
              <xm:sqref>BR31</xm:sqref>
            </x14:sparkline>
            <x14:sparkline>
              <xm:f>'Activity data'!AB32:BP32</xm:f>
              <xm:sqref>BR32</xm:sqref>
            </x14:sparkline>
            <x14:sparkline>
              <xm:f>'Activity data'!AB33:BP33</xm:f>
              <xm:sqref>BR33</xm:sqref>
            </x14:sparkline>
            <x14:sparkline>
              <xm:f>'Activity data'!AB34:BP34</xm:f>
              <xm:sqref>BR34</xm:sqref>
            </x14:sparkline>
            <x14:sparkline>
              <xm:f>'Activity data'!AB35:BP35</xm:f>
              <xm:sqref>BR35</xm:sqref>
            </x14:sparkline>
            <x14:sparkline>
              <xm:f>'Activity data'!AB36:BP36</xm:f>
              <xm:sqref>BR36</xm:sqref>
            </x14:sparkline>
            <x14:sparkline>
              <xm:f>'Activity data'!AB37:BP37</xm:f>
              <xm:sqref>BR37</xm:sqref>
            </x14:sparkline>
            <x14:sparkline>
              <xm:f>'Activity data'!AB38:BP38</xm:f>
              <xm:sqref>BR38</xm:sqref>
            </x14:sparkline>
            <x14:sparkline>
              <xm:f>'Activity data'!AB39:BP39</xm:f>
              <xm:sqref>BR39</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'Activity data'!AB5:BP5</xm:f>
              <xm:sqref>BR5</xm:sqref>
            </x14:sparkline>
            <x14:sparkline>
              <xm:f>'Activity data'!AB6:BP6</xm:f>
              <xm:sqref>BR6</xm:sqref>
            </x14:sparkline>
            <x14:sparkline>
              <xm:f>'Activity data'!AB7:BP7</xm:f>
              <xm:sqref>BR7</xm:sqref>
            </x14:sparkline>
            <x14:sparkline>
              <xm:f>'Activity data'!AB8:BP8</xm:f>
              <xm:sqref>BR8</xm:sqref>
            </x14:sparkline>
            <x14:sparkline>
              <xm:f>'Activity data'!AB9:BP9</xm:f>
              <xm:sqref>BR9</xm:sqref>
            </x14:sparkline>
            <x14:sparkline>
              <xm:f>'Activity data'!AB10:BP10</xm:f>
              <xm:sqref>BR10</xm:sqref>
            </x14:sparkline>
            <x14:sparkline>
              <xm:f>'Activity data'!AB11:BP11</xm:f>
              <xm:sqref>BR11</xm:sqref>
            </x14:sparkline>
            <x14:sparkline>
              <xm:f>'Activity data'!AB12:BP12</xm:f>
              <xm:sqref>BR12</xm:sqref>
            </x14:sparkline>
            <x14:sparkline>
              <xm:f>'Activity data'!AB13:BP13</xm:f>
              <xm:sqref>BR13</xm:sqref>
            </x14:sparkline>
            <x14:sparkline>
              <xm:f>'Activity data'!AB14:BP14</xm:f>
              <xm:sqref>BR14</xm:sqref>
            </x14:sparkline>
            <x14:sparkline>
              <xm:f>'Activity data'!AB15:BP15</xm:f>
              <xm:sqref>BR15</xm:sqref>
            </x14:sparkline>
            <x14:sparkline>
              <xm:f>'Activity data'!AB16:BP16</xm:f>
              <xm:sqref>BR16</xm:sqref>
            </x14:sparkline>
            <x14:sparkline>
              <xm:f>'Activity data'!AB17:BP17</xm:f>
              <xm:sqref>BR17</xm:sqref>
            </x14:sparkline>
            <x14:sparkline>
              <xm:f>'Activity data'!AB18:BP18</xm:f>
              <xm:sqref>BR18</xm:sqref>
            </x14:sparkline>
            <x14:sparkline>
              <xm:f>'Activity data'!AB19:BP19</xm:f>
              <xm:sqref>BR19</xm:sqref>
            </x14:sparkline>
            <x14:sparkline>
              <xm:f>'Activity data'!AB20:BP20</xm:f>
              <xm:sqref>BR20</xm:sqref>
            </x14:sparkline>
            <x14:sparkline>
              <xm:f>'Activity data'!AB21:BP21</xm:f>
              <xm:sqref>BR21</xm:sqref>
            </x14:sparkline>
            <x14:sparkline>
              <xm:f>'Activity data'!AB22:BP22</xm:f>
              <xm:sqref>BR22</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'Activity data'!AB45:BP45</xm:f>
              <xm:sqref>BR45</xm:sqref>
            </x14:sparkline>
            <x14:sparkline>
              <xm:f>'Activity data'!AB46:BP46</xm:f>
              <xm:sqref>BR46</xm:sqref>
            </x14:sparkline>
            <x14:sparkline>
              <xm:f>'Activity data'!AB47:BP47</xm:f>
              <xm:sqref>BR47</xm:sqref>
            </x14:sparkline>
            <x14:sparkline>
              <xm:f>'Activity data'!AB48:BP48</xm:f>
              <xm:sqref>BR48</xm:sqref>
            </x14:sparkline>
          </x14:sparklines>
        </x14:sparklineGroup>
      </x14:sparklineGroup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6E66F2049731D4C8B4BE33A6B873590" ma:contentTypeVersion="7" ma:contentTypeDescription="Create a new document." ma:contentTypeScope="" ma:versionID="e0ed1ea337bec2590f97fde472945193">
  <xsd:schema xmlns:xsd="http://www.w3.org/2001/XMLSchema" xmlns:xs="http://www.w3.org/2001/XMLSchema" xmlns:p="http://schemas.microsoft.com/office/2006/metadata/properties" xmlns:ns2="4aa0aade-5a71-4415-8847-ee8404131378" xmlns:ns3="43193f7e-cc5e-4e8f-af15-505b2f732e4d" targetNamespace="http://schemas.microsoft.com/office/2006/metadata/properties" ma:root="true" ma:fieldsID="2bf92951eb61e3a55fd158f44bc60684" ns2:_="" ns3:_="">
    <xsd:import namespace="4aa0aade-5a71-4415-8847-ee8404131378"/>
    <xsd:import namespace="43193f7e-cc5e-4e8f-af15-505b2f732e4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a0aade-5a71-4415-8847-ee84041313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3193f7e-cc5e-4e8f-af15-505b2f732e4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C075F93-2FFF-4204-8A47-BF4DE26969B4}">
  <ds:schemaRefs>
    <ds:schemaRef ds:uri="http://purl.org/dc/terms/"/>
    <ds:schemaRef ds:uri="http://schemas.microsoft.com/office/2006/metadata/properties"/>
    <ds:schemaRef ds:uri="http://schemas.openxmlformats.org/package/2006/metadata/core-properties"/>
    <ds:schemaRef ds:uri="http://schemas.microsoft.com/office/2006/documentManagement/types"/>
    <ds:schemaRef ds:uri="43193f7e-cc5e-4e8f-af15-505b2f732e4d"/>
    <ds:schemaRef ds:uri="http://schemas.microsoft.com/office/infopath/2007/PartnerControls"/>
    <ds:schemaRef ds:uri="http://purl.org/dc/dcmitype/"/>
    <ds:schemaRef ds:uri="4aa0aade-5a71-4415-8847-ee8404131378"/>
    <ds:schemaRef ds:uri="http://www.w3.org/XML/1998/namespace"/>
    <ds:schemaRef ds:uri="http://purl.org/dc/elements/1.1/"/>
  </ds:schemaRefs>
</ds:datastoreItem>
</file>

<file path=customXml/itemProps2.xml><?xml version="1.0" encoding="utf-8"?>
<ds:datastoreItem xmlns:ds="http://schemas.openxmlformats.org/officeDocument/2006/customXml" ds:itemID="{85410DEF-99BC-418A-A8F6-60AAAC61D781}">
  <ds:schemaRefs>
    <ds:schemaRef ds:uri="http://schemas.microsoft.com/sharepoint/v3/contenttype/forms"/>
  </ds:schemaRefs>
</ds:datastoreItem>
</file>

<file path=customXml/itemProps3.xml><?xml version="1.0" encoding="utf-8"?>
<ds:datastoreItem xmlns:ds="http://schemas.openxmlformats.org/officeDocument/2006/customXml" ds:itemID="{83800147-0D0D-498D-9F86-60A14C59B4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a0aade-5a71-4415-8847-ee8404131378"/>
    <ds:schemaRef ds:uri="43193f7e-cc5e-4e8f-af15-505b2f732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36</vt:i4>
      </vt:variant>
    </vt:vector>
  </HeadingPairs>
  <TitlesOfParts>
    <vt:vector size="49" baseType="lpstr">
      <vt:lpstr>Notes</vt:lpstr>
      <vt:lpstr>IPCC Categories</vt:lpstr>
      <vt:lpstr>Drivers</vt:lpstr>
      <vt:lpstr>Intermediate calcs</vt:lpstr>
      <vt:lpstr>Constants</vt:lpstr>
      <vt:lpstr>Relationships</vt:lpstr>
      <vt:lpstr>BFAP verification</vt:lpstr>
      <vt:lpstr>Mitigation drivers</vt:lpstr>
      <vt:lpstr>Activity data</vt:lpstr>
      <vt:lpstr>EF</vt:lpstr>
      <vt:lpstr>Aggregated EF</vt:lpstr>
      <vt:lpstr>Emissions</vt:lpstr>
      <vt:lpstr>Emissions summary</vt:lpstr>
      <vt:lpstr>CH4GWP</vt:lpstr>
      <vt:lpstr>CO2toC</vt:lpstr>
      <vt:lpstr>CompostN2O</vt:lpstr>
      <vt:lpstr>CREF</vt:lpstr>
      <vt:lpstr>CtoCO2</vt:lpstr>
      <vt:lpstr>DailyspreadN2O</vt:lpstr>
      <vt:lpstr>DigesterN2OEF</vt:lpstr>
      <vt:lpstr>DrylotN2O</vt:lpstr>
      <vt:lpstr>FracGASF</vt:lpstr>
      <vt:lpstr>FracGASM</vt:lpstr>
      <vt:lpstr>FracLEACH</vt:lpstr>
      <vt:lpstr>FracLEACHMM</vt:lpstr>
      <vt:lpstr>FracLEACHUD</vt:lpstr>
      <vt:lpstr>FSOMEF</vt:lpstr>
      <vt:lpstr>Ggtot</vt:lpstr>
      <vt:lpstr>kgtoGg</vt:lpstr>
      <vt:lpstr>kgtot</vt:lpstr>
      <vt:lpstr>LagoonN2O</vt:lpstr>
      <vt:lpstr>LiquidN2O</vt:lpstr>
      <vt:lpstr>ManureNEF</vt:lpstr>
      <vt:lpstr>ManwithbedN2O</vt:lpstr>
      <vt:lpstr>MMLeachEF</vt:lpstr>
      <vt:lpstr>MMVolatEF</vt:lpstr>
      <vt:lpstr>MSLeachEF</vt:lpstr>
      <vt:lpstr>MSVolatEF</vt:lpstr>
      <vt:lpstr>N2OGWP</vt:lpstr>
      <vt:lpstr>NtoN2O</vt:lpstr>
      <vt:lpstr>ONEF</vt:lpstr>
      <vt:lpstr>PMwithlitterN2O</vt:lpstr>
      <vt:lpstr>PMwithoutlitterN2O</vt:lpstr>
      <vt:lpstr>SNEF</vt:lpstr>
      <vt:lpstr>SolidStorageN2O</vt:lpstr>
      <vt:lpstr>ttoGg</vt:lpstr>
      <vt:lpstr>ttokg</vt:lpstr>
      <vt:lpstr>UDCPPEF</vt:lpstr>
      <vt:lpstr>UDSOEF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Glancy</dc:creator>
  <cp:keywords/>
  <dc:description/>
  <cp:lastModifiedBy>luanne</cp:lastModifiedBy>
  <cp:revision/>
  <dcterms:created xsi:type="dcterms:W3CDTF">2017-04-05T21:08:35Z</dcterms:created>
  <dcterms:modified xsi:type="dcterms:W3CDTF">2020-06-29T17:47:42Z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0x01010006E66F2049731D4C8B4BE33A6B873590</vt:lpwstr>
  </property>
</Properties>
</file>